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201_{68F81A53-1C94-454F-95D7-1B7DC0E8EC5E}" xr6:coauthVersionLast="47" xr6:coauthVersionMax="47" xr10:uidLastSave="{00000000-0000-0000-0000-000000000000}"/>
  <bookViews>
    <workbookView xWindow="-120" yWindow="-120" windowWidth="29040" windowHeight="15840" tabRatio="919" firstSheet="11"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acctype">[2]Validation!$C$8:$C$15</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 localSheetId="28">[4]Sheet2!$H$5:$H$31</definedName>
    <definedName name="Sheet">[5]Sheet2!$H$5:$H$31</definedName>
    <definedName name="sub">[2]Validation!$D$8:$D$9</definedName>
    <definedName name="საკრედიტო" localSheetId="28">[4]Sheet2!$B$6:$B$8</definedName>
    <definedName name="საკრედიტო">[5]Sheet2!$B$6:$B$8</definedName>
    <definedName name="ფაილი" localSheetId="28">[4]Sheet2!$B$2:$B$3</definedName>
    <definedName name="ფაილი">[5]Sheet2!$B$2:$B$3</definedName>
    <definedName name="ცვლილება_კორექტირება_რეგულაციაში" localSheetId="28">[4]Sheet2!$K$5:$K$9</definedName>
    <definedName name="ცვლილება_კორექტირება_რეგულაციაში">[5]Sheet2!$K$5:$K$9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1" l="1"/>
  <c r="B2" i="71" l="1"/>
  <c r="H60" i="53" l="1"/>
  <c r="H59" i="53"/>
  <c r="H58" i="53"/>
  <c r="E58" i="53" l="1"/>
  <c r="E59" i="53" l="1"/>
  <c r="E60" i="53"/>
  <c r="C22" i="74" l="1"/>
  <c r="C21" i="82" l="1"/>
  <c r="D22" i="81"/>
  <c r="E22" i="81"/>
  <c r="F22" i="81"/>
  <c r="G22" i="81"/>
  <c r="C22" i="81"/>
  <c r="B3" i="89" l="1"/>
  <c r="B3" i="88"/>
  <c r="B3" i="87"/>
  <c r="B3" i="86"/>
  <c r="B3" i="85"/>
  <c r="B3" i="84"/>
  <c r="B3" i="83"/>
  <c r="B3" i="82"/>
  <c r="B3" i="81"/>
  <c r="C10" i="85" l="1"/>
  <c r="C19" i="85" s="1"/>
  <c r="D12" i="84"/>
  <c r="C12" i="84"/>
  <c r="D7" i="84"/>
  <c r="C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C19" i="84"/>
  <c r="H22" i="81"/>
  <c r="I34" i="83"/>
  <c r="I21" i="82"/>
  <c r="B2" i="80"/>
  <c r="B1" i="80"/>
  <c r="B1" i="81" s="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37" i="80" l="1"/>
  <c r="G21" i="80"/>
  <c r="B2" i="79"/>
  <c r="B2" i="37"/>
  <c r="B2" i="36"/>
  <c r="B2" i="74"/>
  <c r="B2" i="64"/>
  <c r="B2" i="35"/>
  <c r="B2" i="69"/>
  <c r="B2" i="77"/>
  <c r="B2" i="28"/>
  <c r="B2" i="73"/>
  <c r="B2" i="72"/>
  <c r="B2" i="52"/>
  <c r="B2" i="75"/>
  <c r="B2" i="53"/>
  <c r="B2" i="62"/>
  <c r="G39" i="80" l="1"/>
  <c r="C5" i="6"/>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B1" i="91" l="1"/>
  <c r="B1" i="84"/>
  <c r="B1" i="89"/>
  <c r="B1" i="83"/>
  <c r="B1" i="88"/>
  <c r="B1" i="87"/>
  <c r="B1" i="86"/>
  <c r="B1" i="85"/>
  <c r="B1" i="82"/>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C7" i="37"/>
  <c r="F21" i="37" l="1"/>
  <c r="H21" i="37"/>
  <c r="G21" i="37"/>
  <c r="I21" i="37"/>
  <c r="J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F61" i="53" l="1"/>
  <c r="H61" i="53" s="1"/>
  <c r="C61" i="53"/>
  <c r="E61" i="53" s="1"/>
  <c r="G53" i="53"/>
  <c r="F53" i="53"/>
  <c r="D53" i="53"/>
  <c r="C53" i="53"/>
  <c r="G34" i="53"/>
  <c r="G45" i="53" s="1"/>
  <c r="F34" i="53"/>
  <c r="F45" i="53" s="1"/>
  <c r="F54" i="53" s="1"/>
  <c r="D34" i="53"/>
  <c r="D45" i="53" s="1"/>
  <c r="D54" i="53" s="1"/>
  <c r="C34" i="53"/>
  <c r="C45" i="53" s="1"/>
  <c r="C54" i="53" s="1"/>
  <c r="G54" i="53" l="1"/>
  <c r="G30" i="53"/>
  <c r="F30" i="53"/>
  <c r="D30" i="53"/>
  <c r="C30" i="53"/>
  <c r="G9" i="53"/>
  <c r="G22" i="53" s="1"/>
  <c r="F9" i="53"/>
  <c r="F22" i="53" s="1"/>
  <c r="D9" i="53"/>
  <c r="D22" i="53" s="1"/>
  <c r="C9" i="53"/>
  <c r="C22" i="53" s="1"/>
  <c r="D31" i="62"/>
  <c r="D41" i="62" s="1"/>
  <c r="C31" i="62"/>
  <c r="C41" i="62" s="1"/>
  <c r="C14" i="62"/>
  <c r="C20"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1" i="62"/>
  <c r="E12" i="62"/>
  <c r="E13" i="62"/>
  <c r="E14" i="62"/>
  <c r="E15" i="62"/>
  <c r="E16" i="62"/>
  <c r="E17" i="62"/>
  <c r="E18" i="62"/>
  <c r="E19" i="62"/>
  <c r="E20" i="62"/>
  <c r="E7" i="62"/>
  <c r="C45" i="69" l="1"/>
  <c r="C37" i="69"/>
  <c r="C25" i="69"/>
</calcChain>
</file>

<file path=xl/sharedStrings.xml><?xml version="1.0" encoding="utf-8"?>
<sst xmlns="http://schemas.openxmlformats.org/spreadsheetml/2006/main" count="1170" uniqueCount="766">
  <si>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</si>
  <si>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</si>
  <si>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</si>
  <si>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</si>
  <si>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</si>
  <si>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</si>
  <si>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</si>
  <si>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</si>
  <si>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</si>
  <si>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</si>
  <si>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</si>
  <si>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</si>
  <si>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</si>
  <si>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</si>
  <si>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</si>
  <si>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</si>
  <si>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</si>
  <si>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</si>
  <si>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</si>
  <si>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</si>
  <si>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</si>
  <si>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</si>
  <si>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</si>
  <si>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</si>
  <si>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</si>
  <si>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</si>
  <si>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</si>
  <si>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</si>
  <si>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</si>
  <si>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</si>
  <si>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</si>
  <si>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</si>
  <si>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</si>
  <si>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</si>
  <si>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</si>
  <si>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</si>
  <si>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</si>
  <si>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</si>
  <si>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</si>
  <si>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</si>
  <si>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</si>
  <si>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</si>
  <si>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</si>
  <si>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</si>
  <si>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</si>
  <si>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</si>
  <si>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</si>
  <si>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</si>
  <si>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</si>
  <si>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</si>
  <si>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</si>
  <si>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</si>
  <si>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</si>
  <si>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</si>
  <si>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</si>
  <si>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</si>
  <si>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</si>
  <si>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</si>
  <si>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</si>
  <si>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</si>
  <si>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</si>
  <si>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</si>
  <si>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</si>
  <si>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</si>
  <si>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</si>
  <si>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</si>
  <si>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</si>
  <si>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</si>
  <si>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</si>
  <si>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</si>
  <si>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</si>
  <si>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</si>
  <si>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</si>
  <si>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</si>
  <si>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</si>
  <si>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</si>
  <si>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</si>
  <si>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</si>
  <si>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</si>
  <si>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</si>
  <si>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</si>
  <si>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</si>
  <si>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</si>
  <si>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</si>
  <si>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</si>
  <si>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</si>
  <si>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</si>
  <si>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</si>
  <si>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</si>
  <si>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</si>
  <si>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</si>
  <si>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</si>
  <si>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</si>
  <si>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</si>
  <si>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</si>
  <si>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</si>
  <si>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</si>
  <si>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</si>
  <si>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</si>
  <si>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</si>
  <si>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</si>
  <si>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</si>
  <si>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</si>
  <si>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</si>
  <si>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</si>
  <si>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</si>
  <si>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</si>
  <si>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</si>
  <si>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</si>
  <si>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</si>
  <si>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</si>
  <si>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</si>
  <si>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</si>
  <si>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</si>
  <si>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</si>
  <si>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</si>
  <si>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</si>
  <si>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</si>
  <si>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</si>
  <si>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</si>
  <si>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</si>
  <si>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</si>
  <si>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</si>
  <si>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</si>
  <si>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</si>
  <si>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</si>
  <si>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</si>
  <si>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</si>
  <si>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</si>
  <si>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</si>
  <si>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</si>
  <si>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</si>
  <si>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</si>
  <si>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</si>
  <si>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</si>
  <si>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</si>
  <si>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</si>
  <si>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</si>
  <si>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</si>
  <si>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</si>
  <si>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</si>
  <si>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</si>
  <si>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</si>
  <si>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</si>
  <si>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</si>
  <si>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</si>
  <si>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</si>
  <si>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</si>
  <si>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</si>
  <si>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</si>
  <si>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</si>
  <si>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</si>
  <si>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</si>
  <si>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</si>
  <si>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</si>
  <si>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</si>
  <si>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</si>
  <si>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</si>
  <si>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</si>
  <si>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</si>
  <si>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</si>
  <si>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</si>
  <si>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</si>
  <si>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</si>
  <si>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</si>
  <si>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</si>
  <si>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</si>
  <si>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</si>
  <si>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</si>
  <si>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</si>
  <si>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</si>
  <si>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</si>
  <si>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</si>
  <si>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</si>
  <si>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</si>
  <si>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</si>
  <si>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</si>
  <si>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</si>
  <si>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</si>
  <si>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</si>
  <si>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</si>
  <si>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</si>
  <si>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</si>
  <si>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</si>
  <si>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</si>
  <si>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</si>
  <si>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</si>
  <si>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</si>
  <si>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</si>
  <si>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</si>
  <si>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</si>
  <si>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</si>
  <si>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</si>
  <si>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</si>
  <si>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</si>
  <si>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</si>
  <si>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</si>
  <si>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</si>
  <si>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</si>
  <si>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</si>
  <si>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</si>
  <si>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</si>
  <si>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</si>
  <si>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</si>
  <si>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</si>
  <si>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</si>
  <si>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</si>
  <si>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</si>
  <si>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</si>
  <si>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</si>
  <si>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</si>
  <si>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</si>
  <si>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</si>
  <si>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</si>
  <si>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</si>
  <si>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</si>
  <si>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</si>
  <si>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</si>
  <si>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</si>
  <si>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</si>
  <si>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</si>
  <si>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</si>
  <si>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</si>
  <si>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</si>
  <si>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</si>
  <si>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</si>
  <si>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</si>
  <si>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</si>
  <si>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</si>
  <si>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</si>
  <si>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</si>
  <si>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</si>
  <si>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</si>
  <si>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</si>
  <si>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</si>
  <si>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</si>
  <si>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</si>
  <si>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</si>
  <si>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</si>
  <si>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</si>
  <si>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</si>
  <si>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</si>
  <si>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</si>
  <si>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</si>
  <si>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</si>
  <si>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</si>
  <si>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</si>
  <si>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</si>
  <si>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</si>
  <si>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</si>
  <si>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</si>
  <si>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</si>
  <si>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</si>
  <si>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</si>
  <si>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</si>
  <si>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</si>
  <si>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</si>
  <si>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</si>
  <si>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</si>
  <si>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</si>
  <si>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</si>
  <si>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</si>
  <si>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</si>
  <si>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</si>
  <si>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</si>
  <si>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</si>
  <si>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</si>
  <si>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</si>
  <si>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</si>
  <si>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</si>
  <si>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</si>
  <si>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</si>
  <si>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</si>
  <si>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</si>
  <si>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</si>
  <si>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</si>
  <si>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</si>
  <si>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</si>
  <si>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</si>
  <si>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</si>
  <si>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</si>
  <si>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</si>
  <si>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</si>
  <si>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</si>
  <si>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</si>
  <si>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</si>
  <si>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</si>
  <si>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</si>
  <si>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</si>
  <si>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</si>
  <si>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</si>
  <si>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</si>
  <si>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</si>
  <si>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</si>
  <si>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</si>
  <si>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</si>
  <si>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</si>
  <si>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</si>
  <si>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</si>
  <si>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</si>
  <si>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</si>
  <si>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</si>
  <si>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</si>
  <si>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</si>
  <si>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</si>
  <si>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</si>
  <si>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</si>
  <si>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</si>
  <si>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</si>
  <si>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</si>
  <si>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</si>
  <si>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</si>
  <si>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</si>
  <si>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</si>
  <si>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</si>
  <si>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</si>
  <si>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</si>
  <si>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</si>
  <si>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</si>
  <si>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</si>
  <si>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</si>
  <si>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</si>
  <si>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</si>
  <si>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</si>
  <si>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</si>
  <si>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</si>
  <si>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</si>
  <si>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</si>
  <si>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</si>
  <si>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</si>
  <si>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</si>
  <si>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</si>
  <si>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</si>
  <si>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</si>
  <si>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</si>
  <si>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</si>
  <si>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</si>
  <si>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</si>
  <si>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</si>
  <si>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</si>
  <si>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</si>
  <si>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</si>
  <si>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</si>
  <si>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</si>
  <si>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</si>
  <si>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</si>
  <si>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</si>
  <si>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</si>
  <si>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</si>
  <si>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</si>
  <si>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</si>
  <si>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</si>
  <si>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</si>
  <si>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</si>
  <si>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</si>
  <si>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</si>
  <si>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</si>
  <si>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</si>
  <si>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</si>
  <si>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</si>
  <si>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</si>
  <si>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</si>
  <si>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</si>
  <si>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</si>
  <si>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</si>
  <si>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</si>
  <si>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</si>
  <si>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</si>
  <si>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</si>
  <si>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</si>
  <si>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</si>
  <si>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</si>
  <si>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</si>
  <si>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</si>
  <si>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</si>
  <si>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</si>
  <si>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</si>
  <si>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</si>
  <si>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</si>
  <si>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</si>
  <si>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</si>
  <si>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</si>
  <si>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</si>
  <si>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</si>
  <si>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</si>
  <si>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</si>
  <si>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</si>
  <si>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</si>
  <si>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</si>
  <si>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</si>
  <si>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</si>
  <si>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</si>
  <si>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</si>
  <si>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</si>
  <si>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</si>
  <si>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</si>
  <si>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</si>
  <si>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</si>
  <si>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</si>
  <si>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</si>
  <si>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</si>
  <si>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</si>
  <si>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</si>
  <si>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</si>
  <si>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</si>
  <si>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</si>
  <si>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</si>
  <si>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</si>
  <si>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</si>
  <si>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</si>
  <si>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</si>
  <si>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</si>
  <si>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</si>
  <si>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</si>
  <si>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</si>
  <si>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</si>
  <si>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</si>
  <si>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</si>
  <si>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</si>
  <si>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</si>
  <si>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</si>
  <si>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</si>
  <si>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</si>
  <si>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</si>
  <si>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</si>
  <si>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</si>
  <si>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</si>
  <si>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</si>
  <si>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</si>
  <si>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</si>
  <si>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</si>
  <si>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</si>
  <si>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</si>
  <si>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</si>
  <si>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</si>
  <si>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</si>
  <si>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</si>
  <si>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</si>
  <si>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</si>
  <si>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</si>
  <si>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</si>
  <si>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</si>
  <si>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</si>
  <si>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</si>
  <si>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</si>
  <si>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</si>
  <si>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</si>
  <si>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</si>
  <si>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</si>
  <si>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</si>
  <si>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</si>
  <si>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</si>
  <si>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</si>
  <si>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</si>
  <si>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</si>
  <si>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</si>
  <si>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</si>
  <si>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</si>
  <si>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</si>
  <si>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</si>
  <si>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</si>
  <si>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</si>
  <si>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</si>
  <si>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</si>
  <si>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</si>
  <si>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</si>
  <si>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</si>
  <si>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</si>
  <si>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</si>
  <si>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</si>
  <si>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</si>
  <si>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</si>
  <si>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</si>
  <si>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</si>
  <si>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</si>
  <si>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</si>
  <si>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</si>
  <si>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</si>
  <si>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</si>
  <si>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</si>
  <si>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</si>
  <si>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</si>
  <si>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</si>
  <si>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</si>
  <si>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</si>
  <si>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</si>
  <si>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</si>
  <si>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</si>
  <si>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</si>
  <si>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</si>
  <si>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</si>
  <si>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</si>
  <si>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</si>
  <si>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</si>
  <si>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</si>
  <si>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</si>
  <si>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</si>
  <si>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</si>
  <si>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</si>
  <si>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</si>
  <si>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</si>
  <si>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</si>
  <si>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</si>
  <si>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</si>
  <si>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</si>
  <si>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</si>
  <si>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</si>
  <si>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</si>
  <si>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</si>
  <si>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</si>
  <si>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</si>
  <si>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</si>
  <si>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</si>
  <si>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</si>
  <si>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</si>
  <si>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</si>
  <si>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</si>
  <si>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</si>
  <si>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</si>
  <si>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</si>
  <si>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</si>
  <si>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</si>
  <si>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</si>
  <si>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</si>
  <si>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</si>
  <si>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</si>
  <si>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</si>
  <si>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</si>
  <si>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</si>
  <si>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</si>
  <si>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</si>
  <si>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</si>
  <si>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</si>
  <si>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</si>
  <si>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</si>
  <si>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</si>
  <si>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</si>
  <si>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</si>
  <si>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</si>
  <si>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</si>
  <si>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</si>
  <si>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</si>
  <si>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</si>
  <si>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</si>
  <si>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</si>
  <si>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</si>
  <si>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</si>
  <si>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</si>
  <si>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</si>
  <si>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</si>
  <si>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</si>
  <si>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</si>
  <si>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</si>
  <si>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</si>
  <si>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</si>
  <si>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</si>
  <si>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</si>
  <si>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</si>
  <si>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</si>
  <si>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</si>
  <si>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</si>
  <si>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</si>
  <si>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</si>
  <si>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</si>
  <si>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</si>
  <si>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</si>
  <si>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</si>
  <si>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</si>
  <si>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</si>
  <si>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</si>
  <si>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</si>
  <si>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</si>
  <si>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</si>
  <si>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</si>
  <si>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</si>
  <si>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</si>
  <si>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</si>
  <si>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</si>
  <si>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</si>
  <si>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</si>
  <si>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</si>
  <si>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</si>
  <si>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</si>
  <si>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</si>
  <si>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</si>
  <si>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</si>
  <si>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</si>
  <si>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</si>
  <si>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</si>
  <si>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</si>
  <si>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</si>
  <si>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</si>
  <si>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</si>
  <si>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</si>
  <si>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</si>
  <si>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</si>
  <si>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</si>
  <si>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</si>
  <si>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</si>
  <si>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</si>
  <si>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</si>
  <si>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</si>
  <si>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</si>
  <si>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</si>
  <si>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</si>
  <si>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</si>
  <si>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</si>
  <si>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</si>
  <si>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</si>
  <si>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</si>
  <si>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</si>
  <si>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</si>
  <si>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</si>
  <si>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</si>
  <si>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</si>
  <si>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</si>
  <si>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</si>
  <si>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</si>
  <si>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</si>
  <si>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</si>
  <si>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</si>
  <si>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</si>
  <si>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</si>
  <si>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</si>
  <si>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</si>
  <si>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</si>
  <si>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</si>
  <si>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</si>
  <si>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</si>
  <si>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</si>
  <si>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</si>
  <si>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</si>
  <si>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</si>
  <si>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</si>
  <si>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</si>
  <si>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</si>
  <si>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</si>
  <si>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</si>
  <si>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</si>
  <si>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</si>
  <si>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</si>
  <si>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</si>
  <si>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</si>
  <si>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</si>
  <si>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</si>
  <si>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</si>
  <si>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</si>
  <si>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</si>
  <si>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</si>
  <si>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</si>
  <si>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</si>
  <si>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</si>
  <si>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</si>
  <si>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</si>
  <si>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</si>
  <si>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</si>
  <si>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</si>
  <si>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</si>
  <si>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</si>
  <si>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</si>
  <si>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</si>
  <si>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</si>
  <si>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</si>
  <si>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</si>
  <si>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</si>
  <si>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</si>
  <si>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</si>
  <si>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</si>
  <si>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</si>
  <si>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</si>
  <si>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</si>
  <si>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</si>
  <si>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</si>
  <si>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</si>
  <si>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</si>
  <si>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</si>
  <si>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</si>
  <si>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</si>
  <si>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</si>
  <si>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</si>
  <si>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</si>
  <si>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</si>
  <si>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</si>
  <si>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</si>
  <si>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</si>
  <si>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</si>
  <si>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</si>
  <si>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</si>
  <si>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</si>
  <si>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</si>
  <si>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</si>
  <si>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</si>
  <si>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</si>
  <si>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</si>
  <si>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</si>
  <si>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</si>
  <si>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</si>
  <si>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</si>
  <si>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</si>
  <si>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</si>
  <si>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</si>
  <si>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</si>
  <si>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</si>
  <si>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</si>
  <si>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</si>
  <si>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</si>
  <si>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</si>
  <si>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</si>
  <si>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</si>
  <si>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</si>
  <si>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</si>
  <si>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</si>
  <si>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</si>
  <si>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</si>
  <si>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</si>
  <si>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</si>
  <si>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</si>
  <si>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ს.ს. "ტერაბანკი"</t>
  </si>
  <si>
    <t>შეიხი ნაჰაიან მაბარაკ ალ ნაჰაიანი</t>
  </si>
  <si>
    <t>თეა ლორთქიფანიძე</t>
  </si>
  <si>
    <t>www.terabank.ge</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</si>
  <si>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</si>
  <si>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</si>
  <si>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</si>
  <si>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</si>
  <si>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</si>
  <si>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</si>
  <si>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</si>
  <si>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</si>
  <si>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</si>
  <si>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</si>
  <si>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</si>
  <si>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</si>
  <si>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</si>
  <si>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</si>
  <si>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</si>
  <si>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</si>
  <si>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</si>
  <si>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</si>
  <si>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</si>
  <si>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</si>
  <si>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</si>
  <si>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</si>
  <si>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</si>
  <si>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</si>
  <si>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</si>
  <si>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</si>
  <si>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აბჰიჯით ჩოუდური</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</si>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</sst>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0"/>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30">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36" borderId="17" xfId="0" applyNumberFormat="1" applyFont="1" applyFill="1" applyBorder="1" applyAlignment="1">
      <alignment vertical="center"/>
    </xf>
    <xf numFmtId="193" fontId="24" fillId="36" borderId="64" xfId="0" applyNumberFormat="1" applyFont="1" applyFill="1" applyBorder="1" applyAlignment="1">
      <alignment vertical="center"/>
    </xf>
    <xf numFmtId="193" fontId="4" fillId="36" borderId="2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9" fillId="0" borderId="3" xfId="1"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1" xfId="20" applyBorder="1"/>
    <xf numFmtId="0" fontId="4" fillId="0" borderId="7" xfId="0" applyFont="1" applyBorder="1" applyAlignment="1">
      <alignment vertical="center"/>
    </xf>
    <xf numFmtId="0" fontId="4" fillId="0" borderId="88" xfId="0" applyFont="1" applyBorder="1" applyAlignment="1">
      <alignment vertical="center"/>
    </xf>
    <xf numFmtId="0" fontId="6" fillId="0" borderId="88" xfId="0" applyFont="1" applyBorder="1" applyAlignment="1">
      <alignment vertical="center"/>
    </xf>
    <xf numFmtId="0" fontId="4" fillId="0" borderId="20" xfId="0" applyFont="1" applyBorder="1" applyAlignment="1">
      <alignment vertical="center"/>
    </xf>
    <xf numFmtId="0" fontId="4" fillId="0" borderId="83" xfId="0" applyFont="1" applyBorder="1" applyAlignment="1">
      <alignment vertical="center"/>
    </xf>
    <xf numFmtId="0" fontId="4" fillId="0" borderId="85" xfId="0" applyFont="1" applyBorder="1" applyAlignment="1">
      <alignment vertical="center"/>
    </xf>
    <xf numFmtId="0" fontId="4" fillId="0" borderId="19"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88" xfId="0" applyFont="1" applyBorder="1" applyAlignment="1">
      <alignment horizontal="center" vertical="center" wrapText="1"/>
    </xf>
    <xf numFmtId="0" fontId="4" fillId="0" borderId="103" xfId="0" applyFont="1" applyBorder="1" applyAlignment="1">
      <alignment horizontal="center" vertical="center" wrapText="1"/>
    </xf>
    <xf numFmtId="0" fontId="6" fillId="3" borderId="104" xfId="0" applyFont="1" applyFill="1" applyBorder="1" applyAlignment="1">
      <alignment vertical="center"/>
    </xf>
    <xf numFmtId="0" fontId="4" fillId="3" borderId="24" xfId="0" applyFont="1" applyFill="1" applyBorder="1" applyAlignment="1">
      <alignment vertical="center"/>
    </xf>
    <xf numFmtId="0" fontId="4" fillId="0" borderId="105"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Border="1" applyAlignment="1">
      <alignment horizontal="right" vertical="center" wrapText="1"/>
    </xf>
    <xf numFmtId="0" fontId="4" fillId="0" borderId="88" xfId="0" applyFont="1" applyBorder="1" applyAlignment="1">
      <alignment horizontal="left" vertical="center" wrapText="1"/>
    </xf>
    <xf numFmtId="0" fontId="108" fillId="0" borderId="105" xfId="0" applyFont="1" applyBorder="1" applyAlignment="1">
      <alignment horizontal="right" vertical="center" wrapText="1"/>
    </xf>
    <xf numFmtId="0" fontId="108" fillId="0" borderId="88" xfId="0" applyFont="1" applyBorder="1" applyAlignment="1">
      <alignment horizontal="left" vertical="center" wrapText="1"/>
    </xf>
    <xf numFmtId="0" fontId="6" fillId="0" borderId="10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0" fontId="11" fillId="0" borderId="88" xfId="17" applyFill="1" applyBorder="1" applyAlignment="1" applyProtection="1"/>
    <xf numFmtId="49" fontId="108" fillId="0" borderId="105" xfId="0" applyNumberFormat="1" applyFont="1" applyBorder="1" applyAlignment="1">
      <alignment horizontal="right" vertical="center" wrapText="1"/>
    </xf>
    <xf numFmtId="0" fontId="7" fillId="3" borderId="88" xfId="20960" applyFont="1" applyFill="1" applyBorder="1"/>
    <xf numFmtId="0" fontId="105" fillId="0" borderId="88" xfId="20960" applyFont="1" applyBorder="1" applyAlignment="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Protection="1">
      <alignment vertical="center"/>
      <protection locked="0"/>
    </xf>
    <xf numFmtId="0" fontId="112" fillId="0" borderId="87" xfId="21412" applyFont="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7" fillId="0" borderId="88" xfId="0" applyFont="1" applyBorder="1" applyAlignment="1">
      <alignment vertical="center" wrapText="1"/>
    </xf>
    <xf numFmtId="0" fontId="4" fillId="0" borderId="88" xfId="0" applyFont="1" applyBorder="1" applyAlignment="1">
      <alignment vertical="center" wrapText="1"/>
    </xf>
    <xf numFmtId="0" fontId="4" fillId="0" borderId="88" xfId="0" applyFont="1" applyBorder="1" applyAlignment="1">
      <alignment horizontal="left" vertical="center" wrapText="1" indent="2"/>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xf numFmtId="0" fontId="4" fillId="0" borderId="27" xfId="0" applyFont="1" applyBorder="1"/>
    <xf numFmtId="0" fontId="9" fillId="0" borderId="103" xfId="0" applyFont="1" applyBorder="1"/>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5" xfId="0" applyFont="1" applyBorder="1" applyAlignment="1">
      <alignment horizontal="center" vertical="center" wrapText="1"/>
    </xf>
    <xf numFmtId="0" fontId="15" fillId="0" borderId="88" xfId="0" applyFont="1" applyBorder="1" applyAlignment="1">
      <alignment horizontal="center" vertical="center" wrapText="1"/>
    </xf>
    <xf numFmtId="0" fontId="16" fillId="0" borderId="88" xfId="0" applyFont="1" applyBorder="1" applyAlignment="1">
      <alignment horizontal="left" vertical="center" wrapText="1"/>
    </xf>
    <xf numFmtId="193" fontId="7" fillId="0" borderId="88" xfId="0" applyNumberFormat="1" applyFont="1" applyBorder="1" applyAlignment="1" applyProtection="1">
      <alignment vertical="center" wrapText="1"/>
      <protection locked="0"/>
    </xf>
    <xf numFmtId="193" fontId="4" fillId="0" borderId="88" xfId="0" applyNumberFormat="1" applyFont="1" applyBorder="1" applyAlignment="1" applyProtection="1">
      <alignment vertical="center" wrapText="1"/>
      <protection locked="0"/>
    </xf>
    <xf numFmtId="193" fontId="4" fillId="0" borderId="103" xfId="0" applyNumberFormat="1" applyFont="1" applyBorder="1" applyAlignment="1" applyProtection="1">
      <alignment vertical="center" wrapText="1"/>
      <protection locked="0"/>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15" fillId="0" borderId="105" xfId="0" applyFont="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0" fontId="9" fillId="0" borderId="88"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protection locked="0"/>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Border="1" applyAlignment="1" applyProtection="1">
      <alignment horizontal="left" vertical="center" wrapText="1"/>
      <protection locked="0"/>
    </xf>
    <xf numFmtId="49" fontId="120" fillId="0" borderId="88" xfId="5" applyNumberFormat="1" applyFont="1" applyBorder="1" applyAlignment="1" applyProtection="1">
      <alignment horizontal="right" vertical="center"/>
      <protection locked="0"/>
    </xf>
    <xf numFmtId="49" fontId="121" fillId="0" borderId="88"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49" fontId="120" fillId="0" borderId="88" xfId="5" applyNumberFormat="1" applyFont="1" applyBorder="1" applyAlignment="1" applyProtection="1">
      <alignment horizontal="right" vertical="center" wrapText="1"/>
      <protection locked="0"/>
    </xf>
    <xf numFmtId="49" fontId="121" fillId="0" borderId="88" xfId="5" applyNumberFormat="1" applyFont="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5" fillId="0" borderId="88" xfId="0" applyFont="1" applyBorder="1" applyAlignment="1">
      <alignment horizontal="left" vertical="center" wrapText="1"/>
    </xf>
    <xf numFmtId="0" fontId="116" fillId="0" borderId="0" xfId="0" applyFont="1" applyAlignment="1">
      <alignment horizontal="left"/>
    </xf>
    <xf numFmtId="0" fontId="118" fillId="0" borderId="88" xfId="0" applyFont="1" applyBorder="1" applyAlignment="1">
      <alignment horizontal="left" indent="1"/>
    </xf>
    <xf numFmtId="0" fontId="118" fillId="0" borderId="88" xfId="0" applyFont="1" applyBorder="1" applyAlignment="1">
      <alignment horizontal="left" wrapText="1" indent="1"/>
    </xf>
    <xf numFmtId="0" fontId="115" fillId="0" borderId="88" xfId="0" applyFont="1" applyBorder="1" applyAlignment="1">
      <alignment horizontal="left" indent="1"/>
    </xf>
    <xf numFmtId="0" fontId="115" fillId="0" borderId="88" xfId="0" applyFont="1" applyBorder="1" applyAlignment="1">
      <alignment horizontal="left" wrapText="1" indent="2"/>
    </xf>
    <xf numFmtId="0" fontId="118" fillId="0" borderId="88" xfId="0" applyFont="1" applyBorder="1" applyAlignment="1">
      <alignment horizontal="left" vertical="center" indent="1"/>
    </xf>
    <xf numFmtId="0" fontId="116" fillId="79" borderId="88" xfId="0" applyFont="1" applyFill="1" applyBorder="1"/>
    <xf numFmtId="0" fontId="116" fillId="0" borderId="88" xfId="0" applyFont="1" applyBorder="1" applyAlignment="1">
      <alignment horizontal="left" wrapText="1"/>
    </xf>
    <xf numFmtId="0" fontId="116" fillId="0" borderId="88" xfId="0" applyFont="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8" xfId="0" applyNumberFormat="1" applyFont="1" applyBorder="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80" borderId="88" xfId="0" applyFont="1" applyFill="1" applyBorder="1"/>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Border="1" applyAlignment="1">
      <alignment horizontal="left" indent="1"/>
    </xf>
    <xf numFmtId="0" fontId="116" fillId="81" borderId="88" xfId="0" applyFont="1" applyFill="1" applyBorder="1"/>
    <xf numFmtId="49" fontId="116" fillId="0" borderId="88" xfId="0" applyNumberFormat="1" applyFont="1" applyBorder="1" applyAlignment="1">
      <alignment horizontal="left" wrapText="1" indent="2"/>
    </xf>
    <xf numFmtId="49" fontId="116" fillId="0" borderId="88" xfId="0" applyNumberFormat="1" applyFont="1" applyBorder="1" applyAlignment="1">
      <alignment horizontal="left" vertical="top" wrapText="1" indent="2"/>
    </xf>
    <xf numFmtId="49" fontId="116" fillId="0" borderId="88" xfId="0" applyNumberFormat="1" applyFont="1" applyBorder="1" applyAlignment="1">
      <alignment horizontal="left" wrapText="1" indent="3"/>
    </xf>
    <xf numFmtId="0" fontId="116" fillId="0" borderId="88" xfId="0" applyFont="1" applyBorder="1" applyAlignment="1">
      <alignment horizontal="left" wrapText="1" indent="1"/>
    </xf>
    <xf numFmtId="0" fontId="118" fillId="0" borderId="119" xfId="0" applyFont="1" applyBorder="1" applyAlignment="1">
      <alignment horizontal="left" vertical="center" wrapText="1"/>
    </xf>
    <xf numFmtId="0" fontId="116" fillId="0" borderId="83" xfId="0" applyFont="1" applyBorder="1" applyAlignment="1">
      <alignment horizontal="center" vertical="center" wrapText="1"/>
    </xf>
    <xf numFmtId="0" fontId="118" fillId="0" borderId="88"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8" xfId="17" applyFill="1" applyBorder="1" applyAlignment="1" applyProtection="1">
      <alignment wrapText="1"/>
    </xf>
    <xf numFmtId="49" fontId="116" fillId="0" borderId="88" xfId="0" applyNumberFormat="1" applyFont="1" applyBorder="1" applyAlignment="1">
      <alignment horizontal="left" wrapText="1" indent="1"/>
    </xf>
    <xf numFmtId="0" fontId="116" fillId="0" borderId="0" xfId="0" applyFont="1" applyAlignment="1">
      <alignment horizontal="left" vertical="top" wrapText="1"/>
    </xf>
    <xf numFmtId="0" fontId="122" fillId="0" borderId="88" xfId="13" applyFont="1" applyBorder="1" applyAlignment="1" applyProtection="1">
      <alignment horizontal="left" vertical="center" wrapText="1"/>
      <protection locked="0"/>
    </xf>
    <xf numFmtId="10" fontId="4" fillId="0" borderId="88" xfId="20961" applyNumberFormat="1" applyFont="1" applyFill="1" applyBorder="1" applyAlignment="1" applyProtection="1">
      <alignment horizontal="right" vertical="center" wrapText="1"/>
    </xf>
    <xf numFmtId="10" fontId="4" fillId="0" borderId="88" xfId="20961" applyNumberFormat="1" applyFont="1" applyBorder="1" applyAlignment="1" applyProtection="1">
      <alignment vertical="center" wrapText="1"/>
    </xf>
    <xf numFmtId="10" fontId="4" fillId="0" borderId="103" xfId="20961" applyNumberFormat="1" applyFont="1" applyBorder="1" applyAlignment="1" applyProtection="1">
      <alignment vertical="center" wrapText="1"/>
    </xf>
    <xf numFmtId="10" fontId="17" fillId="2" borderId="88" xfId="20961" applyNumberFormat="1" applyFont="1" applyFill="1" applyBorder="1" applyAlignment="1" applyProtection="1">
      <alignment vertical="center"/>
    </xf>
    <xf numFmtId="10" fontId="17" fillId="2" borderId="103" xfId="20961" applyNumberFormat="1" applyFont="1" applyFill="1" applyBorder="1" applyAlignment="1" applyProtection="1">
      <alignment vertical="center"/>
    </xf>
    <xf numFmtId="10" fontId="9" fillId="2" borderId="88" xfId="20961" applyNumberFormat="1" applyFont="1" applyFill="1" applyBorder="1" applyAlignment="1" applyProtection="1">
      <alignment vertical="center"/>
    </xf>
    <xf numFmtId="193" fontId="7" fillId="0" borderId="88" xfId="0" applyNumberFormat="1" applyFont="1" applyBorder="1" applyAlignment="1">
      <alignment vertical="center" wrapText="1"/>
    </xf>
    <xf numFmtId="193" fontId="4" fillId="0" borderId="88" xfId="0" applyNumberFormat="1" applyFont="1" applyBorder="1" applyAlignment="1">
      <alignment vertical="center" wrapText="1"/>
    </xf>
    <xf numFmtId="193" fontId="7" fillId="0" borderId="88" xfId="0" applyNumberFormat="1" applyFont="1" applyBorder="1" applyAlignment="1">
      <alignment horizontal="right" vertical="center" wrapText="1"/>
    </xf>
    <xf numFmtId="164" fontId="4" fillId="0" borderId="88" xfId="7" applyNumberFormat="1" applyFont="1" applyFill="1" applyBorder="1" applyAlignment="1" applyProtection="1">
      <alignment vertical="center" wrapText="1"/>
    </xf>
    <xf numFmtId="164" fontId="4" fillId="0" borderId="103" xfId="7" applyNumberFormat="1" applyFont="1" applyFill="1" applyBorder="1" applyAlignment="1" applyProtection="1">
      <alignment vertical="center" wrapText="1"/>
    </xf>
    <xf numFmtId="10" fontId="28" fillId="37" borderId="0" xfId="20961" applyNumberFormat="1" applyFont="1" applyFill="1" applyBorder="1" applyProtection="1"/>
    <xf numFmtId="10" fontId="28" fillId="37" borderId="81" xfId="20961" applyNumberFormat="1" applyFont="1" applyFill="1" applyBorder="1" applyProtection="1"/>
    <xf numFmtId="10" fontId="9" fillId="2" borderId="103" xfId="20961" applyNumberFormat="1" applyFont="1" applyFill="1" applyBorder="1" applyAlignment="1" applyProtection="1">
      <alignment vertical="center"/>
    </xf>
    <xf numFmtId="193" fontId="9" fillId="0" borderId="88" xfId="0" applyNumberFormat="1" applyFont="1" applyBorder="1" applyAlignment="1">
      <alignment vertical="center"/>
    </xf>
    <xf numFmtId="193" fontId="9" fillId="0" borderId="103" xfId="0" applyNumberFormat="1" applyFont="1" applyBorder="1" applyAlignment="1">
      <alignment vertical="center"/>
    </xf>
    <xf numFmtId="193" fontId="17" fillId="0" borderId="88" xfId="0" applyNumberFormat="1" applyFont="1" applyBorder="1" applyAlignment="1">
      <alignment vertical="center"/>
    </xf>
    <xf numFmtId="193" fontId="17" fillId="0" borderId="103" xfId="0" applyNumberFormat="1" applyFont="1" applyBorder="1" applyAlignment="1">
      <alignment vertical="center"/>
    </xf>
    <xf numFmtId="165" fontId="9" fillId="2" borderId="88" xfId="20961" applyNumberFormat="1" applyFont="1" applyFill="1" applyBorder="1" applyAlignment="1" applyProtection="1">
      <alignment vertical="center"/>
      <protection locked="0"/>
    </xf>
    <xf numFmtId="165" fontId="17" fillId="2" borderId="88" xfId="20961" applyNumberFormat="1" applyFont="1" applyFill="1" applyBorder="1" applyAlignment="1" applyProtection="1">
      <alignment vertical="center"/>
      <protection locked="0"/>
    </xf>
    <xf numFmtId="165" fontId="17" fillId="2" borderId="103" xfId="20961" applyNumberFormat="1" applyFont="1" applyFill="1" applyBorder="1" applyAlignment="1" applyProtection="1">
      <alignment vertical="center"/>
      <protection locked="0"/>
    </xf>
    <xf numFmtId="10" fontId="17" fillId="0" borderId="27" xfId="20961" applyNumberFormat="1" applyFont="1" applyFill="1" applyBorder="1" applyAlignment="1" applyProtection="1">
      <alignment vertical="center"/>
      <protection locked="0"/>
    </xf>
    <xf numFmtId="193" fontId="17" fillId="0" borderId="88" xfId="0" applyNumberFormat="1" applyFont="1" applyBorder="1" applyAlignment="1" applyProtection="1">
      <alignment vertical="center"/>
      <protection locked="0"/>
    </xf>
    <xf numFmtId="193" fontId="17" fillId="0" borderId="103" xfId="0" applyNumberFormat="1" applyFont="1" applyBorder="1" applyAlignment="1" applyProtection="1">
      <alignment vertical="center"/>
      <protection locked="0"/>
    </xf>
    <xf numFmtId="10" fontId="17" fillId="0" borderId="26" xfId="20961" applyNumberFormat="1" applyFont="1" applyFill="1" applyBorder="1" applyAlignment="1" applyProtection="1">
      <alignment vertical="center"/>
      <protection locked="0"/>
    </xf>
    <xf numFmtId="164" fontId="9" fillId="36" borderId="88" xfId="7" applyNumberFormat="1" applyFont="1" applyFill="1" applyBorder="1" applyAlignment="1" applyProtection="1">
      <alignment horizontal="right"/>
    </xf>
    <xf numFmtId="164" fontId="9" fillId="36" borderId="103" xfId="7" applyNumberFormat="1" applyFont="1" applyFill="1" applyBorder="1" applyAlignment="1" applyProtection="1">
      <alignment horizontal="right"/>
    </xf>
    <xf numFmtId="164" fontId="20" fillId="36" borderId="88" xfId="7" applyNumberFormat="1" applyFont="1" applyFill="1" applyBorder="1" applyAlignment="1" applyProtection="1">
      <alignment horizontal="right"/>
    </xf>
    <xf numFmtId="0" fontId="9" fillId="0" borderId="105" xfId="0" applyFont="1" applyBorder="1" applyAlignment="1">
      <alignment vertical="center"/>
    </xf>
    <xf numFmtId="0" fontId="13" fillId="0" borderId="89" xfId="0" applyFont="1" applyBorder="1" applyAlignment="1">
      <alignment wrapText="1"/>
    </xf>
    <xf numFmtId="9" fontId="25" fillId="0" borderId="24" xfId="0" applyNumberFormat="1" applyFont="1" applyBorder="1"/>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xf numFmtId="9" fontId="25" fillId="0" borderId="123" xfId="0" applyNumberFormat="1" applyFont="1" applyBorder="1"/>
    <xf numFmtId="164" fontId="108" fillId="0" borderId="103" xfId="7" applyNumberFormat="1" applyFont="1" applyFill="1" applyBorder="1" applyAlignment="1">
      <alignment horizontal="right" vertical="center" wrapText="1"/>
    </xf>
    <xf numFmtId="43" fontId="6" fillId="36" borderId="103" xfId="7" applyFont="1" applyFill="1" applyBorder="1" applyAlignment="1">
      <alignment horizontal="right" vertical="center" wrapText="1"/>
    </xf>
    <xf numFmtId="43" fontId="6" fillId="36" borderId="103" xfId="7" applyFont="1" applyFill="1" applyBorder="1" applyAlignment="1">
      <alignment horizontal="center" vertical="center" wrapText="1"/>
    </xf>
    <xf numFmtId="164" fontId="4" fillId="0" borderId="103"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25" fillId="0" borderId="35" xfId="7" applyNumberFormat="1" applyFont="1" applyBorder="1" applyAlignment="1">
      <alignment vertical="center"/>
    </xf>
    <xf numFmtId="164" fontId="25" fillId="0" borderId="14" xfId="7" applyNumberFormat="1" applyFont="1" applyBorder="1" applyAlignment="1">
      <alignment vertical="center"/>
    </xf>
    <xf numFmtId="164" fontId="19" fillId="0" borderId="14" xfId="7" applyNumberFormat="1" applyFont="1" applyBorder="1" applyAlignment="1">
      <alignment vertical="center"/>
    </xf>
    <xf numFmtId="164" fontId="25" fillId="36" borderId="14" xfId="7" applyNumberFormat="1" applyFont="1" applyFill="1" applyBorder="1" applyAlignment="1">
      <alignment vertical="center"/>
    </xf>
    <xf numFmtId="164" fontId="25" fillId="0" borderId="15" xfId="7" applyNumberFormat="1" applyFont="1" applyBorder="1" applyAlignment="1">
      <alignment vertical="center"/>
    </xf>
    <xf numFmtId="164" fontId="25" fillId="0" borderId="18" xfId="7" applyNumberFormat="1" applyFont="1" applyBorder="1" applyAlignment="1">
      <alignment vertical="center"/>
    </xf>
    <xf numFmtId="164" fontId="19" fillId="0" borderId="15" xfId="7"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4" fontId="4" fillId="0" borderId="22" xfId="7" applyNumberFormat="1" applyFont="1" applyBorder="1" applyAlignment="1"/>
    <xf numFmtId="164" fontId="4" fillId="0" borderId="23"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36" borderId="57" xfId="7" applyNumberFormat="1" applyFont="1" applyFill="1" applyBorder="1" applyAlignment="1"/>
    <xf numFmtId="164" fontId="4" fillId="36" borderId="25" xfId="7" applyNumberFormat="1" applyFont="1" applyFill="1" applyBorder="1"/>
    <xf numFmtId="164" fontId="4" fillId="36" borderId="26" xfId="7" applyNumberFormat="1" applyFont="1" applyFill="1" applyBorder="1"/>
    <xf numFmtId="164" fontId="4" fillId="36" borderId="58"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7"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164" fontId="9" fillId="3" borderId="3" xfId="7" applyNumberFormat="1" applyFont="1" applyFill="1" applyBorder="1" applyProtection="1">
      <protection locked="0"/>
    </xf>
    <xf numFmtId="164" fontId="9" fillId="36"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9" fillId="36" borderId="23" xfId="7" applyNumberFormat="1" applyFont="1" applyFill="1" applyBorder="1" applyProtection="1">
      <protection locked="0"/>
    </xf>
    <xf numFmtId="164" fontId="10" fillId="36" borderId="27" xfId="7" applyNumberFormat="1" applyFont="1" applyFill="1" applyBorder="1" applyAlignment="1" applyProtection="1">
      <protection locked="0"/>
    </xf>
    <xf numFmtId="0" fontId="104" fillId="0" borderId="88" xfId="0" applyFont="1" applyBorder="1"/>
    <xf numFmtId="164" fontId="112" fillId="0" borderId="88" xfId="7" applyNumberFormat="1" applyFont="1" applyFill="1" applyBorder="1" applyAlignment="1" applyProtection="1">
      <alignment horizontal="right" vertical="center"/>
      <protection locked="0"/>
    </xf>
    <xf numFmtId="164" fontId="112" fillId="3" borderId="88" xfId="7" applyNumberFormat="1" applyFont="1" applyFill="1" applyBorder="1" applyAlignment="1" applyProtection="1">
      <alignment horizontal="right" vertical="center"/>
      <protection locked="0"/>
    </xf>
    <xf numFmtId="10" fontId="112" fillId="0" borderId="88" xfId="20626" applyNumberFormat="1" applyFont="1" applyFill="1" applyBorder="1" applyAlignment="1" applyProtection="1">
      <alignment horizontal="right" vertical="center"/>
      <protection locked="0"/>
    </xf>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5" fillId="36" borderId="88" xfId="7" applyNumberFormat="1" applyFont="1" applyFill="1" applyBorder="1"/>
    <xf numFmtId="164" fontId="116" fillId="0" borderId="88" xfId="7" applyNumberFormat="1" applyFont="1" applyBorder="1" applyAlignment="1">
      <alignment horizontal="left" indent="1"/>
    </xf>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164" fontId="9" fillId="0" borderId="88" xfId="0" applyNumberFormat="1" applyFont="1" applyBorder="1" applyAlignment="1">
      <alignment horizontal="left" vertical="center" wrapText="1"/>
    </xf>
    <xf numFmtId="164" fontId="25" fillId="0" borderId="88" xfId="7" applyNumberFormat="1" applyFont="1" applyFill="1" applyBorder="1"/>
    <xf numFmtId="164" fontId="25" fillId="0" borderId="88" xfId="0" applyNumberFormat="1" applyFont="1" applyBorder="1"/>
    <xf numFmtId="164" fontId="119" fillId="0" borderId="88" xfId="7" applyNumberFormat="1" applyFont="1" applyBorder="1" applyAlignment="1">
      <alignment horizontal="center" vertical="center"/>
    </xf>
    <xf numFmtId="164" fontId="119" fillId="0" borderId="88" xfId="7" applyNumberFormat="1" applyFont="1" applyFill="1" applyBorder="1"/>
    <xf numFmtId="0" fontId="0" fillId="0" borderId="7" xfId="0" applyBorder="1"/>
    <xf numFmtId="0" fontId="124" fillId="0" borderId="88" xfId="0" applyFont="1" applyBorder="1" applyAlignment="1">
      <alignment horizontal="left" indent="2"/>
    </xf>
    <xf numFmtId="0" fontId="126" fillId="0" borderId="124" xfId="0" applyFont="1" applyBorder="1" applyAlignment="1">
      <alignment vertical="center" wrapText="1" readingOrder="1"/>
    </xf>
    <xf numFmtId="164" fontId="124" fillId="0" borderId="88" xfId="7" applyNumberFormat="1" applyFont="1" applyBorder="1"/>
    <xf numFmtId="10" fontId="124" fillId="0" borderId="88" xfId="20961" applyNumberFormat="1" applyFont="1" applyBorder="1"/>
    <xf numFmtId="164" fontId="0" fillId="0" borderId="0" xfId="0" applyNumberFormat="1"/>
    <xf numFmtId="164" fontId="0" fillId="0" borderId="0" xfId="7" applyNumberFormat="1" applyFont="1"/>
    <xf numFmtId="2" fontId="0" fillId="0" borderId="0" xfId="7" applyNumberFormat="1" applyFont="1"/>
    <xf numFmtId="173" fontId="0" fillId="0" borderId="0" xfId="0" applyNumberFormat="1"/>
    <xf numFmtId="194" fontId="0" fillId="0" borderId="0" xfId="0" applyNumberFormat="1"/>
    <xf numFmtId="9" fontId="0" fillId="0" borderId="0" xfId="0" applyNumberFormat="1"/>
    <xf numFmtId="165" fontId="0" fillId="0" borderId="0" xfId="0" applyNumberFormat="1"/>
    <xf numFmtId="43" fontId="116" fillId="0" borderId="0" xfId="0" applyNumberFormat="1" applyFont="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xf>
    <xf numFmtId="0" fontId="4" fillId="0" borderId="24" xfId="0" applyFont="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7" xfId="0" applyFont="1" applyBorder="1" applyAlignment="1">
      <alignment horizontal="left" vertical="center" wrapText="1"/>
    </xf>
    <xf numFmtId="0" fontId="119" fillId="0" borderId="84" xfId="0" applyFont="1" applyBorder="1" applyAlignment="1">
      <alignment horizontal="center" vertical="center" wrapText="1"/>
    </xf>
    <xf numFmtId="0" fontId="119" fillId="0" borderId="10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Border="1" applyAlignment="1">
      <alignment horizontal="center" vertical="center"/>
    </xf>
    <xf numFmtId="0" fontId="123" fillId="0" borderId="84" xfId="0" applyFont="1" applyBorder="1" applyAlignment="1">
      <alignment horizontal="center" vertical="center"/>
    </xf>
    <xf numFmtId="0" fontId="123" fillId="0" borderId="112"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8"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19" xfId="0" applyFont="1" applyBorder="1" applyAlignment="1">
      <alignment horizontal="center" vertical="center" wrapText="1"/>
    </xf>
    <xf numFmtId="0" fontId="116" fillId="0" borderId="89" xfId="0" applyFont="1" applyBorder="1" applyAlignment="1">
      <alignment horizontal="center" vertical="center" wrapText="1"/>
    </xf>
    <xf numFmtId="0" fontId="116" fillId="0" borderId="86" xfId="0" applyFont="1" applyBorder="1" applyAlignment="1">
      <alignment horizontal="center" vertical="center" wrapText="1"/>
    </xf>
    <xf numFmtId="0" fontId="116" fillId="0" borderId="87"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0" xfId="0" applyFont="1" applyBorder="1" applyAlignment="1">
      <alignment horizontal="center" vertical="center" wrapText="1"/>
    </xf>
    <xf numFmtId="0" fontId="116" fillId="0" borderId="118" xfId="0" applyFont="1" applyBorder="1" applyAlignment="1">
      <alignment horizontal="center" vertical="center" wrapText="1"/>
    </xf>
    <xf numFmtId="0" fontId="116" fillId="0" borderId="0" xfId="0" applyFont="1" applyAlignment="1">
      <alignment horizontal="center" vertical="center" wrapText="1"/>
    </xf>
    <xf numFmtId="0" fontId="116" fillId="0" borderId="119"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Font="1" applyBorder="1" applyAlignment="1">
      <alignment horizontal="left" vertical="top" wrapText="1"/>
    </xf>
    <xf numFmtId="0" fontId="118" fillId="0" borderId="112" xfId="0" applyFont="1" applyBorder="1" applyAlignment="1">
      <alignment horizontal="left"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4" xfId="0" applyFont="1" applyBorder="1" applyAlignment="1">
      <alignment horizontal="center" vertical="center"/>
    </xf>
    <xf numFmtId="0" fontId="116" fillId="0" borderId="102" xfId="0" applyFont="1" applyBorder="1" applyAlignment="1">
      <alignment horizontal="center" vertical="center"/>
    </xf>
    <xf numFmtId="0" fontId="116" fillId="0" borderId="112" xfId="0" applyFont="1" applyBorder="1" applyAlignment="1">
      <alignment horizontal="center" vertical="center"/>
    </xf>
    <xf numFmtId="0" fontId="116" fillId="0" borderId="84" xfId="0" applyFont="1" applyBorder="1" applyAlignment="1">
      <alignment horizontal="center" vertical="center" wrapText="1"/>
    </xf>
    <xf numFmtId="0" fontId="116" fillId="0" borderId="102"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6" xfId="0" applyFont="1" applyBorder="1" applyAlignment="1">
      <alignment horizontal="center" vertical="top" wrapText="1"/>
    </xf>
    <xf numFmtId="0" fontId="116" fillId="0" borderId="87" xfId="0" applyFont="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Font="1" applyBorder="1" applyAlignment="1">
      <alignment horizontal="left" vertical="top" wrapText="1"/>
    </xf>
    <xf numFmtId="0" fontId="118" fillId="0" borderId="122" xfId="0" applyFont="1" applyBorder="1" applyAlignment="1">
      <alignment horizontal="left" vertical="top" wrapText="1"/>
    </xf>
    <xf numFmtId="0" fontId="124" fillId="0" borderId="88" xfId="0" applyFont="1" applyBorder="1" applyAlignment="1">
      <alignment horizontal="center" vertical="center" wrapText="1"/>
    </xf>
    <xf numFmtId="0" fontId="125" fillId="0" borderId="88" xfId="0" applyFont="1" applyBorder="1" applyAlignment="1">
      <alignment horizontal="center" vertical="center"/>
    </xf>
    <xf numFmtId="0" fontId="124" fillId="0" borderId="83"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7</xdr:row>
      <xdr:rowOff>0</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21/06/Workings/Pillar%203/FRM-BKS-MM-20201231W_Pillar.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Check-A-G"/>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CICR list"/>
      <sheetName val="შორენასგან"/>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 val="CICR Buffer_ChecK"/>
      <sheetName val="Li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E11">
            <v>-100000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4"/>
      <sheetData sheetId="65">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6">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7"/>
      <sheetData sheetId="68"/>
      <sheetData sheetId="69">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workbookViewId="0">
      <pane xSplit="1" ySplit="7" topLeftCell="B32" activePane="bottomRight" state="frozen"/>
      <selection pane="topRight" activeCell="B1" sqref="B1"/>
      <selection pane="bottomLeft" activeCell="A8" sqref="A8"/>
      <selection pane="bottomRight" activeCell="A6" sqref="A6:C6"/>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4"/>
    </row>
    <row r="2" spans="1:3" s="166" customFormat="1" ht="15.75">
      <c r="A2" s="210">
        <v>1</v>
      </c>
      <c r="B2" s="167" t="s">
        <v>255</v>
      </c>
      <c r="C2" s="586" t="s">
        <v>717</v>
      </c>
    </row>
    <row r="3" spans="1:3" s="166" customFormat="1" ht="15.75">
      <c r="A3" s="210">
        <v>2</v>
      </c>
      <c r="B3" s="168" t="s">
        <v>256</v>
      </c>
      <c r="C3" s="586" t="s">
        <v>718</v>
      </c>
    </row>
    <row r="4" spans="1:3" s="166" customFormat="1" ht="15.75">
      <c r="A4" s="210">
        <v>3</v>
      </c>
      <c r="B4" s="168" t="s">
        <v>257</v>
      </c>
      <c r="C4" s="586" t="s">
        <v>719</v>
      </c>
    </row>
    <row r="5" spans="1:3" s="166" customFormat="1" ht="15.75">
      <c r="A5" s="211">
        <v>4</v>
      </c>
      <c r="B5" s="171" t="s">
        <v>258</v>
      </c>
      <c r="C5" s="338" t="s">
        <v>720</v>
      </c>
    </row>
    <row r="6" spans="1:3" s="170" customFormat="1" ht="65.25" customHeight="1">
      <c r="A6" s="625" t="s">
        <v>373</v>
      </c>
      <c r="B6" s="626"/>
      <c r="C6" s="626"/>
    </row>
    <row r="7" spans="1:3">
      <c r="A7" s="332" t="s">
        <v>327</v>
      </c>
      <c r="B7" s="333" t="s">
        <v>259</v>
      </c>
    </row>
    <row r="8" spans="1:3">
      <c r="A8" s="334">
        <v>1</v>
      </c>
      <c r="B8" s="330" t="s">
        <v>223</v>
      </c>
    </row>
    <row r="9" spans="1:3">
      <c r="A9" s="334">
        <v>2</v>
      </c>
      <c r="B9" s="330" t="s">
        <v>260</v>
      </c>
    </row>
    <row r="10" spans="1:3">
      <c r="A10" s="334">
        <v>3</v>
      </c>
      <c r="B10" s="330" t="s">
        <v>261</v>
      </c>
    </row>
    <row r="11" spans="1:3">
      <c r="A11" s="334">
        <v>4</v>
      </c>
      <c r="B11" s="330" t="s">
        <v>262</v>
      </c>
    </row>
    <row r="12" spans="1:3">
      <c r="A12" s="334">
        <v>5</v>
      </c>
      <c r="B12" s="330" t="s">
        <v>187</v>
      </c>
    </row>
    <row r="13" spans="1:3">
      <c r="A13" s="334">
        <v>6</v>
      </c>
      <c r="B13" s="335" t="s">
        <v>149</v>
      </c>
    </row>
    <row r="14" spans="1:3">
      <c r="A14" s="334">
        <v>7</v>
      </c>
      <c r="B14" s="330" t="s">
        <v>263</v>
      </c>
    </row>
    <row r="15" spans="1:3">
      <c r="A15" s="334">
        <v>8</v>
      </c>
      <c r="B15" s="330" t="s">
        <v>266</v>
      </c>
    </row>
    <row r="16" spans="1:3">
      <c r="A16" s="334">
        <v>9</v>
      </c>
      <c r="B16" s="330" t="s">
        <v>88</v>
      </c>
    </row>
    <row r="17" spans="1:2">
      <c r="A17" s="336" t="s">
        <v>420</v>
      </c>
      <c r="B17" s="330" t="s">
        <v>400</v>
      </c>
    </row>
    <row r="18" spans="1:2">
      <c r="A18" s="334">
        <v>10</v>
      </c>
      <c r="B18" s="330" t="s">
        <v>269</v>
      </c>
    </row>
    <row r="19" spans="1:2">
      <c r="A19" s="334">
        <v>11</v>
      </c>
      <c r="B19" s="335" t="s">
        <v>250</v>
      </c>
    </row>
    <row r="20" spans="1:2">
      <c r="A20" s="334">
        <v>12</v>
      </c>
      <c r="B20" s="335" t="s">
        <v>247</v>
      </c>
    </row>
    <row r="21" spans="1:2">
      <c r="A21" s="334">
        <v>13</v>
      </c>
      <c r="B21" s="337" t="s">
        <v>363</v>
      </c>
    </row>
    <row r="22" spans="1:2">
      <c r="A22" s="334">
        <v>14</v>
      </c>
      <c r="B22" s="338" t="s">
        <v>394</v>
      </c>
    </row>
    <row r="23" spans="1:2">
      <c r="A23" s="334">
        <v>15</v>
      </c>
      <c r="B23" s="335" t="s">
        <v>77</v>
      </c>
    </row>
    <row r="24" spans="1:2">
      <c r="A24" s="334">
        <v>15.1</v>
      </c>
      <c r="B24" s="330" t="s">
        <v>429</v>
      </c>
    </row>
    <row r="25" spans="1:2">
      <c r="A25" s="334">
        <v>16</v>
      </c>
      <c r="B25" s="330" t="s">
        <v>497</v>
      </c>
    </row>
    <row r="26" spans="1:2">
      <c r="A26" s="334">
        <v>17</v>
      </c>
      <c r="B26" s="330" t="s">
        <v>706</v>
      </c>
    </row>
    <row r="27" spans="1:2">
      <c r="A27" s="334">
        <v>18</v>
      </c>
      <c r="B27" s="330" t="s">
        <v>715</v>
      </c>
    </row>
    <row r="28" spans="1:2">
      <c r="A28" s="334">
        <v>19</v>
      </c>
      <c r="B28" s="330" t="s">
        <v>716</v>
      </c>
    </row>
    <row r="29" spans="1:2">
      <c r="A29" s="334">
        <v>20</v>
      </c>
      <c r="B29" s="338" t="s">
        <v>592</v>
      </c>
    </row>
    <row r="30" spans="1:2">
      <c r="A30" s="334">
        <v>21</v>
      </c>
      <c r="B30" s="330" t="s">
        <v>610</v>
      </c>
    </row>
    <row r="31" spans="1:2">
      <c r="A31" s="334">
        <v>22</v>
      </c>
      <c r="B31" s="497" t="s">
        <v>627</v>
      </c>
    </row>
    <row r="32" spans="1:2" ht="26.25">
      <c r="A32" s="334">
        <v>23</v>
      </c>
      <c r="B32" s="497" t="s">
        <v>707</v>
      </c>
    </row>
    <row r="33" spans="1:2">
      <c r="A33" s="334">
        <v>24</v>
      </c>
      <c r="B33" s="330" t="s">
        <v>708</v>
      </c>
    </row>
    <row r="34" spans="1:2">
      <c r="A34" s="334">
        <v>25</v>
      </c>
      <c r="B34" s="330" t="s">
        <v>709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12" activePane="bottomRight" state="frozen"/>
      <selection pane="topRight" activeCell="B1" sqref="B1"/>
      <selection pane="bottomLeft" activeCell="A5" sqref="A5"/>
      <selection pane="bottomRight" activeCell="C30" sqref="C30:C52"/>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"ტერაბანკი"</v>
      </c>
      <c r="D1" s="1"/>
      <c r="E1" s="1"/>
      <c r="F1" s="1"/>
    </row>
    <row r="2" spans="1:6" s="14" customFormat="1" ht="15.75" customHeight="1">
      <c r="A2" s="14" t="s">
        <v>189</v>
      </c>
      <c r="B2" s="403">
        <f>'1. key ratios'!B2</f>
        <v>44834</v>
      </c>
    </row>
    <row r="3" spans="1:6" s="14" customFormat="1" ht="15.75" customHeight="1"/>
    <row r="4" spans="1:6" ht="15.75" thickBot="1">
      <c r="A4" s="1" t="s">
        <v>336</v>
      </c>
      <c r="B4" s="52" t="s">
        <v>88</v>
      </c>
    </row>
    <row r="5" spans="1:6">
      <c r="A5" s="123" t="s">
        <v>26</v>
      </c>
      <c r="B5" s="124"/>
      <c r="C5" s="125" t="s">
        <v>27</v>
      </c>
    </row>
    <row r="6" spans="1:6">
      <c r="A6" s="126">
        <v>1</v>
      </c>
      <c r="B6" s="73" t="s">
        <v>28</v>
      </c>
      <c r="C6" s="241">
        <f>SUM(C7:C11)</f>
        <v>180693065.49999994</v>
      </c>
    </row>
    <row r="7" spans="1:6">
      <c r="A7" s="126">
        <v>2</v>
      </c>
      <c r="B7" s="70" t="s">
        <v>29</v>
      </c>
      <c r="C7" s="242">
        <v>121372000.00000001</v>
      </c>
    </row>
    <row r="8" spans="1:6">
      <c r="A8" s="126">
        <v>3</v>
      </c>
      <c r="B8" s="65" t="s">
        <v>30</v>
      </c>
      <c r="C8" s="242">
        <v>0</v>
      </c>
    </row>
    <row r="9" spans="1:6">
      <c r="A9" s="126">
        <v>4</v>
      </c>
      <c r="B9" s="65" t="s">
        <v>31</v>
      </c>
      <c r="C9" s="242">
        <v>0</v>
      </c>
    </row>
    <row r="10" spans="1:6">
      <c r="A10" s="126">
        <v>5</v>
      </c>
      <c r="B10" s="65" t="s">
        <v>32</v>
      </c>
      <c r="C10" s="242">
        <v>0</v>
      </c>
    </row>
    <row r="11" spans="1:6">
      <c r="A11" s="126">
        <v>6</v>
      </c>
      <c r="B11" s="71" t="s">
        <v>33</v>
      </c>
      <c r="C11" s="242">
        <v>59321065.499999925</v>
      </c>
    </row>
    <row r="12" spans="1:6" s="2" customFormat="1">
      <c r="A12" s="126">
        <v>7</v>
      </c>
      <c r="B12" s="73" t="s">
        <v>34</v>
      </c>
      <c r="C12" s="243">
        <f>SUM(C13:C27)</f>
        <v>23660155</v>
      </c>
    </row>
    <row r="13" spans="1:6" s="2" customFormat="1">
      <c r="A13" s="126">
        <v>8</v>
      </c>
      <c r="B13" s="72" t="s">
        <v>35</v>
      </c>
      <c r="C13" s="244">
        <v>0</v>
      </c>
    </row>
    <row r="14" spans="1:6" s="2" customFormat="1" ht="25.5">
      <c r="A14" s="126">
        <v>9</v>
      </c>
      <c r="B14" s="66" t="s">
        <v>36</v>
      </c>
      <c r="C14" s="244">
        <v>0</v>
      </c>
    </row>
    <row r="15" spans="1:6" s="2" customFormat="1">
      <c r="A15" s="126">
        <v>10</v>
      </c>
      <c r="B15" s="67" t="s">
        <v>37</v>
      </c>
      <c r="C15" s="244">
        <v>23660155</v>
      </c>
    </row>
    <row r="16" spans="1:6" s="2" customFormat="1">
      <c r="A16" s="126">
        <v>11</v>
      </c>
      <c r="B16" s="68" t="s">
        <v>38</v>
      </c>
      <c r="C16" s="244">
        <v>0</v>
      </c>
    </row>
    <row r="17" spans="1:3" s="2" customFormat="1">
      <c r="A17" s="126">
        <v>12</v>
      </c>
      <c r="B17" s="67" t="s">
        <v>39</v>
      </c>
      <c r="C17" s="244">
        <v>0</v>
      </c>
    </row>
    <row r="18" spans="1:3" s="2" customFormat="1">
      <c r="A18" s="126">
        <v>13</v>
      </c>
      <c r="B18" s="67" t="s">
        <v>40</v>
      </c>
      <c r="C18" s="244">
        <v>0</v>
      </c>
    </row>
    <row r="19" spans="1:3" s="2" customFormat="1">
      <c r="A19" s="126">
        <v>14</v>
      </c>
      <c r="B19" s="67" t="s">
        <v>41</v>
      </c>
      <c r="C19" s="244">
        <v>0</v>
      </c>
    </row>
    <row r="20" spans="1:3" s="2" customFormat="1" ht="25.5">
      <c r="A20" s="126">
        <v>15</v>
      </c>
      <c r="B20" s="67" t="s">
        <v>42</v>
      </c>
      <c r="C20" s="244">
        <v>0</v>
      </c>
    </row>
    <row r="21" spans="1:3" s="2" customFormat="1" ht="25.5">
      <c r="A21" s="126">
        <v>16</v>
      </c>
      <c r="B21" s="66" t="s">
        <v>43</v>
      </c>
      <c r="C21" s="244">
        <v>0</v>
      </c>
    </row>
    <row r="22" spans="1:3" s="2" customFormat="1">
      <c r="A22" s="126">
        <v>17</v>
      </c>
      <c r="B22" s="127" t="s">
        <v>44</v>
      </c>
      <c r="C22" s="244">
        <v>0</v>
      </c>
    </row>
    <row r="23" spans="1:3" s="2" customFormat="1" ht="25.5">
      <c r="A23" s="126">
        <v>18</v>
      </c>
      <c r="B23" s="66" t="s">
        <v>45</v>
      </c>
      <c r="C23" s="244">
        <v>0</v>
      </c>
    </row>
    <row r="24" spans="1:3" s="2" customFormat="1" ht="25.5">
      <c r="A24" s="126">
        <v>19</v>
      </c>
      <c r="B24" s="66" t="s">
        <v>46</v>
      </c>
      <c r="C24" s="244">
        <v>0</v>
      </c>
    </row>
    <row r="25" spans="1:3" s="2" customFormat="1" ht="25.5">
      <c r="A25" s="126">
        <v>20</v>
      </c>
      <c r="B25" s="68" t="s">
        <v>47</v>
      </c>
      <c r="C25" s="244">
        <v>0</v>
      </c>
    </row>
    <row r="26" spans="1:3" s="2" customFormat="1">
      <c r="A26" s="126">
        <v>21</v>
      </c>
      <c r="B26" s="68" t="s">
        <v>48</v>
      </c>
      <c r="C26" s="244">
        <v>0</v>
      </c>
    </row>
    <row r="27" spans="1:3" s="2" customFormat="1" ht="25.5">
      <c r="A27" s="126">
        <v>22</v>
      </c>
      <c r="B27" s="68" t="s">
        <v>49</v>
      </c>
      <c r="C27" s="244">
        <v>0</v>
      </c>
    </row>
    <row r="28" spans="1:3" s="2" customFormat="1">
      <c r="A28" s="126">
        <v>23</v>
      </c>
      <c r="B28" s="74" t="s">
        <v>23</v>
      </c>
      <c r="C28" s="243">
        <f>C6-C12</f>
        <v>157032910.49999994</v>
      </c>
    </row>
    <row r="29" spans="1:3" s="2" customFormat="1">
      <c r="A29" s="128"/>
      <c r="B29" s="69"/>
      <c r="C29" s="244"/>
    </row>
    <row r="30" spans="1:3" s="2" customFormat="1">
      <c r="A30" s="128">
        <v>24</v>
      </c>
      <c r="B30" s="74" t="s">
        <v>50</v>
      </c>
      <c r="C30" s="243">
        <f>C31+C34</f>
        <v>0</v>
      </c>
    </row>
    <row r="31" spans="1:3" s="2" customFormat="1">
      <c r="A31" s="128">
        <v>25</v>
      </c>
      <c r="B31" s="65" t="s">
        <v>51</v>
      </c>
      <c r="C31" s="245">
        <f>C32+C33</f>
        <v>0</v>
      </c>
    </row>
    <row r="32" spans="1:3" s="2" customFormat="1">
      <c r="A32" s="128">
        <v>26</v>
      </c>
      <c r="B32" s="164" t="s">
        <v>52</v>
      </c>
      <c r="C32" s="244">
        <v>0</v>
      </c>
    </row>
    <row r="33" spans="1:3" s="2" customFormat="1">
      <c r="A33" s="128">
        <v>27</v>
      </c>
      <c r="B33" s="164" t="s">
        <v>53</v>
      </c>
      <c r="C33" s="244">
        <v>0</v>
      </c>
    </row>
    <row r="34" spans="1:3" s="2" customFormat="1">
      <c r="A34" s="128">
        <v>28</v>
      </c>
      <c r="B34" s="65" t="s">
        <v>54</v>
      </c>
      <c r="C34" s="244">
        <v>0</v>
      </c>
    </row>
    <row r="35" spans="1:3" s="2" customFormat="1">
      <c r="A35" s="128">
        <v>29</v>
      </c>
      <c r="B35" s="74" t="s">
        <v>55</v>
      </c>
      <c r="C35" s="243">
        <f>SUM(C36:C40)</f>
        <v>0</v>
      </c>
    </row>
    <row r="36" spans="1:3" s="2" customFormat="1">
      <c r="A36" s="128">
        <v>30</v>
      </c>
      <c r="B36" s="66" t="s">
        <v>56</v>
      </c>
      <c r="C36" s="244">
        <v>0</v>
      </c>
    </row>
    <row r="37" spans="1:3" s="2" customFormat="1">
      <c r="A37" s="128">
        <v>31</v>
      </c>
      <c r="B37" s="67" t="s">
        <v>57</v>
      </c>
      <c r="C37" s="244">
        <v>0</v>
      </c>
    </row>
    <row r="38" spans="1:3" s="2" customFormat="1" ht="25.5">
      <c r="A38" s="128">
        <v>32</v>
      </c>
      <c r="B38" s="66" t="s">
        <v>58</v>
      </c>
      <c r="C38" s="244">
        <v>0</v>
      </c>
    </row>
    <row r="39" spans="1:3" s="2" customFormat="1" ht="25.5">
      <c r="A39" s="128">
        <v>33</v>
      </c>
      <c r="B39" s="66" t="s">
        <v>46</v>
      </c>
      <c r="C39" s="244">
        <v>0</v>
      </c>
    </row>
    <row r="40" spans="1:3" s="2" customFormat="1" ht="25.5">
      <c r="A40" s="128">
        <v>34</v>
      </c>
      <c r="B40" s="68" t="s">
        <v>59</v>
      </c>
      <c r="C40" s="244">
        <v>0</v>
      </c>
    </row>
    <row r="41" spans="1:3" s="2" customFormat="1">
      <c r="A41" s="128">
        <v>35</v>
      </c>
      <c r="B41" s="74" t="s">
        <v>24</v>
      </c>
      <c r="C41" s="243">
        <f>C30-C35</f>
        <v>0</v>
      </c>
    </row>
    <row r="42" spans="1:3" s="2" customFormat="1">
      <c r="A42" s="128"/>
      <c r="B42" s="69"/>
      <c r="C42" s="244"/>
    </row>
    <row r="43" spans="1:3" s="2" customFormat="1">
      <c r="A43" s="128">
        <v>36</v>
      </c>
      <c r="B43" s="75" t="s">
        <v>60</v>
      </c>
      <c r="C43" s="243">
        <f>SUM(C44:C46)</f>
        <v>49423564.102084495</v>
      </c>
    </row>
    <row r="44" spans="1:3" s="2" customFormat="1">
      <c r="A44" s="128">
        <v>37</v>
      </c>
      <c r="B44" s="65" t="s">
        <v>61</v>
      </c>
      <c r="C44" s="244">
        <v>36076440</v>
      </c>
    </row>
    <row r="45" spans="1:3" s="2" customFormat="1">
      <c r="A45" s="128">
        <v>38</v>
      </c>
      <c r="B45" s="65" t="s">
        <v>62</v>
      </c>
      <c r="C45" s="244">
        <v>0</v>
      </c>
    </row>
    <row r="46" spans="1:3" s="2" customFormat="1">
      <c r="A46" s="128">
        <v>39</v>
      </c>
      <c r="B46" s="65" t="s">
        <v>63</v>
      </c>
      <c r="C46" s="244">
        <v>13347124.102084495</v>
      </c>
    </row>
    <row r="47" spans="1:3" s="2" customFormat="1">
      <c r="A47" s="128">
        <v>40</v>
      </c>
      <c r="B47" s="75" t="s">
        <v>64</v>
      </c>
      <c r="C47" s="243">
        <f>SUM(C48:C51)</f>
        <v>0</v>
      </c>
    </row>
    <row r="48" spans="1:3" s="2" customFormat="1">
      <c r="A48" s="128">
        <v>41</v>
      </c>
      <c r="B48" s="66" t="s">
        <v>65</v>
      </c>
      <c r="C48" s="244">
        <v>0</v>
      </c>
    </row>
    <row r="49" spans="1:3" s="2" customFormat="1">
      <c r="A49" s="128">
        <v>42</v>
      </c>
      <c r="B49" s="67" t="s">
        <v>66</v>
      </c>
      <c r="C49" s="244">
        <v>0</v>
      </c>
    </row>
    <row r="50" spans="1:3" s="2" customFormat="1" ht="25.5">
      <c r="A50" s="128">
        <v>43</v>
      </c>
      <c r="B50" s="66" t="s">
        <v>67</v>
      </c>
      <c r="C50" s="244">
        <v>0</v>
      </c>
    </row>
    <row r="51" spans="1:3" s="2" customFormat="1" ht="25.5">
      <c r="A51" s="128">
        <v>44</v>
      </c>
      <c r="B51" s="66" t="s">
        <v>46</v>
      </c>
      <c r="C51" s="244">
        <v>0</v>
      </c>
    </row>
    <row r="52" spans="1:3" s="2" customFormat="1" ht="15.75" thickBot="1">
      <c r="A52" s="129">
        <v>45</v>
      </c>
      <c r="B52" s="130" t="s">
        <v>25</v>
      </c>
      <c r="C52" s="246">
        <f>C43-C47</f>
        <v>49423564.102084495</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C7" sqref="C7:D2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4" t="s">
        <v>188</v>
      </c>
      <c r="B1" s="13" t="str">
        <f>Info!C2</f>
        <v>ს.ს. "ტერაბანკი"</v>
      </c>
    </row>
    <row r="2" spans="1:4" s="14" customFormat="1" ht="15.75" customHeight="1">
      <c r="A2" s="14" t="s">
        <v>189</v>
      </c>
      <c r="B2" s="403">
        <f>'1. key ratios'!B2</f>
        <v>44834</v>
      </c>
    </row>
    <row r="3" spans="1:4" s="14" customFormat="1" ht="15.75" customHeight="1"/>
    <row r="4" spans="1:4" ht="13.5" thickBot="1">
      <c r="A4" s="1" t="s">
        <v>399</v>
      </c>
      <c r="B4" s="319" t="s">
        <v>400</v>
      </c>
    </row>
    <row r="5" spans="1:4" s="60" customFormat="1">
      <c r="A5" s="644" t="s">
        <v>401</v>
      </c>
      <c r="B5" s="645"/>
      <c r="C5" s="309" t="s">
        <v>402</v>
      </c>
      <c r="D5" s="310" t="s">
        <v>403</v>
      </c>
    </row>
    <row r="6" spans="1:4" s="320" customFormat="1">
      <c r="A6" s="311">
        <v>1</v>
      </c>
      <c r="B6" s="312" t="s">
        <v>404</v>
      </c>
      <c r="C6" s="312"/>
      <c r="D6" s="313"/>
    </row>
    <row r="7" spans="1:4" s="320" customFormat="1">
      <c r="A7" s="314" t="s">
        <v>405</v>
      </c>
      <c r="B7" s="315" t="s">
        <v>406</v>
      </c>
      <c r="C7" s="363">
        <v>4.4999999999999998E-2</v>
      </c>
      <c r="D7" s="539">
        <v>53437568.594872944</v>
      </c>
    </row>
    <row r="8" spans="1:4" s="320" customFormat="1">
      <c r="A8" s="314" t="s">
        <v>407</v>
      </c>
      <c r="B8" s="315" t="s">
        <v>408</v>
      </c>
      <c r="C8" s="364">
        <v>0.06</v>
      </c>
      <c r="D8" s="539">
        <v>71250091.459830597</v>
      </c>
    </row>
    <row r="9" spans="1:4" s="320" customFormat="1">
      <c r="A9" s="314" t="s">
        <v>409</v>
      </c>
      <c r="B9" s="315" t="s">
        <v>410</v>
      </c>
      <c r="C9" s="364">
        <v>0.08</v>
      </c>
      <c r="D9" s="539">
        <v>95000121.946440801</v>
      </c>
    </row>
    <row r="10" spans="1:4" s="320" customFormat="1">
      <c r="A10" s="311" t="s">
        <v>411</v>
      </c>
      <c r="B10" s="312" t="s">
        <v>412</v>
      </c>
      <c r="C10" s="365"/>
      <c r="D10" s="537"/>
    </row>
    <row r="11" spans="1:4" s="321" customFormat="1">
      <c r="A11" s="316" t="s">
        <v>413</v>
      </c>
      <c r="B11" s="317" t="s">
        <v>475</v>
      </c>
      <c r="C11" s="366">
        <v>0</v>
      </c>
      <c r="D11" s="536">
        <v>0</v>
      </c>
    </row>
    <row r="12" spans="1:4" s="321" customFormat="1">
      <c r="A12" s="316" t="s">
        <v>414</v>
      </c>
      <c r="B12" s="317" t="s">
        <v>415</v>
      </c>
      <c r="C12" s="366">
        <v>0</v>
      </c>
      <c r="D12" s="536">
        <v>0</v>
      </c>
    </row>
    <row r="13" spans="1:4" s="321" customFormat="1">
      <c r="A13" s="316" t="s">
        <v>416</v>
      </c>
      <c r="B13" s="317" t="s">
        <v>417</v>
      </c>
      <c r="C13" s="366">
        <v>0</v>
      </c>
      <c r="D13" s="536">
        <v>0</v>
      </c>
    </row>
    <row r="14" spans="1:4" s="320" customFormat="1">
      <c r="A14" s="311" t="s">
        <v>418</v>
      </c>
      <c r="B14" s="312" t="s">
        <v>473</v>
      </c>
      <c r="C14" s="367"/>
      <c r="D14" s="537"/>
    </row>
    <row r="15" spans="1:4" s="320" customFormat="1">
      <c r="A15" s="331" t="s">
        <v>421</v>
      </c>
      <c r="B15" s="317" t="s">
        <v>474</v>
      </c>
      <c r="C15" s="366">
        <v>2.0555127499404462E-2</v>
      </c>
      <c r="D15" s="536">
        <v>24409245.238350779</v>
      </c>
    </row>
    <row r="16" spans="1:4" s="320" customFormat="1">
      <c r="A16" s="331" t="s">
        <v>422</v>
      </c>
      <c r="B16" s="317" t="s">
        <v>424</v>
      </c>
      <c r="C16" s="366">
        <v>2.7432396292337909E-2</v>
      </c>
      <c r="D16" s="536">
        <v>32576012.413189895</v>
      </c>
    </row>
    <row r="17" spans="1:4" s="320" customFormat="1">
      <c r="A17" s="331" t="s">
        <v>423</v>
      </c>
      <c r="B17" s="317" t="s">
        <v>471</v>
      </c>
      <c r="C17" s="366">
        <v>4.3803688502332516E-2</v>
      </c>
      <c r="D17" s="536">
        <v>52016946.867818691</v>
      </c>
    </row>
    <row r="18" spans="1:4" s="60" customFormat="1">
      <c r="A18" s="646" t="s">
        <v>472</v>
      </c>
      <c r="B18" s="647"/>
      <c r="C18" s="368" t="s">
        <v>402</v>
      </c>
      <c r="D18" s="538" t="s">
        <v>403</v>
      </c>
    </row>
    <row r="19" spans="1:4" s="320" customFormat="1">
      <c r="A19" s="318">
        <v>4</v>
      </c>
      <c r="B19" s="317" t="s">
        <v>23</v>
      </c>
      <c r="C19" s="366">
        <v>6.5555127499404453E-2</v>
      </c>
      <c r="D19" s="539">
        <v>77846813.833223715</v>
      </c>
    </row>
    <row r="20" spans="1:4" s="320" customFormat="1">
      <c r="A20" s="318">
        <v>5</v>
      </c>
      <c r="B20" s="317" t="s">
        <v>89</v>
      </c>
      <c r="C20" s="366">
        <v>8.7432396292337899E-2</v>
      </c>
      <c r="D20" s="539">
        <v>103826103.87302049</v>
      </c>
    </row>
    <row r="21" spans="1:4" s="320" customFormat="1" ht="13.5" thickBot="1">
      <c r="A21" s="322" t="s">
        <v>419</v>
      </c>
      <c r="B21" s="323" t="s">
        <v>88</v>
      </c>
      <c r="C21" s="369">
        <v>0.12380368850233252</v>
      </c>
      <c r="D21" s="540">
        <v>147017068.8142595</v>
      </c>
    </row>
    <row r="23" spans="1:4" ht="63.75">
      <c r="B23" s="18"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61" customWidth="1"/>
    <col min="2" max="2" width="91.85546875" style="61" customWidth="1"/>
    <col min="3" max="3" width="53.140625" style="61" customWidth="1"/>
    <col min="4" max="4" width="32.28515625" style="61" customWidth="1"/>
    <col min="5" max="5" width="9.42578125" customWidth="1"/>
  </cols>
  <sheetData>
    <row r="1" spans="1:6">
      <c r="A1" s="14" t="s">
        <v>188</v>
      </c>
      <c r="B1" s="15" t="str">
        <f>Info!C2</f>
        <v>ს.ს. "ტერაბანკი"</v>
      </c>
      <c r="E1" s="1"/>
      <c r="F1" s="1"/>
    </row>
    <row r="2" spans="1:6" s="14" customFormat="1" ht="15.75" customHeight="1">
      <c r="A2" s="14" t="s">
        <v>189</v>
      </c>
      <c r="B2" s="403">
        <f>'1. key ratios'!B2</f>
        <v>44834</v>
      </c>
    </row>
    <row r="3" spans="1:6" s="14" customFormat="1" ht="15.75" customHeight="1">
      <c r="A3" s="21"/>
    </row>
    <row r="4" spans="1:6" s="14" customFormat="1" ht="15.75" customHeight="1" thickBot="1">
      <c r="A4" s="14" t="s">
        <v>337</v>
      </c>
      <c r="B4" s="186" t="s">
        <v>269</v>
      </c>
      <c r="D4" s="188" t="s">
        <v>93</v>
      </c>
    </row>
    <row r="5" spans="1:6" ht="38.25">
      <c r="A5" s="142" t="s">
        <v>26</v>
      </c>
      <c r="B5" s="143" t="s">
        <v>231</v>
      </c>
      <c r="C5" s="144" t="s">
        <v>237</v>
      </c>
      <c r="D5" s="187" t="s">
        <v>270</v>
      </c>
    </row>
    <row r="6" spans="1:6">
      <c r="A6" s="131">
        <v>1</v>
      </c>
      <c r="B6" s="76" t="s">
        <v>154</v>
      </c>
      <c r="C6" s="541">
        <v>38240214.4298326</v>
      </c>
      <c r="D6" s="132"/>
      <c r="E6" s="5"/>
    </row>
    <row r="7" spans="1:6">
      <c r="A7" s="131">
        <v>2</v>
      </c>
      <c r="B7" s="77" t="s">
        <v>155</v>
      </c>
      <c r="C7" s="542">
        <v>116160978.19999999</v>
      </c>
      <c r="D7" s="133"/>
      <c r="E7" s="5"/>
    </row>
    <row r="8" spans="1:6">
      <c r="A8" s="131">
        <v>3</v>
      </c>
      <c r="B8" s="77" t="s">
        <v>156</v>
      </c>
      <c r="C8" s="542">
        <v>44618440.460000008</v>
      </c>
      <c r="D8" s="133"/>
      <c r="E8" s="5"/>
    </row>
    <row r="9" spans="1:6">
      <c r="A9" s="131">
        <v>4</v>
      </c>
      <c r="B9" s="77" t="s">
        <v>185</v>
      </c>
      <c r="C9" s="542">
        <v>0</v>
      </c>
      <c r="D9" s="133"/>
      <c r="E9" s="5"/>
    </row>
    <row r="10" spans="1:6">
      <c r="A10" s="131">
        <v>5</v>
      </c>
      <c r="B10" s="77" t="s">
        <v>157</v>
      </c>
      <c r="C10" s="542">
        <v>161124418.93000001</v>
      </c>
      <c r="D10" s="133"/>
      <c r="E10" s="5"/>
    </row>
    <row r="11" spans="1:6">
      <c r="A11" s="131">
        <v>6.1</v>
      </c>
      <c r="B11" s="77" t="s">
        <v>158</v>
      </c>
      <c r="C11" s="543">
        <v>1056036434.1899962</v>
      </c>
      <c r="D11" s="134"/>
      <c r="E11" s="6"/>
    </row>
    <row r="12" spans="1:6">
      <c r="A12" s="131">
        <v>6.2</v>
      </c>
      <c r="B12" s="78" t="s">
        <v>159</v>
      </c>
      <c r="C12" s="543">
        <v>-45060508.269999981</v>
      </c>
      <c r="D12" s="134"/>
      <c r="E12" s="6"/>
    </row>
    <row r="13" spans="1:6">
      <c r="A13" s="131" t="s">
        <v>371</v>
      </c>
      <c r="B13" s="79" t="s">
        <v>372</v>
      </c>
      <c r="C13" s="543">
        <v>-18410620.569999985</v>
      </c>
      <c r="D13" s="134"/>
      <c r="E13" s="6"/>
    </row>
    <row r="14" spans="1:6">
      <c r="A14" s="131" t="s">
        <v>495</v>
      </c>
      <c r="B14" s="79" t="s">
        <v>484</v>
      </c>
      <c r="C14" s="543">
        <v>0</v>
      </c>
      <c r="D14" s="134"/>
      <c r="E14" s="6"/>
    </row>
    <row r="15" spans="1:6">
      <c r="A15" s="131">
        <v>6</v>
      </c>
      <c r="B15" s="77" t="s">
        <v>160</v>
      </c>
      <c r="C15" s="544">
        <v>1010975925.9199963</v>
      </c>
      <c r="D15" s="134"/>
      <c r="E15" s="5"/>
    </row>
    <row r="16" spans="1:6">
      <c r="A16" s="131">
        <v>7</v>
      </c>
      <c r="B16" s="77" t="s">
        <v>161</v>
      </c>
      <c r="C16" s="542">
        <v>11331971.569999987</v>
      </c>
      <c r="D16" s="133"/>
      <c r="E16" s="5"/>
    </row>
    <row r="17" spans="1:5">
      <c r="A17" s="131">
        <v>8</v>
      </c>
      <c r="B17" s="77" t="s">
        <v>162</v>
      </c>
      <c r="C17" s="542">
        <v>6007958.9600000009</v>
      </c>
      <c r="D17" s="133"/>
      <c r="E17" s="5"/>
    </row>
    <row r="18" spans="1:5">
      <c r="A18" s="131">
        <v>9</v>
      </c>
      <c r="B18" s="77" t="s">
        <v>163</v>
      </c>
      <c r="C18" s="542">
        <v>0</v>
      </c>
      <c r="D18" s="133"/>
      <c r="E18" s="5"/>
    </row>
    <row r="19" spans="1:5">
      <c r="A19" s="131">
        <v>9.1</v>
      </c>
      <c r="B19" s="79" t="s">
        <v>246</v>
      </c>
      <c r="C19" s="543">
        <v>0</v>
      </c>
      <c r="D19" s="133"/>
      <c r="E19" s="5"/>
    </row>
    <row r="20" spans="1:5">
      <c r="A20" s="131">
        <v>9.1999999999999993</v>
      </c>
      <c r="B20" s="79" t="s">
        <v>236</v>
      </c>
      <c r="C20" s="543">
        <v>0</v>
      </c>
      <c r="D20" s="133"/>
      <c r="E20" s="5"/>
    </row>
    <row r="21" spans="1:5">
      <c r="A21" s="131">
        <v>9.3000000000000007</v>
      </c>
      <c r="B21" s="79" t="s">
        <v>235</v>
      </c>
      <c r="C21" s="543">
        <v>0</v>
      </c>
      <c r="D21" s="133"/>
      <c r="E21" s="5"/>
    </row>
    <row r="22" spans="1:5">
      <c r="A22" s="131">
        <v>10</v>
      </c>
      <c r="B22" s="77" t="s">
        <v>164</v>
      </c>
      <c r="C22" s="542">
        <v>46325390.210000031</v>
      </c>
      <c r="D22" s="133"/>
      <c r="E22" s="5"/>
    </row>
    <row r="23" spans="1:5">
      <c r="A23" s="131">
        <v>10.1</v>
      </c>
      <c r="B23" s="79" t="s">
        <v>234</v>
      </c>
      <c r="C23" s="542">
        <v>23660155</v>
      </c>
      <c r="D23" s="212" t="s">
        <v>344</v>
      </c>
      <c r="E23" s="5"/>
    </row>
    <row r="24" spans="1:5">
      <c r="A24" s="131">
        <v>11</v>
      </c>
      <c r="B24" s="80" t="s">
        <v>165</v>
      </c>
      <c r="C24" s="545">
        <v>13158854.138799999</v>
      </c>
      <c r="D24" s="135"/>
      <c r="E24" s="5"/>
    </row>
    <row r="25" spans="1:5">
      <c r="A25" s="131">
        <v>12</v>
      </c>
      <c r="B25" s="82" t="s">
        <v>166</v>
      </c>
      <c r="C25" s="247">
        <f>SUM(C6:C10,C15:C18,C22,C24)</f>
        <v>1447944152.8186288</v>
      </c>
      <c r="D25" s="136"/>
      <c r="E25" s="4"/>
    </row>
    <row r="26" spans="1:5">
      <c r="A26" s="131">
        <v>13</v>
      </c>
      <c r="B26" s="77" t="s">
        <v>167</v>
      </c>
      <c r="C26" s="546">
        <v>3054830.45</v>
      </c>
      <c r="D26" s="137"/>
      <c r="E26" s="5"/>
    </row>
    <row r="27" spans="1:5">
      <c r="A27" s="131">
        <v>14</v>
      </c>
      <c r="B27" s="77" t="s">
        <v>168</v>
      </c>
      <c r="C27" s="542">
        <v>188886350.27014935</v>
      </c>
      <c r="D27" s="133"/>
      <c r="E27" s="5"/>
    </row>
    <row r="28" spans="1:5">
      <c r="A28" s="131">
        <v>15</v>
      </c>
      <c r="B28" s="77" t="s">
        <v>169</v>
      </c>
      <c r="C28" s="542">
        <v>273824944.13999999</v>
      </c>
      <c r="D28" s="133"/>
      <c r="E28" s="5"/>
    </row>
    <row r="29" spans="1:5">
      <c r="A29" s="131">
        <v>16</v>
      </c>
      <c r="B29" s="77" t="s">
        <v>170</v>
      </c>
      <c r="C29" s="542">
        <v>451969067.18000054</v>
      </c>
      <c r="D29" s="133"/>
      <c r="E29" s="5"/>
    </row>
    <row r="30" spans="1:5">
      <c r="A30" s="131">
        <v>17</v>
      </c>
      <c r="B30" s="77" t="s">
        <v>171</v>
      </c>
      <c r="C30" s="542">
        <v>0</v>
      </c>
      <c r="D30" s="133"/>
      <c r="E30" s="5"/>
    </row>
    <row r="31" spans="1:5">
      <c r="A31" s="131">
        <v>18</v>
      </c>
      <c r="B31" s="77" t="s">
        <v>172</v>
      </c>
      <c r="C31" s="542">
        <v>261150052.94999999</v>
      </c>
      <c r="D31" s="133"/>
      <c r="E31" s="5"/>
    </row>
    <row r="32" spans="1:5">
      <c r="A32" s="131">
        <v>19</v>
      </c>
      <c r="B32" s="77" t="s">
        <v>173</v>
      </c>
      <c r="C32" s="542">
        <v>5575468.8000000026</v>
      </c>
      <c r="D32" s="133"/>
      <c r="E32" s="5"/>
    </row>
    <row r="33" spans="1:5">
      <c r="A33" s="131">
        <v>20</v>
      </c>
      <c r="B33" s="77" t="s">
        <v>95</v>
      </c>
      <c r="C33" s="542">
        <v>24331967.230000004</v>
      </c>
      <c r="D33" s="133"/>
      <c r="E33" s="5"/>
    </row>
    <row r="34" spans="1:5">
      <c r="A34" s="131">
        <v>20.100000000000001</v>
      </c>
      <c r="B34" s="81" t="s">
        <v>370</v>
      </c>
      <c r="C34" s="545">
        <v>934351.67999999947</v>
      </c>
      <c r="D34" s="135"/>
      <c r="E34" s="5"/>
    </row>
    <row r="35" spans="1:5">
      <c r="A35" s="131">
        <v>21</v>
      </c>
      <c r="B35" s="80" t="s">
        <v>174</v>
      </c>
      <c r="C35" s="545">
        <v>58458406.380000003</v>
      </c>
      <c r="D35" s="135"/>
      <c r="E35" s="5"/>
    </row>
    <row r="36" spans="1:5">
      <c r="A36" s="131">
        <v>21.1</v>
      </c>
      <c r="B36" s="81" t="s">
        <v>233</v>
      </c>
      <c r="C36" s="547">
        <v>36076440</v>
      </c>
      <c r="D36" s="138"/>
      <c r="E36" s="5"/>
    </row>
    <row r="37" spans="1:5">
      <c r="A37" s="131">
        <v>22</v>
      </c>
      <c r="B37" s="82" t="s">
        <v>175</v>
      </c>
      <c r="C37" s="247">
        <f>SUM(C26:C35)</f>
        <v>1268185439.0801501</v>
      </c>
      <c r="D37" s="136"/>
      <c r="E37" s="4"/>
    </row>
    <row r="38" spans="1:5">
      <c r="A38" s="131">
        <v>23</v>
      </c>
      <c r="B38" s="80" t="s">
        <v>176</v>
      </c>
      <c r="C38" s="542">
        <v>121372000</v>
      </c>
      <c r="D38" s="133"/>
      <c r="E38" s="5"/>
    </row>
    <row r="39" spans="1:5">
      <c r="A39" s="131">
        <v>24</v>
      </c>
      <c r="B39" s="80" t="s">
        <v>177</v>
      </c>
      <c r="C39" s="542">
        <v>0</v>
      </c>
      <c r="D39" s="133"/>
      <c r="E39" s="5"/>
    </row>
    <row r="40" spans="1:5">
      <c r="A40" s="131">
        <v>25</v>
      </c>
      <c r="B40" s="80" t="s">
        <v>232</v>
      </c>
      <c r="C40" s="542">
        <v>0</v>
      </c>
      <c r="D40" s="133"/>
      <c r="E40" s="5"/>
    </row>
    <row r="41" spans="1:5">
      <c r="A41" s="131">
        <v>26</v>
      </c>
      <c r="B41" s="80" t="s">
        <v>179</v>
      </c>
      <c r="C41" s="542">
        <v>0</v>
      </c>
      <c r="D41" s="133"/>
      <c r="E41" s="5"/>
    </row>
    <row r="42" spans="1:5">
      <c r="A42" s="131">
        <v>27</v>
      </c>
      <c r="B42" s="80" t="s">
        <v>180</v>
      </c>
      <c r="C42" s="542">
        <v>0</v>
      </c>
      <c r="D42" s="133"/>
      <c r="E42" s="5"/>
    </row>
    <row r="43" spans="1:5">
      <c r="A43" s="131">
        <v>28</v>
      </c>
      <c r="B43" s="80" t="s">
        <v>181</v>
      </c>
      <c r="C43" s="542">
        <v>59321065.479999997</v>
      </c>
      <c r="D43" s="133"/>
      <c r="E43" s="5"/>
    </row>
    <row r="44" spans="1:5">
      <c r="A44" s="131">
        <v>29</v>
      </c>
      <c r="B44" s="80" t="s">
        <v>35</v>
      </c>
      <c r="C44" s="542">
        <v>0</v>
      </c>
      <c r="D44" s="133"/>
      <c r="E44" s="5"/>
    </row>
    <row r="45" spans="1:5" ht="16.5" thickBot="1">
      <c r="A45" s="139">
        <v>30</v>
      </c>
      <c r="B45" s="140" t="s">
        <v>182</v>
      </c>
      <c r="C45" s="248">
        <f>SUM(C38:C44)</f>
        <v>180693065.47999999</v>
      </c>
      <c r="D45" s="141"/>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3.5703125" style="1" bestFit="1" customWidth="1"/>
    <col min="6" max="6" width="13.42578125" style="1" bestFit="1" customWidth="1"/>
    <col min="7" max="7" width="14.5703125" style="1" bestFit="1" customWidth="1"/>
    <col min="8" max="8" width="13.42578125" style="1" bestFit="1" customWidth="1"/>
    <col min="9" max="9" width="12.42578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5703125" style="1" bestFit="1" customWidth="1"/>
    <col min="15" max="15" width="12.42578125" style="1" bestFit="1" customWidth="1"/>
    <col min="16" max="16" width="13.42578125" style="1" bestFit="1" customWidth="1"/>
    <col min="17" max="17" width="9.5703125" style="1" bestFit="1" customWidth="1"/>
    <col min="18" max="18" width="13.42578125" style="1" bestFit="1" customWidth="1"/>
    <col min="19" max="19" width="31.5703125" style="1" bestFit="1" customWidth="1"/>
    <col min="20" max="16384" width="9.140625" style="9"/>
  </cols>
  <sheetData>
    <row r="1" spans="1:19">
      <c r="A1" s="1" t="s">
        <v>188</v>
      </c>
      <c r="B1" s="1" t="str">
        <f>Info!C2</f>
        <v>ს.ს. "ტერაბანკი"</v>
      </c>
    </row>
    <row r="2" spans="1:19">
      <c r="A2" s="1" t="s">
        <v>189</v>
      </c>
      <c r="B2" s="403">
        <f>'1. key ratios'!B2</f>
        <v>44834</v>
      </c>
    </row>
    <row r="4" spans="1:19" ht="26.25" thickBot="1">
      <c r="A4" s="60" t="s">
        <v>338</v>
      </c>
      <c r="B4" s="258" t="s">
        <v>360</v>
      </c>
    </row>
    <row r="5" spans="1:19">
      <c r="A5" s="120"/>
      <c r="B5" s="122"/>
      <c r="C5" s="106" t="s">
        <v>0</v>
      </c>
      <c r="D5" s="106" t="s">
        <v>1</v>
      </c>
      <c r="E5" s="106" t="s">
        <v>2</v>
      </c>
      <c r="F5" s="106" t="s">
        <v>3</v>
      </c>
      <c r="G5" s="106" t="s">
        <v>4</v>
      </c>
      <c r="H5" s="106" t="s">
        <v>5</v>
      </c>
      <c r="I5" s="106" t="s">
        <v>238</v>
      </c>
      <c r="J5" s="106" t="s">
        <v>239</v>
      </c>
      <c r="K5" s="106" t="s">
        <v>240</v>
      </c>
      <c r="L5" s="106" t="s">
        <v>241</v>
      </c>
      <c r="M5" s="106" t="s">
        <v>242</v>
      </c>
      <c r="N5" s="106" t="s">
        <v>243</v>
      </c>
      <c r="O5" s="106" t="s">
        <v>347</v>
      </c>
      <c r="P5" s="106" t="s">
        <v>348</v>
      </c>
      <c r="Q5" s="106" t="s">
        <v>349</v>
      </c>
      <c r="R5" s="254" t="s">
        <v>350</v>
      </c>
      <c r="S5" s="107" t="s">
        <v>351</v>
      </c>
    </row>
    <row r="6" spans="1:19" ht="46.5" customHeight="1">
      <c r="A6" s="145"/>
      <c r="B6" s="652" t="s">
        <v>352</v>
      </c>
      <c r="C6" s="650">
        <v>0</v>
      </c>
      <c r="D6" s="651"/>
      <c r="E6" s="650">
        <v>0.2</v>
      </c>
      <c r="F6" s="651"/>
      <c r="G6" s="650">
        <v>0.35</v>
      </c>
      <c r="H6" s="651"/>
      <c r="I6" s="650">
        <v>0.5</v>
      </c>
      <c r="J6" s="651"/>
      <c r="K6" s="650">
        <v>0.75</v>
      </c>
      <c r="L6" s="651"/>
      <c r="M6" s="650">
        <v>1</v>
      </c>
      <c r="N6" s="651"/>
      <c r="O6" s="650">
        <v>1.5</v>
      </c>
      <c r="P6" s="651"/>
      <c r="Q6" s="650">
        <v>2.5</v>
      </c>
      <c r="R6" s="651"/>
      <c r="S6" s="648" t="s">
        <v>251</v>
      </c>
    </row>
    <row r="7" spans="1:19">
      <c r="A7" s="145"/>
      <c r="B7" s="653"/>
      <c r="C7" s="257" t="s">
        <v>345</v>
      </c>
      <c r="D7" s="257" t="s">
        <v>346</v>
      </c>
      <c r="E7" s="257" t="s">
        <v>345</v>
      </c>
      <c r="F7" s="257" t="s">
        <v>346</v>
      </c>
      <c r="G7" s="257" t="s">
        <v>345</v>
      </c>
      <c r="H7" s="257" t="s">
        <v>346</v>
      </c>
      <c r="I7" s="257" t="s">
        <v>345</v>
      </c>
      <c r="J7" s="257" t="s">
        <v>346</v>
      </c>
      <c r="K7" s="257" t="s">
        <v>345</v>
      </c>
      <c r="L7" s="257" t="s">
        <v>346</v>
      </c>
      <c r="M7" s="257" t="s">
        <v>345</v>
      </c>
      <c r="N7" s="257" t="s">
        <v>346</v>
      </c>
      <c r="O7" s="257" t="s">
        <v>345</v>
      </c>
      <c r="P7" s="257" t="s">
        <v>346</v>
      </c>
      <c r="Q7" s="257" t="s">
        <v>345</v>
      </c>
      <c r="R7" s="257" t="s">
        <v>346</v>
      </c>
      <c r="S7" s="649"/>
    </row>
    <row r="8" spans="1:19">
      <c r="A8" s="110">
        <v>1</v>
      </c>
      <c r="B8" s="163" t="s">
        <v>216</v>
      </c>
      <c r="C8" s="548">
        <v>178825548.06</v>
      </c>
      <c r="D8" s="548">
        <v>0</v>
      </c>
      <c r="E8" s="548">
        <v>0</v>
      </c>
      <c r="F8" s="549">
        <v>0</v>
      </c>
      <c r="G8" s="548">
        <v>0</v>
      </c>
      <c r="H8" s="548">
        <v>0</v>
      </c>
      <c r="I8" s="548">
        <v>0</v>
      </c>
      <c r="J8" s="548">
        <v>0</v>
      </c>
      <c r="K8" s="548">
        <v>0</v>
      </c>
      <c r="L8" s="548">
        <v>0</v>
      </c>
      <c r="M8" s="548">
        <v>98317721.50999999</v>
      </c>
      <c r="N8" s="548">
        <v>0</v>
      </c>
      <c r="O8" s="548">
        <v>0</v>
      </c>
      <c r="P8" s="548">
        <v>0</v>
      </c>
      <c r="Q8" s="548">
        <v>0</v>
      </c>
      <c r="R8" s="549">
        <v>0</v>
      </c>
      <c r="S8" s="261">
        <f>$C$6*SUM(C8:D8)+$E$6*SUM(E8:F8)+$G$6*SUM(G8:H8)+$I$6*SUM(I8:J8)+$K$6*SUM(K8:L8)+$M$6*SUM(M8:N8)+$O$6*SUM(O8:P8)+$Q$6*SUM(Q8:R8)</f>
        <v>98317721.50999999</v>
      </c>
    </row>
    <row r="9" spans="1:19">
      <c r="A9" s="110">
        <v>2</v>
      </c>
      <c r="B9" s="163" t="s">
        <v>217</v>
      </c>
      <c r="C9" s="548">
        <v>0</v>
      </c>
      <c r="D9" s="548">
        <v>0</v>
      </c>
      <c r="E9" s="548">
        <v>0</v>
      </c>
      <c r="F9" s="548">
        <v>0</v>
      </c>
      <c r="G9" s="548">
        <v>0</v>
      </c>
      <c r="H9" s="548">
        <v>0</v>
      </c>
      <c r="I9" s="548">
        <v>0</v>
      </c>
      <c r="J9" s="548">
        <v>0</v>
      </c>
      <c r="K9" s="548">
        <v>0</v>
      </c>
      <c r="L9" s="548">
        <v>0</v>
      </c>
      <c r="M9" s="548">
        <v>0</v>
      </c>
      <c r="N9" s="548">
        <v>0</v>
      </c>
      <c r="O9" s="548">
        <v>0</v>
      </c>
      <c r="P9" s="548">
        <v>0</v>
      </c>
      <c r="Q9" s="548">
        <v>0</v>
      </c>
      <c r="R9" s="549">
        <v>0</v>
      </c>
      <c r="S9" s="261">
        <f t="shared" ref="S9:S21" si="0">$C$6*SUM(C9:D9)+$E$6*SUM(E9:F9)+$G$6*SUM(G9:H9)+$I$6*SUM(I9:J9)+$K$6*SUM(K9:L9)+$M$6*SUM(M9:N9)+$O$6*SUM(O9:P9)+$Q$6*SUM(Q9:R9)</f>
        <v>0</v>
      </c>
    </row>
    <row r="10" spans="1:19">
      <c r="A10" s="110">
        <v>3</v>
      </c>
      <c r="B10" s="163" t="s">
        <v>218</v>
      </c>
      <c r="C10" s="548">
        <v>0</v>
      </c>
      <c r="D10" s="548">
        <v>0</v>
      </c>
      <c r="E10" s="548">
        <v>0</v>
      </c>
      <c r="F10" s="548">
        <v>0</v>
      </c>
      <c r="G10" s="548">
        <v>0</v>
      </c>
      <c r="H10" s="548">
        <v>0</v>
      </c>
      <c r="I10" s="548">
        <v>0</v>
      </c>
      <c r="J10" s="548">
        <v>0</v>
      </c>
      <c r="K10" s="548">
        <v>0</v>
      </c>
      <c r="L10" s="548">
        <v>0</v>
      </c>
      <c r="M10" s="548">
        <v>0</v>
      </c>
      <c r="N10" s="548">
        <v>0</v>
      </c>
      <c r="O10" s="548">
        <v>0</v>
      </c>
      <c r="P10" s="548">
        <v>0</v>
      </c>
      <c r="Q10" s="548">
        <v>0</v>
      </c>
      <c r="R10" s="549">
        <v>0</v>
      </c>
      <c r="S10" s="261">
        <f t="shared" si="0"/>
        <v>0</v>
      </c>
    </row>
    <row r="11" spans="1:19">
      <c r="A11" s="110">
        <v>4</v>
      </c>
      <c r="B11" s="163" t="s">
        <v>219</v>
      </c>
      <c r="C11" s="548">
        <v>0</v>
      </c>
      <c r="D11" s="548">
        <v>0</v>
      </c>
      <c r="E11" s="548">
        <v>0</v>
      </c>
      <c r="F11" s="548">
        <v>0</v>
      </c>
      <c r="G11" s="548">
        <v>0</v>
      </c>
      <c r="H11" s="548">
        <v>0</v>
      </c>
      <c r="I11" s="548">
        <v>0</v>
      </c>
      <c r="J11" s="548">
        <v>0</v>
      </c>
      <c r="K11" s="548">
        <v>0</v>
      </c>
      <c r="L11" s="548">
        <v>0</v>
      </c>
      <c r="M11" s="548">
        <v>0</v>
      </c>
      <c r="N11" s="548">
        <v>0</v>
      </c>
      <c r="O11" s="548">
        <v>0</v>
      </c>
      <c r="P11" s="548">
        <v>0</v>
      </c>
      <c r="Q11" s="548">
        <v>0</v>
      </c>
      <c r="R11" s="549">
        <v>0</v>
      </c>
      <c r="S11" s="261">
        <f t="shared" si="0"/>
        <v>0</v>
      </c>
    </row>
    <row r="12" spans="1:19">
      <c r="A12" s="110">
        <v>5</v>
      </c>
      <c r="B12" s="163" t="s">
        <v>220</v>
      </c>
      <c r="C12" s="548">
        <v>0</v>
      </c>
      <c r="D12" s="548">
        <v>0</v>
      </c>
      <c r="E12" s="548">
        <v>0</v>
      </c>
      <c r="F12" s="548">
        <v>0</v>
      </c>
      <c r="G12" s="548">
        <v>0</v>
      </c>
      <c r="H12" s="548">
        <v>0</v>
      </c>
      <c r="I12" s="548">
        <v>0</v>
      </c>
      <c r="J12" s="548">
        <v>0</v>
      </c>
      <c r="K12" s="548">
        <v>0</v>
      </c>
      <c r="L12" s="548">
        <v>0</v>
      </c>
      <c r="M12" s="548">
        <v>0</v>
      </c>
      <c r="N12" s="548">
        <v>0</v>
      </c>
      <c r="O12" s="548">
        <v>0</v>
      </c>
      <c r="P12" s="548">
        <v>0</v>
      </c>
      <c r="Q12" s="548">
        <v>0</v>
      </c>
      <c r="R12" s="549">
        <v>0</v>
      </c>
      <c r="S12" s="261">
        <f t="shared" si="0"/>
        <v>0</v>
      </c>
    </row>
    <row r="13" spans="1:19">
      <c r="A13" s="110">
        <v>6</v>
      </c>
      <c r="B13" s="163" t="s">
        <v>221</v>
      </c>
      <c r="C13" s="548">
        <v>0</v>
      </c>
      <c r="D13" s="548">
        <v>0</v>
      </c>
      <c r="E13" s="548">
        <v>2414196.6900000004</v>
      </c>
      <c r="F13" s="548">
        <v>0</v>
      </c>
      <c r="G13" s="548">
        <v>0</v>
      </c>
      <c r="H13" s="548">
        <v>0</v>
      </c>
      <c r="I13" s="548">
        <v>38360443.660000004</v>
      </c>
      <c r="J13" s="548">
        <v>0</v>
      </c>
      <c r="K13" s="548">
        <v>0</v>
      </c>
      <c r="L13" s="548">
        <v>0</v>
      </c>
      <c r="M13" s="548">
        <v>3843800.1099999994</v>
      </c>
      <c r="N13" s="548">
        <v>0</v>
      </c>
      <c r="O13" s="548">
        <v>0</v>
      </c>
      <c r="P13" s="548">
        <v>0</v>
      </c>
      <c r="Q13" s="548">
        <v>0</v>
      </c>
      <c r="R13" s="549">
        <v>0</v>
      </c>
      <c r="S13" s="261">
        <f t="shared" si="0"/>
        <v>23506861.278000001</v>
      </c>
    </row>
    <row r="14" spans="1:19">
      <c r="A14" s="110">
        <v>7</v>
      </c>
      <c r="B14" s="163" t="s">
        <v>73</v>
      </c>
      <c r="C14" s="548">
        <v>0</v>
      </c>
      <c r="D14" s="548">
        <v>0</v>
      </c>
      <c r="E14" s="548">
        <v>0</v>
      </c>
      <c r="F14" s="548">
        <v>0</v>
      </c>
      <c r="G14" s="548">
        <v>0</v>
      </c>
      <c r="H14" s="548">
        <v>0</v>
      </c>
      <c r="I14" s="548">
        <v>0</v>
      </c>
      <c r="J14" s="548">
        <v>0</v>
      </c>
      <c r="K14" s="548">
        <v>0</v>
      </c>
      <c r="L14" s="548">
        <v>0</v>
      </c>
      <c r="M14" s="548">
        <v>507055771.23400825</v>
      </c>
      <c r="N14" s="548">
        <v>34525089.947000004</v>
      </c>
      <c r="O14" s="548">
        <v>0</v>
      </c>
      <c r="P14" s="548">
        <v>0</v>
      </c>
      <c r="Q14" s="548">
        <v>0</v>
      </c>
      <c r="R14" s="549">
        <v>0</v>
      </c>
      <c r="S14" s="261">
        <f t="shared" si="0"/>
        <v>541580861.18100822</v>
      </c>
    </row>
    <row r="15" spans="1:19">
      <c r="A15" s="110">
        <v>8</v>
      </c>
      <c r="B15" s="163" t="s">
        <v>74</v>
      </c>
      <c r="C15" s="548">
        <v>0</v>
      </c>
      <c r="D15" s="548">
        <v>0</v>
      </c>
      <c r="E15" s="548">
        <v>0</v>
      </c>
      <c r="F15" s="548">
        <v>0</v>
      </c>
      <c r="G15" s="548">
        <v>0</v>
      </c>
      <c r="H15" s="548">
        <v>0</v>
      </c>
      <c r="I15" s="548">
        <v>0</v>
      </c>
      <c r="J15" s="548">
        <v>0</v>
      </c>
      <c r="K15" s="548">
        <v>358339389.6779741</v>
      </c>
      <c r="L15" s="548">
        <v>8619052.1789999958</v>
      </c>
      <c r="M15" s="548">
        <v>0</v>
      </c>
      <c r="N15" s="548">
        <v>0</v>
      </c>
      <c r="O15" s="548">
        <v>0</v>
      </c>
      <c r="P15" s="548">
        <v>0</v>
      </c>
      <c r="Q15" s="548">
        <v>0</v>
      </c>
      <c r="R15" s="549">
        <v>0</v>
      </c>
      <c r="S15" s="261">
        <f t="shared" si="0"/>
        <v>275218831.39273059</v>
      </c>
    </row>
    <row r="16" spans="1:19">
      <c r="A16" s="110">
        <v>9</v>
      </c>
      <c r="B16" s="163" t="s">
        <v>75</v>
      </c>
      <c r="C16" s="548">
        <v>0</v>
      </c>
      <c r="D16" s="548">
        <v>0</v>
      </c>
      <c r="E16" s="548">
        <v>0</v>
      </c>
      <c r="F16" s="548">
        <v>0</v>
      </c>
      <c r="G16" s="548">
        <v>105877861.6165082</v>
      </c>
      <c r="H16" s="548">
        <v>749669.61</v>
      </c>
      <c r="I16" s="548">
        <v>0</v>
      </c>
      <c r="J16" s="548">
        <v>0</v>
      </c>
      <c r="K16" s="548">
        <v>0</v>
      </c>
      <c r="L16" s="548">
        <v>0</v>
      </c>
      <c r="M16" s="548">
        <v>0</v>
      </c>
      <c r="N16" s="548">
        <v>0</v>
      </c>
      <c r="O16" s="548">
        <v>0</v>
      </c>
      <c r="P16" s="548">
        <v>0</v>
      </c>
      <c r="Q16" s="548">
        <v>0</v>
      </c>
      <c r="R16" s="549">
        <v>0</v>
      </c>
      <c r="S16" s="261">
        <f t="shared" si="0"/>
        <v>37319635.929277867</v>
      </c>
    </row>
    <row r="17" spans="1:19">
      <c r="A17" s="110">
        <v>10</v>
      </c>
      <c r="B17" s="163" t="s">
        <v>69</v>
      </c>
      <c r="C17" s="548">
        <v>0</v>
      </c>
      <c r="D17" s="548">
        <v>0</v>
      </c>
      <c r="E17" s="548">
        <v>0</v>
      </c>
      <c r="F17" s="548">
        <v>0</v>
      </c>
      <c r="G17" s="548">
        <v>0</v>
      </c>
      <c r="H17" s="548">
        <v>0</v>
      </c>
      <c r="I17" s="548">
        <v>2179995.2007275019</v>
      </c>
      <c r="J17" s="548">
        <v>0</v>
      </c>
      <c r="K17" s="548">
        <v>0</v>
      </c>
      <c r="L17" s="548">
        <v>0</v>
      </c>
      <c r="M17" s="548">
        <v>7781869.8888609</v>
      </c>
      <c r="N17" s="548">
        <v>0</v>
      </c>
      <c r="O17" s="548">
        <v>792017.29828679329</v>
      </c>
      <c r="P17" s="548">
        <v>0</v>
      </c>
      <c r="Q17" s="548">
        <v>0</v>
      </c>
      <c r="R17" s="549">
        <v>0</v>
      </c>
      <c r="S17" s="261">
        <f t="shared" si="0"/>
        <v>10059893.43665484</v>
      </c>
    </row>
    <row r="18" spans="1:19">
      <c r="A18" s="110">
        <v>11</v>
      </c>
      <c r="B18" s="163" t="s">
        <v>70</v>
      </c>
      <c r="C18" s="548">
        <v>0</v>
      </c>
      <c r="D18" s="548">
        <v>0</v>
      </c>
      <c r="E18" s="548">
        <v>0</v>
      </c>
      <c r="F18" s="548">
        <v>0</v>
      </c>
      <c r="G18" s="548">
        <v>0</v>
      </c>
      <c r="H18" s="548">
        <v>0</v>
      </c>
      <c r="I18" s="548">
        <v>0</v>
      </c>
      <c r="J18" s="548">
        <v>0</v>
      </c>
      <c r="K18" s="548">
        <v>0</v>
      </c>
      <c r="L18" s="548">
        <v>0</v>
      </c>
      <c r="M18" s="548">
        <v>34272727.966216221</v>
      </c>
      <c r="N18" s="548">
        <v>0</v>
      </c>
      <c r="O18" s="548">
        <v>28231124.707414616</v>
      </c>
      <c r="P18" s="548">
        <v>0</v>
      </c>
      <c r="Q18" s="548">
        <v>0</v>
      </c>
      <c r="R18" s="549">
        <v>0</v>
      </c>
      <c r="S18" s="261">
        <f t="shared" si="0"/>
        <v>76619415.027338147</v>
      </c>
    </row>
    <row r="19" spans="1:19">
      <c r="A19" s="110">
        <v>12</v>
      </c>
      <c r="B19" s="163" t="s">
        <v>71</v>
      </c>
      <c r="C19" s="548">
        <v>0</v>
      </c>
      <c r="D19" s="548">
        <v>0</v>
      </c>
      <c r="E19" s="548">
        <v>0</v>
      </c>
      <c r="F19" s="548">
        <v>0</v>
      </c>
      <c r="G19" s="548">
        <v>0</v>
      </c>
      <c r="H19" s="548">
        <v>0</v>
      </c>
      <c r="I19" s="548">
        <v>0</v>
      </c>
      <c r="J19" s="548">
        <v>0</v>
      </c>
      <c r="K19" s="548">
        <v>0</v>
      </c>
      <c r="L19" s="548">
        <v>0</v>
      </c>
      <c r="M19" s="548">
        <v>0</v>
      </c>
      <c r="N19" s="548">
        <v>0</v>
      </c>
      <c r="O19" s="548">
        <v>0</v>
      </c>
      <c r="P19" s="548">
        <v>0</v>
      </c>
      <c r="Q19" s="548">
        <v>0</v>
      </c>
      <c r="R19" s="549">
        <v>0</v>
      </c>
      <c r="S19" s="261">
        <f t="shared" si="0"/>
        <v>0</v>
      </c>
    </row>
    <row r="20" spans="1:19">
      <c r="A20" s="110">
        <v>13</v>
      </c>
      <c r="B20" s="163" t="s">
        <v>72</v>
      </c>
      <c r="C20" s="548">
        <v>0</v>
      </c>
      <c r="D20" s="548">
        <v>0</v>
      </c>
      <c r="E20" s="548">
        <v>0</v>
      </c>
      <c r="F20" s="548">
        <v>0</v>
      </c>
      <c r="G20" s="548">
        <v>0</v>
      </c>
      <c r="H20" s="548">
        <v>0</v>
      </c>
      <c r="I20" s="548">
        <v>0</v>
      </c>
      <c r="J20" s="548">
        <v>0</v>
      </c>
      <c r="K20" s="548">
        <v>0</v>
      </c>
      <c r="L20" s="548">
        <v>0</v>
      </c>
      <c r="M20" s="548">
        <v>0</v>
      </c>
      <c r="N20" s="548">
        <v>0</v>
      </c>
      <c r="O20" s="548">
        <v>0</v>
      </c>
      <c r="P20" s="548">
        <v>0</v>
      </c>
      <c r="Q20" s="548">
        <v>0</v>
      </c>
      <c r="R20" s="549">
        <v>0</v>
      </c>
      <c r="S20" s="261">
        <f t="shared" si="0"/>
        <v>0</v>
      </c>
    </row>
    <row r="21" spans="1:19">
      <c r="A21" s="110">
        <v>14</v>
      </c>
      <c r="B21" s="163" t="s">
        <v>249</v>
      </c>
      <c r="C21" s="548">
        <v>37904652.960000016</v>
      </c>
      <c r="D21" s="548">
        <v>0</v>
      </c>
      <c r="E21" s="548">
        <v>335560.99</v>
      </c>
      <c r="F21" s="548">
        <v>0</v>
      </c>
      <c r="G21" s="548">
        <v>0</v>
      </c>
      <c r="H21" s="548">
        <v>0</v>
      </c>
      <c r="I21" s="548">
        <v>0</v>
      </c>
      <c r="J21" s="548">
        <v>0</v>
      </c>
      <c r="K21" s="548">
        <v>0</v>
      </c>
      <c r="L21" s="548">
        <v>0</v>
      </c>
      <c r="M21" s="548">
        <v>38261936.780000001</v>
      </c>
      <c r="N21" s="548">
        <v>0</v>
      </c>
      <c r="O21" s="548">
        <v>0</v>
      </c>
      <c r="P21" s="548">
        <v>0</v>
      </c>
      <c r="Q21" s="548">
        <v>0</v>
      </c>
      <c r="R21" s="549">
        <v>0</v>
      </c>
      <c r="S21" s="261">
        <f t="shared" si="0"/>
        <v>38329048.978</v>
      </c>
    </row>
    <row r="22" spans="1:19" ht="13.5" thickBot="1">
      <c r="A22" s="93"/>
      <c r="B22" s="150" t="s">
        <v>68</v>
      </c>
      <c r="C22" s="249">
        <f>SUM(C8:C21)</f>
        <v>216730201.02000001</v>
      </c>
      <c r="D22" s="249">
        <f t="shared" ref="D22:S22" si="1">SUM(D8:D21)</f>
        <v>0</v>
      </c>
      <c r="E22" s="249">
        <f t="shared" si="1"/>
        <v>2749757.6800000006</v>
      </c>
      <c r="F22" s="249">
        <f t="shared" si="1"/>
        <v>0</v>
      </c>
      <c r="G22" s="249">
        <f t="shared" si="1"/>
        <v>105877861.6165082</v>
      </c>
      <c r="H22" s="249">
        <f t="shared" si="1"/>
        <v>749669.61</v>
      </c>
      <c r="I22" s="249">
        <f t="shared" si="1"/>
        <v>40540438.860727504</v>
      </c>
      <c r="J22" s="249">
        <f t="shared" si="1"/>
        <v>0</v>
      </c>
      <c r="K22" s="249">
        <f t="shared" si="1"/>
        <v>358339389.6779741</v>
      </c>
      <c r="L22" s="249">
        <f t="shared" si="1"/>
        <v>8619052.1789999958</v>
      </c>
      <c r="M22" s="249">
        <f t="shared" si="1"/>
        <v>689533827.48908532</v>
      </c>
      <c r="N22" s="249">
        <f t="shared" si="1"/>
        <v>34525089.947000004</v>
      </c>
      <c r="O22" s="249">
        <f t="shared" si="1"/>
        <v>29023142.005701408</v>
      </c>
      <c r="P22" s="249">
        <f t="shared" si="1"/>
        <v>0</v>
      </c>
      <c r="Q22" s="249">
        <f t="shared" si="1"/>
        <v>0</v>
      </c>
      <c r="R22" s="249">
        <f t="shared" si="1"/>
        <v>0</v>
      </c>
      <c r="S22" s="550">
        <f t="shared" si="1"/>
        <v>1100952268.7330096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V7" sqref="C7:V21"/>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"ტერაბანკი"</v>
      </c>
    </row>
    <row r="2" spans="1:22">
      <c r="A2" s="1" t="s">
        <v>189</v>
      </c>
      <c r="B2" s="403">
        <f>'1. key ratios'!B2</f>
        <v>44834</v>
      </c>
    </row>
    <row r="4" spans="1:22" ht="27.75" thickBot="1">
      <c r="A4" s="1" t="s">
        <v>339</v>
      </c>
      <c r="B4" s="258" t="s">
        <v>361</v>
      </c>
      <c r="V4" s="188" t="s">
        <v>93</v>
      </c>
    </row>
    <row r="5" spans="1:22">
      <c r="A5" s="91"/>
      <c r="B5" s="92"/>
      <c r="C5" s="654" t="s">
        <v>198</v>
      </c>
      <c r="D5" s="655"/>
      <c r="E5" s="655"/>
      <c r="F5" s="655"/>
      <c r="G5" s="655"/>
      <c r="H5" s="655"/>
      <c r="I5" s="655"/>
      <c r="J5" s="655"/>
      <c r="K5" s="655"/>
      <c r="L5" s="656"/>
      <c r="M5" s="654" t="s">
        <v>199</v>
      </c>
      <c r="N5" s="655"/>
      <c r="O5" s="655"/>
      <c r="P5" s="655"/>
      <c r="Q5" s="655"/>
      <c r="R5" s="655"/>
      <c r="S5" s="656"/>
      <c r="T5" s="659" t="s">
        <v>359</v>
      </c>
      <c r="U5" s="659" t="s">
        <v>358</v>
      </c>
      <c r="V5" s="657" t="s">
        <v>200</v>
      </c>
    </row>
    <row r="6" spans="1:22" s="60" customFormat="1" ht="127.5">
      <c r="A6" s="108"/>
      <c r="B6" s="165"/>
      <c r="C6" s="89" t="s">
        <v>201</v>
      </c>
      <c r="D6" s="88" t="s">
        <v>202</v>
      </c>
      <c r="E6" s="86" t="s">
        <v>203</v>
      </c>
      <c r="F6" s="86" t="s">
        <v>353</v>
      </c>
      <c r="G6" s="88" t="s">
        <v>204</v>
      </c>
      <c r="H6" s="88" t="s">
        <v>205</v>
      </c>
      <c r="I6" s="88" t="s">
        <v>206</v>
      </c>
      <c r="J6" s="88" t="s">
        <v>248</v>
      </c>
      <c r="K6" s="88" t="s">
        <v>207</v>
      </c>
      <c r="L6" s="90" t="s">
        <v>208</v>
      </c>
      <c r="M6" s="89" t="s">
        <v>209</v>
      </c>
      <c r="N6" s="88" t="s">
        <v>210</v>
      </c>
      <c r="O6" s="88" t="s">
        <v>211</v>
      </c>
      <c r="P6" s="88" t="s">
        <v>212</v>
      </c>
      <c r="Q6" s="88" t="s">
        <v>213</v>
      </c>
      <c r="R6" s="88" t="s">
        <v>214</v>
      </c>
      <c r="S6" s="90" t="s">
        <v>215</v>
      </c>
      <c r="T6" s="660"/>
      <c r="U6" s="660"/>
      <c r="V6" s="658"/>
    </row>
    <row r="7" spans="1:22">
      <c r="A7" s="149">
        <v>1</v>
      </c>
      <c r="B7" s="148" t="s">
        <v>216</v>
      </c>
      <c r="C7" s="551">
        <v>0</v>
      </c>
      <c r="D7" s="548">
        <v>0</v>
      </c>
      <c r="E7" s="548">
        <v>0</v>
      </c>
      <c r="F7" s="548">
        <v>0</v>
      </c>
      <c r="G7" s="548">
        <v>0</v>
      </c>
      <c r="H7" s="548">
        <v>0</v>
      </c>
      <c r="I7" s="548">
        <v>0</v>
      </c>
      <c r="J7" s="548">
        <v>0</v>
      </c>
      <c r="K7" s="548">
        <v>0</v>
      </c>
      <c r="L7" s="552">
        <v>0</v>
      </c>
      <c r="M7" s="551">
        <v>0</v>
      </c>
      <c r="N7" s="548">
        <v>0</v>
      </c>
      <c r="O7" s="548">
        <v>0</v>
      </c>
      <c r="P7" s="548">
        <v>0</v>
      </c>
      <c r="Q7" s="548">
        <v>0</v>
      </c>
      <c r="R7" s="548">
        <v>0</v>
      </c>
      <c r="S7" s="552">
        <v>0</v>
      </c>
      <c r="T7" s="553">
        <v>0</v>
      </c>
      <c r="U7" s="554">
        <v>0</v>
      </c>
      <c r="V7" s="555">
        <f>SUM(C7:S7)</f>
        <v>0</v>
      </c>
    </row>
    <row r="8" spans="1:22">
      <c r="A8" s="149">
        <v>2</v>
      </c>
      <c r="B8" s="148" t="s">
        <v>217</v>
      </c>
      <c r="C8" s="551">
        <v>0</v>
      </c>
      <c r="D8" s="548">
        <v>0</v>
      </c>
      <c r="E8" s="548">
        <v>0</v>
      </c>
      <c r="F8" s="548">
        <v>0</v>
      </c>
      <c r="G8" s="548">
        <v>0</v>
      </c>
      <c r="H8" s="548">
        <v>0</v>
      </c>
      <c r="I8" s="548">
        <v>0</v>
      </c>
      <c r="J8" s="548">
        <v>0</v>
      </c>
      <c r="K8" s="548">
        <v>0</v>
      </c>
      <c r="L8" s="552">
        <v>0</v>
      </c>
      <c r="M8" s="551">
        <v>0</v>
      </c>
      <c r="N8" s="548">
        <v>0</v>
      </c>
      <c r="O8" s="548">
        <v>0</v>
      </c>
      <c r="P8" s="548">
        <v>0</v>
      </c>
      <c r="Q8" s="548">
        <v>0</v>
      </c>
      <c r="R8" s="548">
        <v>0</v>
      </c>
      <c r="S8" s="552">
        <v>0</v>
      </c>
      <c r="T8" s="554">
        <v>0</v>
      </c>
      <c r="U8" s="554">
        <v>0</v>
      </c>
      <c r="V8" s="555">
        <f t="shared" ref="V8:V20" si="0">SUM(C8:S8)</f>
        <v>0</v>
      </c>
    </row>
    <row r="9" spans="1:22">
      <c r="A9" s="149">
        <v>3</v>
      </c>
      <c r="B9" s="148" t="s">
        <v>218</v>
      </c>
      <c r="C9" s="551">
        <v>0</v>
      </c>
      <c r="D9" s="548">
        <v>0</v>
      </c>
      <c r="E9" s="548">
        <v>0</v>
      </c>
      <c r="F9" s="548">
        <v>0</v>
      </c>
      <c r="G9" s="548">
        <v>0</v>
      </c>
      <c r="H9" s="548">
        <v>0</v>
      </c>
      <c r="I9" s="548">
        <v>0</v>
      </c>
      <c r="J9" s="548">
        <v>0</v>
      </c>
      <c r="K9" s="548">
        <v>0</v>
      </c>
      <c r="L9" s="552">
        <v>0</v>
      </c>
      <c r="M9" s="551">
        <v>0</v>
      </c>
      <c r="N9" s="548">
        <v>0</v>
      </c>
      <c r="O9" s="548">
        <v>0</v>
      </c>
      <c r="P9" s="548">
        <v>0</v>
      </c>
      <c r="Q9" s="548">
        <v>0</v>
      </c>
      <c r="R9" s="548">
        <v>0</v>
      </c>
      <c r="S9" s="552">
        <v>0</v>
      </c>
      <c r="T9" s="554">
        <v>0</v>
      </c>
      <c r="U9" s="554">
        <v>0</v>
      </c>
      <c r="V9" s="555">
        <f>SUM(C9:S9)</f>
        <v>0</v>
      </c>
    </row>
    <row r="10" spans="1:22">
      <c r="A10" s="149">
        <v>4</v>
      </c>
      <c r="B10" s="148" t="s">
        <v>219</v>
      </c>
      <c r="C10" s="551">
        <v>0</v>
      </c>
      <c r="D10" s="548">
        <v>0</v>
      </c>
      <c r="E10" s="548">
        <v>0</v>
      </c>
      <c r="F10" s="548">
        <v>0</v>
      </c>
      <c r="G10" s="548">
        <v>0</v>
      </c>
      <c r="H10" s="548">
        <v>0</v>
      </c>
      <c r="I10" s="548">
        <v>0</v>
      </c>
      <c r="J10" s="548">
        <v>0</v>
      </c>
      <c r="K10" s="548">
        <v>0</v>
      </c>
      <c r="L10" s="552">
        <v>0</v>
      </c>
      <c r="M10" s="551">
        <v>0</v>
      </c>
      <c r="N10" s="548">
        <v>0</v>
      </c>
      <c r="O10" s="548">
        <v>0</v>
      </c>
      <c r="P10" s="548">
        <v>0</v>
      </c>
      <c r="Q10" s="548">
        <v>0</v>
      </c>
      <c r="R10" s="548">
        <v>0</v>
      </c>
      <c r="S10" s="552">
        <v>0</v>
      </c>
      <c r="T10" s="554">
        <v>0</v>
      </c>
      <c r="U10" s="554">
        <v>0</v>
      </c>
      <c r="V10" s="555">
        <f t="shared" si="0"/>
        <v>0</v>
      </c>
    </row>
    <row r="11" spans="1:22">
      <c r="A11" s="149">
        <v>5</v>
      </c>
      <c r="B11" s="148" t="s">
        <v>220</v>
      </c>
      <c r="C11" s="551">
        <v>0</v>
      </c>
      <c r="D11" s="548">
        <v>0</v>
      </c>
      <c r="E11" s="548">
        <v>0</v>
      </c>
      <c r="F11" s="548">
        <v>0</v>
      </c>
      <c r="G11" s="548">
        <v>0</v>
      </c>
      <c r="H11" s="548">
        <v>0</v>
      </c>
      <c r="I11" s="548">
        <v>0</v>
      </c>
      <c r="J11" s="548">
        <v>0</v>
      </c>
      <c r="K11" s="548">
        <v>0</v>
      </c>
      <c r="L11" s="552">
        <v>0</v>
      </c>
      <c r="M11" s="551">
        <v>0</v>
      </c>
      <c r="N11" s="548">
        <v>0</v>
      </c>
      <c r="O11" s="548">
        <v>0</v>
      </c>
      <c r="P11" s="548">
        <v>0</v>
      </c>
      <c r="Q11" s="548">
        <v>0</v>
      </c>
      <c r="R11" s="548">
        <v>0</v>
      </c>
      <c r="S11" s="552">
        <v>0</v>
      </c>
      <c r="T11" s="554">
        <v>0</v>
      </c>
      <c r="U11" s="554">
        <v>0</v>
      </c>
      <c r="V11" s="555">
        <f t="shared" si="0"/>
        <v>0</v>
      </c>
    </row>
    <row r="12" spans="1:22">
      <c r="A12" s="149">
        <v>6</v>
      </c>
      <c r="B12" s="148" t="s">
        <v>221</v>
      </c>
      <c r="C12" s="551">
        <v>0</v>
      </c>
      <c r="D12" s="548">
        <v>0</v>
      </c>
      <c r="E12" s="548">
        <v>0</v>
      </c>
      <c r="F12" s="548">
        <v>0</v>
      </c>
      <c r="G12" s="548">
        <v>0</v>
      </c>
      <c r="H12" s="548">
        <v>0</v>
      </c>
      <c r="I12" s="548">
        <v>0</v>
      </c>
      <c r="J12" s="548">
        <v>0</v>
      </c>
      <c r="K12" s="548">
        <v>0</v>
      </c>
      <c r="L12" s="552">
        <v>0</v>
      </c>
      <c r="M12" s="551">
        <v>0</v>
      </c>
      <c r="N12" s="548">
        <v>0</v>
      </c>
      <c r="O12" s="548">
        <v>0</v>
      </c>
      <c r="P12" s="548">
        <v>0</v>
      </c>
      <c r="Q12" s="548">
        <v>0</v>
      </c>
      <c r="R12" s="548">
        <v>0</v>
      </c>
      <c r="S12" s="552">
        <v>0</v>
      </c>
      <c r="T12" s="554">
        <v>0</v>
      </c>
      <c r="U12" s="554">
        <v>0</v>
      </c>
      <c r="V12" s="555">
        <f t="shared" si="0"/>
        <v>0</v>
      </c>
    </row>
    <row r="13" spans="1:22">
      <c r="A13" s="149">
        <v>7</v>
      </c>
      <c r="B13" s="148" t="s">
        <v>73</v>
      </c>
      <c r="C13" s="551">
        <v>0</v>
      </c>
      <c r="D13" s="548">
        <v>31199041.96125</v>
      </c>
      <c r="E13" s="548">
        <v>0</v>
      </c>
      <c r="F13" s="548">
        <v>0</v>
      </c>
      <c r="G13" s="548">
        <v>0</v>
      </c>
      <c r="H13" s="548">
        <v>0</v>
      </c>
      <c r="I13" s="548">
        <v>0</v>
      </c>
      <c r="J13" s="548">
        <v>0</v>
      </c>
      <c r="K13" s="548">
        <v>0</v>
      </c>
      <c r="L13" s="552">
        <v>0</v>
      </c>
      <c r="M13" s="551">
        <v>0</v>
      </c>
      <c r="N13" s="548">
        <v>0</v>
      </c>
      <c r="O13" s="548">
        <v>0</v>
      </c>
      <c r="P13" s="548">
        <v>0</v>
      </c>
      <c r="Q13" s="548">
        <v>0</v>
      </c>
      <c r="R13" s="548">
        <v>0</v>
      </c>
      <c r="S13" s="552">
        <v>0</v>
      </c>
      <c r="T13" s="554">
        <v>21770026.02</v>
      </c>
      <c r="U13" s="554">
        <v>9429015.9412500001</v>
      </c>
      <c r="V13" s="555">
        <f t="shared" si="0"/>
        <v>31199041.96125</v>
      </c>
    </row>
    <row r="14" spans="1:22">
      <c r="A14" s="149">
        <v>8</v>
      </c>
      <c r="B14" s="148" t="s">
        <v>74</v>
      </c>
      <c r="C14" s="551">
        <v>0</v>
      </c>
      <c r="D14" s="548">
        <v>2863750.7250000006</v>
      </c>
      <c r="E14" s="548">
        <v>0</v>
      </c>
      <c r="F14" s="548">
        <v>0</v>
      </c>
      <c r="G14" s="548">
        <v>0</v>
      </c>
      <c r="H14" s="548">
        <v>0</v>
      </c>
      <c r="I14" s="548">
        <v>0</v>
      </c>
      <c r="J14" s="548">
        <v>0</v>
      </c>
      <c r="K14" s="548">
        <v>0</v>
      </c>
      <c r="L14" s="552">
        <v>0</v>
      </c>
      <c r="M14" s="551">
        <v>0</v>
      </c>
      <c r="N14" s="548">
        <v>0</v>
      </c>
      <c r="O14" s="548">
        <v>0</v>
      </c>
      <c r="P14" s="548">
        <v>0</v>
      </c>
      <c r="Q14" s="548">
        <v>0</v>
      </c>
      <c r="R14" s="548">
        <v>0</v>
      </c>
      <c r="S14" s="552">
        <v>0</v>
      </c>
      <c r="T14" s="554">
        <v>2863750.7250000006</v>
      </c>
      <c r="U14" s="554">
        <v>0</v>
      </c>
      <c r="V14" s="555">
        <f t="shared" si="0"/>
        <v>2863750.7250000006</v>
      </c>
    </row>
    <row r="15" spans="1:22">
      <c r="A15" s="149">
        <v>9</v>
      </c>
      <c r="B15" s="148" t="s">
        <v>75</v>
      </c>
      <c r="C15" s="551">
        <v>0</v>
      </c>
      <c r="D15" s="548">
        <v>0</v>
      </c>
      <c r="E15" s="548">
        <v>0</v>
      </c>
      <c r="F15" s="548">
        <v>0</v>
      </c>
      <c r="G15" s="548">
        <v>0</v>
      </c>
      <c r="H15" s="548">
        <v>0</v>
      </c>
      <c r="I15" s="548">
        <v>0</v>
      </c>
      <c r="J15" s="548">
        <v>0</v>
      </c>
      <c r="K15" s="548">
        <v>0</v>
      </c>
      <c r="L15" s="552">
        <v>0</v>
      </c>
      <c r="M15" s="551">
        <v>0</v>
      </c>
      <c r="N15" s="548">
        <v>0</v>
      </c>
      <c r="O15" s="548">
        <v>0</v>
      </c>
      <c r="P15" s="548">
        <v>0</v>
      </c>
      <c r="Q15" s="548">
        <v>0</v>
      </c>
      <c r="R15" s="548">
        <v>0</v>
      </c>
      <c r="S15" s="552">
        <v>0</v>
      </c>
      <c r="T15" s="554">
        <v>0</v>
      </c>
      <c r="U15" s="554">
        <v>0</v>
      </c>
      <c r="V15" s="555">
        <f t="shared" si="0"/>
        <v>0</v>
      </c>
    </row>
    <row r="16" spans="1:22">
      <c r="A16" s="149">
        <v>10</v>
      </c>
      <c r="B16" s="148" t="s">
        <v>69</v>
      </c>
      <c r="C16" s="551">
        <v>0</v>
      </c>
      <c r="D16" s="548">
        <v>1.1200000000000001</v>
      </c>
      <c r="E16" s="548">
        <v>0</v>
      </c>
      <c r="F16" s="548">
        <v>0</v>
      </c>
      <c r="G16" s="548">
        <v>0</v>
      </c>
      <c r="H16" s="548">
        <v>0</v>
      </c>
      <c r="I16" s="548">
        <v>0</v>
      </c>
      <c r="J16" s="548">
        <v>0</v>
      </c>
      <c r="K16" s="548">
        <v>0</v>
      </c>
      <c r="L16" s="552">
        <v>0</v>
      </c>
      <c r="M16" s="551">
        <v>0</v>
      </c>
      <c r="N16" s="548">
        <v>0</v>
      </c>
      <c r="O16" s="548">
        <v>0</v>
      </c>
      <c r="P16" s="548">
        <v>0</v>
      </c>
      <c r="Q16" s="548">
        <v>0</v>
      </c>
      <c r="R16" s="548">
        <v>0</v>
      </c>
      <c r="S16" s="552">
        <v>0</v>
      </c>
      <c r="T16" s="554">
        <v>1.1200000000000001</v>
      </c>
      <c r="U16" s="554">
        <v>0</v>
      </c>
      <c r="V16" s="555">
        <f t="shared" si="0"/>
        <v>1.1200000000000001</v>
      </c>
    </row>
    <row r="17" spans="1:22">
      <c r="A17" s="149">
        <v>11</v>
      </c>
      <c r="B17" s="148" t="s">
        <v>70</v>
      </c>
      <c r="C17" s="551">
        <v>0</v>
      </c>
      <c r="D17" s="548">
        <v>136380.76</v>
      </c>
      <c r="E17" s="548">
        <v>0</v>
      </c>
      <c r="F17" s="548">
        <v>0</v>
      </c>
      <c r="G17" s="548">
        <v>0</v>
      </c>
      <c r="H17" s="548">
        <v>0</v>
      </c>
      <c r="I17" s="548">
        <v>0</v>
      </c>
      <c r="J17" s="548">
        <v>0</v>
      </c>
      <c r="K17" s="548">
        <v>0</v>
      </c>
      <c r="L17" s="552">
        <v>0</v>
      </c>
      <c r="M17" s="551">
        <v>0</v>
      </c>
      <c r="N17" s="548">
        <v>0</v>
      </c>
      <c r="O17" s="548">
        <v>0</v>
      </c>
      <c r="P17" s="548">
        <v>0</v>
      </c>
      <c r="Q17" s="548">
        <v>0</v>
      </c>
      <c r="R17" s="548">
        <v>0</v>
      </c>
      <c r="S17" s="552">
        <v>0</v>
      </c>
      <c r="T17" s="554">
        <v>136380.76</v>
      </c>
      <c r="U17" s="554">
        <v>0</v>
      </c>
      <c r="V17" s="555">
        <f t="shared" si="0"/>
        <v>136380.76</v>
      </c>
    </row>
    <row r="18" spans="1:22">
      <c r="A18" s="149">
        <v>12</v>
      </c>
      <c r="B18" s="148" t="s">
        <v>71</v>
      </c>
      <c r="C18" s="551">
        <v>0</v>
      </c>
      <c r="D18" s="548">
        <v>0</v>
      </c>
      <c r="E18" s="548">
        <v>0</v>
      </c>
      <c r="F18" s="548">
        <v>0</v>
      </c>
      <c r="G18" s="548">
        <v>0</v>
      </c>
      <c r="H18" s="548">
        <v>0</v>
      </c>
      <c r="I18" s="548">
        <v>0</v>
      </c>
      <c r="J18" s="548">
        <v>0</v>
      </c>
      <c r="K18" s="548">
        <v>0</v>
      </c>
      <c r="L18" s="552">
        <v>0</v>
      </c>
      <c r="M18" s="551">
        <v>0</v>
      </c>
      <c r="N18" s="548">
        <v>0</v>
      </c>
      <c r="O18" s="548">
        <v>0</v>
      </c>
      <c r="P18" s="548">
        <v>0</v>
      </c>
      <c r="Q18" s="548">
        <v>0</v>
      </c>
      <c r="R18" s="548">
        <v>0</v>
      </c>
      <c r="S18" s="552">
        <v>0</v>
      </c>
      <c r="T18" s="554">
        <v>0</v>
      </c>
      <c r="U18" s="554">
        <v>0</v>
      </c>
      <c r="V18" s="555">
        <f t="shared" si="0"/>
        <v>0</v>
      </c>
    </row>
    <row r="19" spans="1:22">
      <c r="A19" s="149">
        <v>13</v>
      </c>
      <c r="B19" s="148" t="s">
        <v>72</v>
      </c>
      <c r="C19" s="551">
        <v>0</v>
      </c>
      <c r="D19" s="548">
        <v>0</v>
      </c>
      <c r="E19" s="548">
        <v>0</v>
      </c>
      <c r="F19" s="548">
        <v>0</v>
      </c>
      <c r="G19" s="548">
        <v>0</v>
      </c>
      <c r="H19" s="548">
        <v>0</v>
      </c>
      <c r="I19" s="548">
        <v>0</v>
      </c>
      <c r="J19" s="548">
        <v>0</v>
      </c>
      <c r="K19" s="548">
        <v>0</v>
      </c>
      <c r="L19" s="552">
        <v>0</v>
      </c>
      <c r="M19" s="551">
        <v>0</v>
      </c>
      <c r="N19" s="548">
        <v>0</v>
      </c>
      <c r="O19" s="548">
        <v>0</v>
      </c>
      <c r="P19" s="548">
        <v>0</v>
      </c>
      <c r="Q19" s="548">
        <v>0</v>
      </c>
      <c r="R19" s="548">
        <v>0</v>
      </c>
      <c r="S19" s="552">
        <v>0</v>
      </c>
      <c r="T19" s="554">
        <v>0</v>
      </c>
      <c r="U19" s="554">
        <v>0</v>
      </c>
      <c r="V19" s="555">
        <f t="shared" si="0"/>
        <v>0</v>
      </c>
    </row>
    <row r="20" spans="1:22">
      <c r="A20" s="149">
        <v>14</v>
      </c>
      <c r="B20" s="148" t="s">
        <v>249</v>
      </c>
      <c r="C20" s="551">
        <v>0</v>
      </c>
      <c r="D20" s="548">
        <v>0</v>
      </c>
      <c r="E20" s="548">
        <v>0</v>
      </c>
      <c r="F20" s="548">
        <v>0</v>
      </c>
      <c r="G20" s="548">
        <v>0</v>
      </c>
      <c r="H20" s="548">
        <v>0</v>
      </c>
      <c r="I20" s="548">
        <v>0</v>
      </c>
      <c r="J20" s="548">
        <v>0</v>
      </c>
      <c r="K20" s="548">
        <v>0</v>
      </c>
      <c r="L20" s="552">
        <v>0</v>
      </c>
      <c r="M20" s="551">
        <v>0</v>
      </c>
      <c r="N20" s="548">
        <v>0</v>
      </c>
      <c r="O20" s="548">
        <v>0</v>
      </c>
      <c r="P20" s="548">
        <v>0</v>
      </c>
      <c r="Q20" s="548">
        <v>0</v>
      </c>
      <c r="R20" s="548">
        <v>0</v>
      </c>
      <c r="S20" s="552">
        <v>0</v>
      </c>
      <c r="T20" s="554">
        <v>0</v>
      </c>
      <c r="U20" s="554">
        <v>0</v>
      </c>
      <c r="V20" s="555">
        <f t="shared" si="0"/>
        <v>0</v>
      </c>
    </row>
    <row r="21" spans="1:22" ht="13.5" thickBot="1">
      <c r="A21" s="93"/>
      <c r="B21" s="94" t="s">
        <v>68</v>
      </c>
      <c r="C21" s="556">
        <f>SUM(C7:C20)</f>
        <v>0</v>
      </c>
      <c r="D21" s="557">
        <f t="shared" ref="D21:V21" si="1">SUM(D7:D20)</f>
        <v>34199174.566249996</v>
      </c>
      <c r="E21" s="557">
        <f t="shared" si="1"/>
        <v>0</v>
      </c>
      <c r="F21" s="557">
        <f t="shared" si="1"/>
        <v>0</v>
      </c>
      <c r="G21" s="557">
        <f t="shared" si="1"/>
        <v>0</v>
      </c>
      <c r="H21" s="557">
        <f t="shared" si="1"/>
        <v>0</v>
      </c>
      <c r="I21" s="557">
        <f t="shared" si="1"/>
        <v>0</v>
      </c>
      <c r="J21" s="557">
        <f t="shared" si="1"/>
        <v>0</v>
      </c>
      <c r="K21" s="557">
        <f t="shared" si="1"/>
        <v>0</v>
      </c>
      <c r="L21" s="550">
        <f t="shared" si="1"/>
        <v>0</v>
      </c>
      <c r="M21" s="556">
        <f t="shared" si="1"/>
        <v>0</v>
      </c>
      <c r="N21" s="557">
        <f t="shared" si="1"/>
        <v>0</v>
      </c>
      <c r="O21" s="557">
        <f t="shared" si="1"/>
        <v>0</v>
      </c>
      <c r="P21" s="557">
        <f t="shared" si="1"/>
        <v>0</v>
      </c>
      <c r="Q21" s="557">
        <f t="shared" si="1"/>
        <v>0</v>
      </c>
      <c r="R21" s="557">
        <f t="shared" si="1"/>
        <v>0</v>
      </c>
      <c r="S21" s="550">
        <f t="shared" si="1"/>
        <v>0</v>
      </c>
      <c r="T21" s="550">
        <f>SUM(T7:T20)</f>
        <v>24770158.625000004</v>
      </c>
      <c r="U21" s="550">
        <f t="shared" si="1"/>
        <v>9429015.9412500001</v>
      </c>
      <c r="V21" s="558">
        <f t="shared" si="1"/>
        <v>34199174.566249996</v>
      </c>
    </row>
    <row r="24" spans="1:22">
      <c r="C24" s="64"/>
      <c r="D24" s="64"/>
      <c r="E24" s="64"/>
    </row>
    <row r="25" spans="1:22">
      <c r="A25" s="59"/>
      <c r="B25" s="59"/>
      <c r="D25" s="64"/>
      <c r="E25" s="64"/>
    </row>
    <row r="26" spans="1:22">
      <c r="A26" s="59"/>
      <c r="B26" s="87"/>
      <c r="D26" s="64"/>
      <c r="E26" s="64"/>
    </row>
    <row r="27" spans="1:22">
      <c r="A27" s="59"/>
      <c r="B27" s="59"/>
      <c r="D27" s="64"/>
      <c r="E27" s="64"/>
    </row>
    <row r="28" spans="1:22">
      <c r="A28" s="59"/>
      <c r="B28" s="87"/>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9"/>
  </cols>
  <sheetData>
    <row r="1" spans="1:9">
      <c r="A1" s="1" t="s">
        <v>188</v>
      </c>
      <c r="B1" s="1" t="str">
        <f>Info!C2</f>
        <v>ს.ს. "ტერაბანკი"</v>
      </c>
    </row>
    <row r="2" spans="1:9">
      <c r="A2" s="1" t="s">
        <v>189</v>
      </c>
      <c r="B2" s="403">
        <f>'1. key ratios'!B2</f>
        <v>44834</v>
      </c>
    </row>
    <row r="4" spans="1:9" ht="13.5" thickBot="1">
      <c r="A4" s="1" t="s">
        <v>340</v>
      </c>
      <c r="B4" s="52" t="s">
        <v>362</v>
      </c>
    </row>
    <row r="5" spans="1:9">
      <c r="A5" s="91"/>
      <c r="B5" s="146"/>
      <c r="C5" s="151" t="s">
        <v>0</v>
      </c>
      <c r="D5" s="151" t="s">
        <v>1</v>
      </c>
      <c r="E5" s="151" t="s">
        <v>2</v>
      </c>
      <c r="F5" s="151" t="s">
        <v>3</v>
      </c>
      <c r="G5" s="255" t="s">
        <v>4</v>
      </c>
      <c r="H5" s="152" t="s">
        <v>5</v>
      </c>
      <c r="I5" s="19"/>
    </row>
    <row r="6" spans="1:9" ht="15" customHeight="1">
      <c r="A6" s="145"/>
      <c r="B6" s="17"/>
      <c r="C6" s="652" t="s">
        <v>354</v>
      </c>
      <c r="D6" s="663" t="s">
        <v>364</v>
      </c>
      <c r="E6" s="664"/>
      <c r="F6" s="652" t="s">
        <v>365</v>
      </c>
      <c r="G6" s="652" t="s">
        <v>366</v>
      </c>
      <c r="H6" s="661" t="s">
        <v>356</v>
      </c>
      <c r="I6" s="19"/>
    </row>
    <row r="7" spans="1:9" ht="63.75">
      <c r="A7" s="145"/>
      <c r="B7" s="17"/>
      <c r="C7" s="653"/>
      <c r="D7" s="256" t="s">
        <v>357</v>
      </c>
      <c r="E7" s="256" t="s">
        <v>355</v>
      </c>
      <c r="F7" s="653"/>
      <c r="G7" s="653"/>
      <c r="H7" s="662"/>
      <c r="I7" s="19"/>
    </row>
    <row r="8" spans="1:9">
      <c r="A8" s="83">
        <v>1</v>
      </c>
      <c r="B8" s="66" t="s">
        <v>216</v>
      </c>
      <c r="C8" s="559">
        <v>277143269.56999999</v>
      </c>
      <c r="D8" s="560">
        <v>0</v>
      </c>
      <c r="E8" s="559">
        <v>0</v>
      </c>
      <c r="F8" s="559">
        <v>98317721.50999999</v>
      </c>
      <c r="G8" s="561">
        <v>98317721.50999999</v>
      </c>
      <c r="H8" s="259">
        <f>G8/(C8+E8)</f>
        <v>0.35475413731873867</v>
      </c>
    </row>
    <row r="9" spans="1:9" ht="15" customHeight="1">
      <c r="A9" s="83">
        <v>2</v>
      </c>
      <c r="B9" s="66" t="s">
        <v>217</v>
      </c>
      <c r="C9" s="559">
        <v>0</v>
      </c>
      <c r="D9" s="560">
        <v>0</v>
      </c>
      <c r="E9" s="559">
        <v>0</v>
      </c>
      <c r="F9" s="559">
        <v>0</v>
      </c>
      <c r="G9" s="561">
        <v>0</v>
      </c>
      <c r="H9" s="259"/>
    </row>
    <row r="10" spans="1:9">
      <c r="A10" s="83">
        <v>3</v>
      </c>
      <c r="B10" s="66" t="s">
        <v>218</v>
      </c>
      <c r="C10" s="559">
        <v>0</v>
      </c>
      <c r="D10" s="560">
        <v>0</v>
      </c>
      <c r="E10" s="559">
        <v>0</v>
      </c>
      <c r="F10" s="559">
        <v>0</v>
      </c>
      <c r="G10" s="561">
        <v>0</v>
      </c>
      <c r="H10" s="259"/>
    </row>
    <row r="11" spans="1:9">
      <c r="A11" s="83">
        <v>4</v>
      </c>
      <c r="B11" s="66" t="s">
        <v>219</v>
      </c>
      <c r="C11" s="559">
        <v>0</v>
      </c>
      <c r="D11" s="560">
        <v>0</v>
      </c>
      <c r="E11" s="559">
        <v>0</v>
      </c>
      <c r="F11" s="559">
        <v>0</v>
      </c>
      <c r="G11" s="561">
        <v>0</v>
      </c>
      <c r="H11" s="259"/>
    </row>
    <row r="12" spans="1:9">
      <c r="A12" s="83">
        <v>5</v>
      </c>
      <c r="B12" s="66" t="s">
        <v>220</v>
      </c>
      <c r="C12" s="559">
        <v>0</v>
      </c>
      <c r="D12" s="560">
        <v>0</v>
      </c>
      <c r="E12" s="559">
        <v>0</v>
      </c>
      <c r="F12" s="559">
        <v>0</v>
      </c>
      <c r="G12" s="561">
        <v>0</v>
      </c>
      <c r="H12" s="259"/>
    </row>
    <row r="13" spans="1:9">
      <c r="A13" s="83">
        <v>6</v>
      </c>
      <c r="B13" s="66" t="s">
        <v>221</v>
      </c>
      <c r="C13" s="559">
        <v>44618440.460000001</v>
      </c>
      <c r="D13" s="560">
        <v>0</v>
      </c>
      <c r="E13" s="559">
        <v>0</v>
      </c>
      <c r="F13" s="559">
        <v>23506861.278000001</v>
      </c>
      <c r="G13" s="561">
        <v>23506861.278000001</v>
      </c>
      <c r="H13" s="259">
        <f t="shared" ref="H13:H21" si="0">G13/(C13+E13)</f>
        <v>0.52684184018205826</v>
      </c>
    </row>
    <row r="14" spans="1:9">
      <c r="A14" s="83">
        <v>7</v>
      </c>
      <c r="B14" s="66" t="s">
        <v>73</v>
      </c>
      <c r="C14" s="559">
        <v>507055771.23400825</v>
      </c>
      <c r="D14" s="560">
        <v>60756878.110000014</v>
      </c>
      <c r="E14" s="559">
        <v>34525089.947000004</v>
      </c>
      <c r="F14" s="560">
        <v>541580861.18100822</v>
      </c>
      <c r="G14" s="562">
        <v>510381819.21975821</v>
      </c>
      <c r="H14" s="259">
        <f>G14/(C14+E14)</f>
        <v>0.94239264309817883</v>
      </c>
    </row>
    <row r="15" spans="1:9">
      <c r="A15" s="83">
        <v>8</v>
      </c>
      <c r="B15" s="66" t="s">
        <v>74</v>
      </c>
      <c r="C15" s="559">
        <v>358339389.6779741</v>
      </c>
      <c r="D15" s="560">
        <v>18484994.969999991</v>
      </c>
      <c r="E15" s="559">
        <v>8619052.1789999958</v>
      </c>
      <c r="F15" s="560">
        <v>275218831.39273053</v>
      </c>
      <c r="G15" s="562">
        <v>272355080.66773051</v>
      </c>
      <c r="H15" s="259">
        <f t="shared" si="0"/>
        <v>0.74219598080232674</v>
      </c>
    </row>
    <row r="16" spans="1:9">
      <c r="A16" s="83">
        <v>9</v>
      </c>
      <c r="B16" s="66" t="s">
        <v>75</v>
      </c>
      <c r="C16" s="559">
        <v>105877861.6165082</v>
      </c>
      <c r="D16" s="560">
        <v>1285172.94</v>
      </c>
      <c r="E16" s="559">
        <v>749669.61</v>
      </c>
      <c r="F16" s="560">
        <v>37319635.929277867</v>
      </c>
      <c r="G16" s="562">
        <v>37319635.929277867</v>
      </c>
      <c r="H16" s="259">
        <f t="shared" si="0"/>
        <v>0.35</v>
      </c>
    </row>
    <row r="17" spans="1:8">
      <c r="A17" s="83">
        <v>10</v>
      </c>
      <c r="B17" s="66" t="s">
        <v>69</v>
      </c>
      <c r="C17" s="559">
        <v>10753882.387875196</v>
      </c>
      <c r="D17" s="560">
        <v>0</v>
      </c>
      <c r="E17" s="559">
        <v>0</v>
      </c>
      <c r="F17" s="560">
        <v>10059893.43665484</v>
      </c>
      <c r="G17" s="562">
        <v>10059892.31665484</v>
      </c>
      <c r="H17" s="259">
        <f t="shared" si="0"/>
        <v>0.93546609064621944</v>
      </c>
    </row>
    <row r="18" spans="1:8">
      <c r="A18" s="83">
        <v>11</v>
      </c>
      <c r="B18" s="66" t="s">
        <v>70</v>
      </c>
      <c r="C18" s="559">
        <v>62503852.673630834</v>
      </c>
      <c r="D18" s="560">
        <v>0</v>
      </c>
      <c r="E18" s="559">
        <v>0</v>
      </c>
      <c r="F18" s="560">
        <v>76619415.027338147</v>
      </c>
      <c r="G18" s="562">
        <v>76483034.267338142</v>
      </c>
      <c r="H18" s="259">
        <f t="shared" si="0"/>
        <v>1.2236531188997386</v>
      </c>
    </row>
    <row r="19" spans="1:8">
      <c r="A19" s="83">
        <v>12</v>
      </c>
      <c r="B19" s="66" t="s">
        <v>71</v>
      </c>
      <c r="C19" s="559">
        <v>0</v>
      </c>
      <c r="D19" s="560">
        <v>0</v>
      </c>
      <c r="E19" s="559">
        <v>0</v>
      </c>
      <c r="F19" s="560">
        <v>0</v>
      </c>
      <c r="G19" s="562">
        <v>0</v>
      </c>
      <c r="H19" s="259"/>
    </row>
    <row r="20" spans="1:8">
      <c r="A20" s="83">
        <v>13</v>
      </c>
      <c r="B20" s="66" t="s">
        <v>72</v>
      </c>
      <c r="C20" s="559">
        <v>0</v>
      </c>
      <c r="D20" s="560">
        <v>0</v>
      </c>
      <c r="E20" s="559">
        <v>0</v>
      </c>
      <c r="F20" s="560">
        <v>0</v>
      </c>
      <c r="G20" s="562">
        <v>0</v>
      </c>
      <c r="H20" s="259"/>
    </row>
    <row r="21" spans="1:8">
      <c r="A21" s="83">
        <v>14</v>
      </c>
      <c r="B21" s="66" t="s">
        <v>249</v>
      </c>
      <c r="C21" s="559">
        <v>76502150.730000019</v>
      </c>
      <c r="D21" s="560">
        <v>0</v>
      </c>
      <c r="E21" s="559">
        <v>0</v>
      </c>
      <c r="F21" s="560">
        <v>38329048.978</v>
      </c>
      <c r="G21" s="562">
        <v>38329048.978</v>
      </c>
      <c r="H21" s="259">
        <f t="shared" si="0"/>
        <v>0.50101923426016071</v>
      </c>
    </row>
    <row r="22" spans="1:8" ht="13.5" thickBot="1">
      <c r="A22" s="147"/>
      <c r="B22" s="153" t="s">
        <v>68</v>
      </c>
      <c r="C22" s="557">
        <f>SUM(C8:C21)</f>
        <v>1442794618.3499966</v>
      </c>
      <c r="D22" s="249">
        <f>SUM(D8:D21)</f>
        <v>80527046.020000011</v>
      </c>
      <c r="E22" s="249">
        <f>SUM(E8:E21)</f>
        <v>43893811.736000001</v>
      </c>
      <c r="F22" s="249">
        <f>SUM(F8:F21)</f>
        <v>1100952268.7330096</v>
      </c>
      <c r="G22" s="249">
        <f>SUM(G8:G21)</f>
        <v>1066753094.1667596</v>
      </c>
      <c r="H22" s="260">
        <f>G22/(C22+E22)</f>
        <v>0.71753642026060149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1" bestFit="1" customWidth="1"/>
    <col min="2" max="2" width="104.140625" style="1" customWidth="1"/>
    <col min="3" max="4" width="12.7109375" style="1" customWidth="1"/>
    <col min="5" max="5" width="13.5703125" style="1" bestFit="1" customWidth="1"/>
    <col min="6" max="11" width="12.7109375" style="1" customWidth="1"/>
    <col min="12" max="16384" width="9.140625" style="1"/>
  </cols>
  <sheetData>
    <row r="1" spans="1:11">
      <c r="A1" s="1" t="s">
        <v>188</v>
      </c>
      <c r="B1" s="1" t="str">
        <f>Info!C2</f>
        <v>ს.ს. "ტერაბანკი"</v>
      </c>
    </row>
    <row r="2" spans="1:11">
      <c r="A2" s="1" t="s">
        <v>189</v>
      </c>
      <c r="B2" s="403">
        <f>'1. key ratios'!B2</f>
        <v>44834</v>
      </c>
    </row>
    <row r="4" spans="1:11" ht="13.5" thickBot="1">
      <c r="A4" s="1" t="s">
        <v>395</v>
      </c>
      <c r="B4" s="52" t="s">
        <v>394</v>
      </c>
    </row>
    <row r="5" spans="1:11" ht="30" customHeight="1">
      <c r="A5" s="668"/>
      <c r="B5" s="669"/>
      <c r="C5" s="666" t="s">
        <v>426</v>
      </c>
      <c r="D5" s="666"/>
      <c r="E5" s="666"/>
      <c r="F5" s="666" t="s">
        <v>427</v>
      </c>
      <c r="G5" s="666"/>
      <c r="H5" s="666"/>
      <c r="I5" s="666" t="s">
        <v>428</v>
      </c>
      <c r="J5" s="666"/>
      <c r="K5" s="667"/>
    </row>
    <row r="6" spans="1:11">
      <c r="A6" s="284"/>
      <c r="B6" s="285"/>
      <c r="C6" s="286" t="s">
        <v>27</v>
      </c>
      <c r="D6" s="286" t="s">
        <v>96</v>
      </c>
      <c r="E6" s="286" t="s">
        <v>68</v>
      </c>
      <c r="F6" s="286" t="s">
        <v>27</v>
      </c>
      <c r="G6" s="286" t="s">
        <v>96</v>
      </c>
      <c r="H6" s="286" t="s">
        <v>68</v>
      </c>
      <c r="I6" s="286" t="s">
        <v>27</v>
      </c>
      <c r="J6" s="286" t="s">
        <v>96</v>
      </c>
      <c r="K6" s="287" t="s">
        <v>68</v>
      </c>
    </row>
    <row r="7" spans="1:11">
      <c r="A7" s="288" t="s">
        <v>374</v>
      </c>
      <c r="B7" s="283"/>
      <c r="C7" s="283"/>
      <c r="D7" s="283"/>
      <c r="E7" s="283"/>
      <c r="F7" s="283"/>
      <c r="G7" s="283"/>
      <c r="H7" s="283"/>
      <c r="I7" s="283"/>
      <c r="J7" s="283"/>
      <c r="K7" s="289"/>
    </row>
    <row r="8" spans="1:11">
      <c r="A8" s="282">
        <v>1</v>
      </c>
      <c r="B8" s="267" t="s">
        <v>374</v>
      </c>
      <c r="C8" s="572"/>
      <c r="D8" s="572"/>
      <c r="E8" s="572"/>
      <c r="F8" s="573">
        <v>71715277.826326087</v>
      </c>
      <c r="G8" s="573">
        <v>141822561.64119565</v>
      </c>
      <c r="H8" s="573">
        <v>213537839.46752173</v>
      </c>
      <c r="I8" s="573">
        <v>65102511.558934778</v>
      </c>
      <c r="J8" s="573">
        <v>117631364.57358694</v>
      </c>
      <c r="K8" s="574">
        <v>182733876.13252172</v>
      </c>
    </row>
    <row r="9" spans="1:11">
      <c r="A9" s="288" t="s">
        <v>375</v>
      </c>
      <c r="B9" s="283"/>
      <c r="C9" s="575"/>
      <c r="D9" s="575"/>
      <c r="E9" s="575"/>
      <c r="F9" s="575"/>
      <c r="G9" s="575"/>
      <c r="H9" s="575"/>
      <c r="I9" s="575"/>
      <c r="J9" s="575"/>
      <c r="K9" s="576"/>
    </row>
    <row r="10" spans="1:11">
      <c r="A10" s="290">
        <v>2</v>
      </c>
      <c r="B10" s="268" t="s">
        <v>376</v>
      </c>
      <c r="C10" s="429">
        <v>80884656.922847599</v>
      </c>
      <c r="D10" s="567">
        <v>282957795.40015221</v>
      </c>
      <c r="E10" s="567">
        <v>363842452.32299984</v>
      </c>
      <c r="F10" s="567">
        <v>14848486.338574957</v>
      </c>
      <c r="G10" s="567">
        <v>53503694.664101087</v>
      </c>
      <c r="H10" s="567">
        <v>68352181.00267604</v>
      </c>
      <c r="I10" s="567">
        <v>3325305.2424173793</v>
      </c>
      <c r="J10" s="567">
        <v>11304306.534752173</v>
      </c>
      <c r="K10" s="568">
        <v>14629611.777169552</v>
      </c>
    </row>
    <row r="11" spans="1:11">
      <c r="A11" s="290">
        <v>3</v>
      </c>
      <c r="B11" s="268" t="s">
        <v>377</v>
      </c>
      <c r="C11" s="429">
        <v>335745255.79269564</v>
      </c>
      <c r="D11" s="567">
        <v>289810973.87884784</v>
      </c>
      <c r="E11" s="567">
        <v>625556229.67154348</v>
      </c>
      <c r="F11" s="567">
        <v>76353296.610711932</v>
      </c>
      <c r="G11" s="567">
        <v>57564933.350921206</v>
      </c>
      <c r="H11" s="567">
        <v>133918229.96163315</v>
      </c>
      <c r="I11" s="567">
        <v>66424009.518267393</v>
      </c>
      <c r="J11" s="567">
        <v>51287689.223773912</v>
      </c>
      <c r="K11" s="568">
        <v>117711698.7420413</v>
      </c>
    </row>
    <row r="12" spans="1:11">
      <c r="A12" s="290">
        <v>4</v>
      </c>
      <c r="B12" s="268" t="s">
        <v>378</v>
      </c>
      <c r="C12" s="429">
        <v>149232608.69565219</v>
      </c>
      <c r="D12" s="567">
        <v>0</v>
      </c>
      <c r="E12" s="567">
        <v>149232608.69565219</v>
      </c>
      <c r="F12" s="567">
        <v>0</v>
      </c>
      <c r="G12" s="567">
        <v>0</v>
      </c>
      <c r="H12" s="567">
        <v>0</v>
      </c>
      <c r="I12" s="567">
        <v>0</v>
      </c>
      <c r="J12" s="567">
        <v>0</v>
      </c>
      <c r="K12" s="568">
        <v>0</v>
      </c>
    </row>
    <row r="13" spans="1:11">
      <c r="A13" s="290">
        <v>5</v>
      </c>
      <c r="B13" s="268" t="s">
        <v>379</v>
      </c>
      <c r="C13" s="429">
        <v>62190460.867391311</v>
      </c>
      <c r="D13" s="567">
        <v>92760685.621521741</v>
      </c>
      <c r="E13" s="567">
        <v>154951146.48891306</v>
      </c>
      <c r="F13" s="567">
        <v>10190221.331392391</v>
      </c>
      <c r="G13" s="567">
        <v>67290919.33618477</v>
      </c>
      <c r="H13" s="567">
        <v>77481140.667577162</v>
      </c>
      <c r="I13" s="567">
        <v>5120481.4965054346</v>
      </c>
      <c r="J13" s="567">
        <v>63036562.085929349</v>
      </c>
      <c r="K13" s="568">
        <v>68157043.582434788</v>
      </c>
    </row>
    <row r="14" spans="1:11">
      <c r="A14" s="290">
        <v>6</v>
      </c>
      <c r="B14" s="268" t="s">
        <v>393</v>
      </c>
      <c r="C14" s="429">
        <v>6627056.7955434769</v>
      </c>
      <c r="D14" s="567">
        <v>6945356.2068478251</v>
      </c>
      <c r="E14" s="567">
        <v>13572413.002391301</v>
      </c>
      <c r="F14" s="567">
        <v>0</v>
      </c>
      <c r="G14" s="567">
        <v>0</v>
      </c>
      <c r="H14" s="567">
        <v>0</v>
      </c>
      <c r="I14" s="567">
        <v>0</v>
      </c>
      <c r="J14" s="567">
        <v>0</v>
      </c>
      <c r="K14" s="568">
        <v>0</v>
      </c>
    </row>
    <row r="15" spans="1:11">
      <c r="A15" s="290">
        <v>7</v>
      </c>
      <c r="B15" s="268" t="s">
        <v>380</v>
      </c>
      <c r="C15" s="429">
        <v>7388323.1216304395</v>
      </c>
      <c r="D15" s="567">
        <v>5361336.4595652167</v>
      </c>
      <c r="E15" s="567">
        <v>12749659.581195656</v>
      </c>
      <c r="F15" s="567">
        <v>2533340.2067391309</v>
      </c>
      <c r="G15" s="567">
        <v>2347802.0953532611</v>
      </c>
      <c r="H15" s="567">
        <v>4881142.302092392</v>
      </c>
      <c r="I15" s="567">
        <v>2533340.2067391309</v>
      </c>
      <c r="J15" s="567">
        <v>2347802.0953532611</v>
      </c>
      <c r="K15" s="568">
        <v>4881142.302092392</v>
      </c>
    </row>
    <row r="16" spans="1:11">
      <c r="A16" s="290">
        <v>8</v>
      </c>
      <c r="B16" s="269" t="s">
        <v>381</v>
      </c>
      <c r="C16" s="429">
        <v>642068362.19576073</v>
      </c>
      <c r="D16" s="567">
        <v>677836147.5669347</v>
      </c>
      <c r="E16" s="567">
        <v>1319904509.7626953</v>
      </c>
      <c r="F16" s="567">
        <v>103925344.48741841</v>
      </c>
      <c r="G16" s="567">
        <v>180707349.44656035</v>
      </c>
      <c r="H16" s="567">
        <v>284632693.9339788</v>
      </c>
      <c r="I16" s="567">
        <v>77403136.46392934</v>
      </c>
      <c r="J16" s="567">
        <v>127976359.9398087</v>
      </c>
      <c r="K16" s="568">
        <v>205379496.40373802</v>
      </c>
    </row>
    <row r="17" spans="1:11">
      <c r="A17" s="288" t="s">
        <v>382</v>
      </c>
      <c r="B17" s="283"/>
      <c r="C17" s="283"/>
      <c r="D17" s="283"/>
      <c r="E17" s="283"/>
      <c r="F17" s="283"/>
      <c r="G17" s="283"/>
      <c r="H17" s="283"/>
      <c r="I17" s="283"/>
      <c r="J17" s="283"/>
      <c r="K17" s="289"/>
    </row>
    <row r="18" spans="1:11">
      <c r="A18" s="290">
        <v>9</v>
      </c>
      <c r="B18" s="268" t="s">
        <v>383</v>
      </c>
      <c r="C18" s="429">
        <v>0</v>
      </c>
      <c r="D18" s="567">
        <v>0</v>
      </c>
      <c r="E18" s="567">
        <v>0</v>
      </c>
      <c r="F18" s="567">
        <v>0</v>
      </c>
      <c r="G18" s="567">
        <v>0</v>
      </c>
      <c r="H18" s="567">
        <v>0</v>
      </c>
      <c r="I18" s="567">
        <v>0</v>
      </c>
      <c r="J18" s="567">
        <v>0</v>
      </c>
      <c r="K18" s="568">
        <v>0</v>
      </c>
    </row>
    <row r="19" spans="1:11">
      <c r="A19" s="290">
        <v>10</v>
      </c>
      <c r="B19" s="268" t="s">
        <v>384</v>
      </c>
      <c r="C19" s="429">
        <v>438133475.18934697</v>
      </c>
      <c r="D19" s="567">
        <v>433637690.11467397</v>
      </c>
      <c r="E19" s="567">
        <v>871771165.30402088</v>
      </c>
      <c r="F19" s="567">
        <v>24816631.10005435</v>
      </c>
      <c r="G19" s="567">
        <v>5084884.4421195649</v>
      </c>
      <c r="H19" s="567">
        <v>29901515.542173915</v>
      </c>
      <c r="I19" s="567">
        <v>31429397.367445651</v>
      </c>
      <c r="J19" s="567">
        <v>29577395.576358687</v>
      </c>
      <c r="K19" s="568">
        <v>61006792.943804339</v>
      </c>
    </row>
    <row r="20" spans="1:11">
      <c r="A20" s="290">
        <v>11</v>
      </c>
      <c r="B20" s="268" t="s">
        <v>385</v>
      </c>
      <c r="C20" s="429">
        <v>26285509.049760871</v>
      </c>
      <c r="D20" s="567">
        <v>56446146.015217386</v>
      </c>
      <c r="E20" s="567">
        <v>82731655.064978257</v>
      </c>
      <c r="F20" s="567">
        <v>13015988.896608694</v>
      </c>
      <c r="G20" s="567">
        <v>55600271.734115213</v>
      </c>
      <c r="H20" s="567">
        <v>68616260.630723909</v>
      </c>
      <c r="I20" s="567">
        <v>13015988.896608694</v>
      </c>
      <c r="J20" s="567">
        <v>55600271.734115213</v>
      </c>
      <c r="K20" s="568">
        <v>68616260.630723909</v>
      </c>
    </row>
    <row r="21" spans="1:11" ht="13.5" thickBot="1">
      <c r="A21" s="205">
        <v>12</v>
      </c>
      <c r="B21" s="291" t="s">
        <v>386</v>
      </c>
      <c r="C21" s="569">
        <v>464418984.23910785</v>
      </c>
      <c r="D21" s="570">
        <v>490083836.12989134</v>
      </c>
      <c r="E21" s="569">
        <v>954502820.36899924</v>
      </c>
      <c r="F21" s="570">
        <v>37832619.996663041</v>
      </c>
      <c r="G21" s="570">
        <v>60685156.176234782</v>
      </c>
      <c r="H21" s="570">
        <v>98517776.172897816</v>
      </c>
      <c r="I21" s="570">
        <v>44445386.264054343</v>
      </c>
      <c r="J21" s="570">
        <v>85177667.310473904</v>
      </c>
      <c r="K21" s="571">
        <v>129623053.57452825</v>
      </c>
    </row>
    <row r="22" spans="1:11" ht="38.25" customHeight="1" thickBot="1">
      <c r="A22" s="280"/>
      <c r="B22" s="281"/>
      <c r="C22" s="281"/>
      <c r="D22" s="281"/>
      <c r="E22" s="281"/>
      <c r="F22" s="665" t="s">
        <v>387</v>
      </c>
      <c r="G22" s="666"/>
      <c r="H22" s="666"/>
      <c r="I22" s="665" t="s">
        <v>388</v>
      </c>
      <c r="J22" s="666"/>
      <c r="K22" s="667"/>
    </row>
    <row r="23" spans="1:11">
      <c r="A23" s="273">
        <v>13</v>
      </c>
      <c r="B23" s="270" t="s">
        <v>374</v>
      </c>
      <c r="C23" s="279"/>
      <c r="D23" s="279"/>
      <c r="E23" s="279"/>
      <c r="F23" s="563">
        <v>71715277.826326087</v>
      </c>
      <c r="G23" s="563">
        <v>141822561.64119565</v>
      </c>
      <c r="H23" s="563">
        <v>213537839.46752173</v>
      </c>
      <c r="I23" s="563">
        <v>65102511.558934778</v>
      </c>
      <c r="J23" s="563">
        <v>117631364.57358694</v>
      </c>
      <c r="K23" s="564">
        <v>182733876.13252172</v>
      </c>
    </row>
    <row r="24" spans="1:11" ht="13.5" thickBot="1">
      <c r="A24" s="274">
        <v>14</v>
      </c>
      <c r="B24" s="271" t="s">
        <v>389</v>
      </c>
      <c r="C24" s="292"/>
      <c r="D24" s="277"/>
      <c r="E24" s="278"/>
      <c r="F24" s="565">
        <v>66092724.490755372</v>
      </c>
      <c r="G24" s="565">
        <v>120022193.27032557</v>
      </c>
      <c r="H24" s="565">
        <v>186114917.76108098</v>
      </c>
      <c r="I24" s="565">
        <v>32957750.199874997</v>
      </c>
      <c r="J24" s="565">
        <v>42798692.629334792</v>
      </c>
      <c r="K24" s="566">
        <v>75756442.829209775</v>
      </c>
    </row>
    <row r="25" spans="1:11" ht="13.5" thickBot="1">
      <c r="A25" s="275">
        <v>15</v>
      </c>
      <c r="B25" s="272" t="s">
        <v>390</v>
      </c>
      <c r="C25" s="276"/>
      <c r="D25" s="276"/>
      <c r="E25" s="276"/>
      <c r="F25" s="577">
        <v>1.0850706848430369</v>
      </c>
      <c r="G25" s="577">
        <v>1.1816361439235592</v>
      </c>
      <c r="H25" s="577">
        <v>1.1473440282828056</v>
      </c>
      <c r="I25" s="578">
        <v>1.9753323926577275</v>
      </c>
      <c r="J25" s="578">
        <v>2.7484803237414979</v>
      </c>
      <c r="K25" s="579">
        <v>2.4121232374187471</v>
      </c>
    </row>
    <row r="28" spans="1:11" ht="38.25">
      <c r="B28" s="18"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61" bestFit="1" customWidth="1"/>
    <col min="2" max="2" width="95" style="61" customWidth="1"/>
    <col min="3" max="3" width="15.7109375" style="61" bestFit="1" customWidth="1"/>
    <col min="4" max="4" width="10" style="61" bestFit="1" customWidth="1"/>
    <col min="5" max="5" width="18.42578125" style="61" bestFit="1" customWidth="1"/>
    <col min="6" max="13" width="10.7109375" style="61" customWidth="1"/>
    <col min="14" max="14" width="31" style="61" bestFit="1" customWidth="1"/>
    <col min="15" max="16384" width="9.140625" style="9"/>
  </cols>
  <sheetData>
    <row r="1" spans="1:14">
      <c r="A1" s="1" t="s">
        <v>188</v>
      </c>
      <c r="B1" s="61" t="str">
        <f>Info!C2</f>
        <v>ს.ს. "ტერაბანკი"</v>
      </c>
    </row>
    <row r="2" spans="1:14" ht="14.25" customHeight="1">
      <c r="A2" s="61" t="s">
        <v>189</v>
      </c>
      <c r="B2" s="403">
        <f>'1. key ratios'!B2</f>
        <v>44834</v>
      </c>
    </row>
    <row r="3" spans="1:14" ht="14.25" customHeight="1"/>
    <row r="4" spans="1:14" ht="15.75" thickBot="1">
      <c r="A4" s="1" t="s">
        <v>341</v>
      </c>
      <c r="B4" s="85"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4"/>
      <c r="B6" s="95"/>
      <c r="C6" s="96" t="s">
        <v>87</v>
      </c>
      <c r="D6" s="97" t="s">
        <v>76</v>
      </c>
      <c r="E6" s="98" t="s">
        <v>86</v>
      </c>
      <c r="F6" s="99">
        <v>0</v>
      </c>
      <c r="G6" s="99">
        <v>0.2</v>
      </c>
      <c r="H6" s="99">
        <v>0.35</v>
      </c>
      <c r="I6" s="99">
        <v>0.5</v>
      </c>
      <c r="J6" s="99">
        <v>0.75</v>
      </c>
      <c r="K6" s="99">
        <v>1</v>
      </c>
      <c r="L6" s="99">
        <v>1.5</v>
      </c>
      <c r="M6" s="99">
        <v>2.5</v>
      </c>
      <c r="N6" s="155" t="s">
        <v>77</v>
      </c>
    </row>
    <row r="7" spans="1:14">
      <c r="A7" s="156">
        <v>1</v>
      </c>
      <c r="B7" s="100" t="s">
        <v>78</v>
      </c>
      <c r="C7" s="250">
        <f>SUM(C8:C13)</f>
        <v>50841700</v>
      </c>
      <c r="D7" s="95"/>
      <c r="E7" s="581">
        <f t="shared" ref="E7:M7" si="0">SUM(E8:E13)</f>
        <v>1016834</v>
      </c>
      <c r="F7" s="581">
        <f>SUM(F8:F13)</f>
        <v>0</v>
      </c>
      <c r="G7" s="581">
        <f t="shared" si="0"/>
        <v>0</v>
      </c>
      <c r="H7" s="581">
        <f t="shared" si="0"/>
        <v>0</v>
      </c>
      <c r="I7" s="581">
        <f t="shared" si="0"/>
        <v>0</v>
      </c>
      <c r="J7" s="581">
        <f t="shared" si="0"/>
        <v>0</v>
      </c>
      <c r="K7" s="581">
        <f t="shared" si="0"/>
        <v>1016834</v>
      </c>
      <c r="L7" s="581">
        <f t="shared" si="0"/>
        <v>0</v>
      </c>
      <c r="M7" s="581">
        <f t="shared" si="0"/>
        <v>0</v>
      </c>
      <c r="N7" s="584">
        <f>SUM(N8:N13)</f>
        <v>1016834</v>
      </c>
    </row>
    <row r="8" spans="1:14">
      <c r="A8" s="156">
        <v>1.1000000000000001</v>
      </c>
      <c r="B8" s="101" t="s">
        <v>79</v>
      </c>
      <c r="C8" s="251">
        <v>50841700</v>
      </c>
      <c r="D8" s="102">
        <v>0.02</v>
      </c>
      <c r="E8" s="581">
        <f>C8*D8</f>
        <v>1016834</v>
      </c>
      <c r="F8" s="580">
        <v>0</v>
      </c>
      <c r="G8" s="580">
        <v>0</v>
      </c>
      <c r="H8" s="580">
        <v>0</v>
      </c>
      <c r="I8" s="580">
        <v>0</v>
      </c>
      <c r="J8" s="580">
        <v>0</v>
      </c>
      <c r="K8" s="580">
        <v>1016834</v>
      </c>
      <c r="L8" s="580">
        <v>0</v>
      </c>
      <c r="M8" s="580">
        <v>0</v>
      </c>
      <c r="N8" s="584">
        <f>SUMPRODUCT($F$6:$M$6,F8:M8)</f>
        <v>1016834</v>
      </c>
    </row>
    <row r="9" spans="1:14">
      <c r="A9" s="156">
        <v>1.2</v>
      </c>
      <c r="B9" s="101" t="s">
        <v>80</v>
      </c>
      <c r="C9" s="580">
        <v>0</v>
      </c>
      <c r="D9" s="102">
        <v>0.05</v>
      </c>
      <c r="E9" s="581">
        <f>C9*D9</f>
        <v>0</v>
      </c>
      <c r="F9" s="580">
        <v>0</v>
      </c>
      <c r="G9" s="580">
        <v>0</v>
      </c>
      <c r="H9" s="580">
        <v>0</v>
      </c>
      <c r="I9" s="580">
        <v>0</v>
      </c>
      <c r="J9" s="580">
        <v>0</v>
      </c>
      <c r="K9" s="580">
        <v>0</v>
      </c>
      <c r="L9" s="580">
        <v>0</v>
      </c>
      <c r="M9" s="580">
        <v>0</v>
      </c>
      <c r="N9" s="584">
        <f t="shared" ref="N9:N12" si="1">SUMPRODUCT($F$6:$M$6,F9:M9)</f>
        <v>0</v>
      </c>
    </row>
    <row r="10" spans="1:14">
      <c r="A10" s="156">
        <v>1.3</v>
      </c>
      <c r="B10" s="101" t="s">
        <v>81</v>
      </c>
      <c r="C10" s="580">
        <v>0</v>
      </c>
      <c r="D10" s="102">
        <v>0.08</v>
      </c>
      <c r="E10" s="581">
        <f>C10*D10</f>
        <v>0</v>
      </c>
      <c r="F10" s="580">
        <v>0</v>
      </c>
      <c r="G10" s="580">
        <v>0</v>
      </c>
      <c r="H10" s="580">
        <v>0</v>
      </c>
      <c r="I10" s="580">
        <v>0</v>
      </c>
      <c r="J10" s="580">
        <v>0</v>
      </c>
      <c r="K10" s="580">
        <v>0</v>
      </c>
      <c r="L10" s="580">
        <v>0</v>
      </c>
      <c r="M10" s="580">
        <v>0</v>
      </c>
      <c r="N10" s="584">
        <f>SUMPRODUCT($F$6:$M$6,F10:M10)</f>
        <v>0</v>
      </c>
    </row>
    <row r="11" spans="1:14">
      <c r="A11" s="156">
        <v>1.4</v>
      </c>
      <c r="B11" s="101" t="s">
        <v>82</v>
      </c>
      <c r="C11" s="580">
        <v>0</v>
      </c>
      <c r="D11" s="102">
        <v>0.11</v>
      </c>
      <c r="E11" s="581">
        <f>C11*D11</f>
        <v>0</v>
      </c>
      <c r="F11" s="580">
        <v>0</v>
      </c>
      <c r="G11" s="580">
        <v>0</v>
      </c>
      <c r="H11" s="580">
        <v>0</v>
      </c>
      <c r="I11" s="580">
        <v>0</v>
      </c>
      <c r="J11" s="580">
        <v>0</v>
      </c>
      <c r="K11" s="580">
        <v>0</v>
      </c>
      <c r="L11" s="580">
        <v>0</v>
      </c>
      <c r="M11" s="580">
        <v>0</v>
      </c>
      <c r="N11" s="584">
        <f t="shared" si="1"/>
        <v>0</v>
      </c>
    </row>
    <row r="12" spans="1:14">
      <c r="A12" s="156">
        <v>1.5</v>
      </c>
      <c r="B12" s="101" t="s">
        <v>83</v>
      </c>
      <c r="C12" s="580">
        <v>0</v>
      </c>
      <c r="D12" s="102">
        <v>0.14000000000000001</v>
      </c>
      <c r="E12" s="581">
        <f>C12*D12</f>
        <v>0</v>
      </c>
      <c r="F12" s="580">
        <v>0</v>
      </c>
      <c r="G12" s="580">
        <v>0</v>
      </c>
      <c r="H12" s="580">
        <v>0</v>
      </c>
      <c r="I12" s="580">
        <v>0</v>
      </c>
      <c r="J12" s="580">
        <v>0</v>
      </c>
      <c r="K12" s="580">
        <v>0</v>
      </c>
      <c r="L12" s="580">
        <v>0</v>
      </c>
      <c r="M12" s="580">
        <v>0</v>
      </c>
      <c r="N12" s="584">
        <f t="shared" si="1"/>
        <v>0</v>
      </c>
    </row>
    <row r="13" spans="1:14">
      <c r="A13" s="156">
        <v>1.6</v>
      </c>
      <c r="B13" s="103" t="s">
        <v>84</v>
      </c>
      <c r="C13" s="580">
        <v>0</v>
      </c>
      <c r="D13" s="104"/>
      <c r="E13" s="251"/>
      <c r="F13" s="580">
        <v>0</v>
      </c>
      <c r="G13" s="580">
        <v>0</v>
      </c>
      <c r="H13" s="580">
        <v>0</v>
      </c>
      <c r="I13" s="580">
        <v>0</v>
      </c>
      <c r="J13" s="580">
        <v>0</v>
      </c>
      <c r="K13" s="580">
        <v>0</v>
      </c>
      <c r="L13" s="580">
        <v>0</v>
      </c>
      <c r="M13" s="580">
        <v>0</v>
      </c>
      <c r="N13" s="584">
        <f>SUMPRODUCT($F$6:$M$6,F13:M13)</f>
        <v>0</v>
      </c>
    </row>
    <row r="14" spans="1:14">
      <c r="A14" s="156">
        <v>2</v>
      </c>
      <c r="B14" s="105" t="s">
        <v>85</v>
      </c>
      <c r="C14" s="581">
        <f>SUM(C15:C20)</f>
        <v>0</v>
      </c>
      <c r="D14" s="580"/>
      <c r="E14" s="581">
        <f t="shared" ref="E14:M14" si="2">SUM(E15:E20)</f>
        <v>0</v>
      </c>
      <c r="F14" s="580">
        <f t="shared" si="2"/>
        <v>0</v>
      </c>
      <c r="G14" s="580">
        <f t="shared" si="2"/>
        <v>0</v>
      </c>
      <c r="H14" s="580">
        <f t="shared" si="2"/>
        <v>0</v>
      </c>
      <c r="I14" s="580">
        <f t="shared" si="2"/>
        <v>0</v>
      </c>
      <c r="J14" s="580">
        <f t="shared" si="2"/>
        <v>0</v>
      </c>
      <c r="K14" s="580">
        <f t="shared" si="2"/>
        <v>0</v>
      </c>
      <c r="L14" s="580">
        <f t="shared" si="2"/>
        <v>0</v>
      </c>
      <c r="M14" s="580">
        <f t="shared" si="2"/>
        <v>0</v>
      </c>
      <c r="N14" s="584">
        <f>SUM(N15:N20)</f>
        <v>0</v>
      </c>
    </row>
    <row r="15" spans="1:14">
      <c r="A15" s="156">
        <v>2.1</v>
      </c>
      <c r="B15" s="103" t="s">
        <v>79</v>
      </c>
      <c r="C15" s="580">
        <v>0</v>
      </c>
      <c r="D15" s="102">
        <v>5.0000000000000001E-3</v>
      </c>
      <c r="E15" s="581">
        <f>C15*D15</f>
        <v>0</v>
      </c>
      <c r="F15" s="580">
        <v>0</v>
      </c>
      <c r="G15" s="580">
        <v>0</v>
      </c>
      <c r="H15" s="580">
        <v>0</v>
      </c>
      <c r="I15" s="580">
        <v>0</v>
      </c>
      <c r="J15" s="580">
        <v>0</v>
      </c>
      <c r="K15" s="580">
        <v>0</v>
      </c>
      <c r="L15" s="580">
        <v>0</v>
      </c>
      <c r="M15" s="580">
        <v>0</v>
      </c>
      <c r="N15" s="584">
        <f>SUMPRODUCT($F$6:$M$6,F15:M15)</f>
        <v>0</v>
      </c>
    </row>
    <row r="16" spans="1:14">
      <c r="A16" s="156">
        <v>2.2000000000000002</v>
      </c>
      <c r="B16" s="103" t="s">
        <v>80</v>
      </c>
      <c r="C16" s="580">
        <v>0</v>
      </c>
      <c r="D16" s="102">
        <v>0.01</v>
      </c>
      <c r="E16" s="581">
        <f>C16*D16</f>
        <v>0</v>
      </c>
      <c r="F16" s="580">
        <v>0</v>
      </c>
      <c r="G16" s="580">
        <v>0</v>
      </c>
      <c r="H16" s="580">
        <v>0</v>
      </c>
      <c r="I16" s="580">
        <v>0</v>
      </c>
      <c r="J16" s="580">
        <v>0</v>
      </c>
      <c r="K16" s="580">
        <v>0</v>
      </c>
      <c r="L16" s="580">
        <v>0</v>
      </c>
      <c r="M16" s="580">
        <v>0</v>
      </c>
      <c r="N16" s="584">
        <f t="shared" ref="N16:N20" si="3">SUMPRODUCT($F$6:$M$6,F16:M16)</f>
        <v>0</v>
      </c>
    </row>
    <row r="17" spans="1:14">
      <c r="A17" s="156">
        <v>2.2999999999999998</v>
      </c>
      <c r="B17" s="103" t="s">
        <v>81</v>
      </c>
      <c r="C17" s="580">
        <v>0</v>
      </c>
      <c r="D17" s="102">
        <v>0.02</v>
      </c>
      <c r="E17" s="581">
        <f>C17*D17</f>
        <v>0</v>
      </c>
      <c r="F17" s="580">
        <v>0</v>
      </c>
      <c r="G17" s="580">
        <v>0</v>
      </c>
      <c r="H17" s="580">
        <v>0</v>
      </c>
      <c r="I17" s="580">
        <v>0</v>
      </c>
      <c r="J17" s="580">
        <v>0</v>
      </c>
      <c r="K17" s="580">
        <v>0</v>
      </c>
      <c r="L17" s="580">
        <v>0</v>
      </c>
      <c r="M17" s="580">
        <v>0</v>
      </c>
      <c r="N17" s="584">
        <f t="shared" si="3"/>
        <v>0</v>
      </c>
    </row>
    <row r="18" spans="1:14">
      <c r="A18" s="156">
        <v>2.4</v>
      </c>
      <c r="B18" s="103" t="s">
        <v>82</v>
      </c>
      <c r="C18" s="580">
        <v>0</v>
      </c>
      <c r="D18" s="102">
        <v>0.03</v>
      </c>
      <c r="E18" s="581">
        <f>C18*D18</f>
        <v>0</v>
      </c>
      <c r="F18" s="580">
        <v>0</v>
      </c>
      <c r="G18" s="580">
        <v>0</v>
      </c>
      <c r="H18" s="580">
        <v>0</v>
      </c>
      <c r="I18" s="580">
        <v>0</v>
      </c>
      <c r="J18" s="580">
        <v>0</v>
      </c>
      <c r="K18" s="580">
        <v>0</v>
      </c>
      <c r="L18" s="580">
        <v>0</v>
      </c>
      <c r="M18" s="580">
        <v>0</v>
      </c>
      <c r="N18" s="584">
        <f t="shared" si="3"/>
        <v>0</v>
      </c>
    </row>
    <row r="19" spans="1:14">
      <c r="A19" s="156">
        <v>2.5</v>
      </c>
      <c r="B19" s="103" t="s">
        <v>83</v>
      </c>
      <c r="C19" s="580">
        <v>0</v>
      </c>
      <c r="D19" s="102">
        <v>0.04</v>
      </c>
      <c r="E19" s="581">
        <f>C19*D19</f>
        <v>0</v>
      </c>
      <c r="F19" s="580">
        <v>0</v>
      </c>
      <c r="G19" s="580">
        <v>0</v>
      </c>
      <c r="H19" s="580">
        <v>0</v>
      </c>
      <c r="I19" s="580">
        <v>0</v>
      </c>
      <c r="J19" s="580">
        <v>0</v>
      </c>
      <c r="K19" s="580">
        <v>0</v>
      </c>
      <c r="L19" s="580">
        <v>0</v>
      </c>
      <c r="M19" s="580">
        <v>0</v>
      </c>
      <c r="N19" s="584">
        <f t="shared" si="3"/>
        <v>0</v>
      </c>
    </row>
    <row r="20" spans="1:14">
      <c r="A20" s="156">
        <v>2.6</v>
      </c>
      <c r="B20" s="103" t="s">
        <v>84</v>
      </c>
      <c r="C20" s="580">
        <v>0</v>
      </c>
      <c r="D20" s="104"/>
      <c r="E20" s="252"/>
      <c r="F20" s="580">
        <v>0</v>
      </c>
      <c r="G20" s="580">
        <v>0</v>
      </c>
      <c r="H20" s="580">
        <v>0</v>
      </c>
      <c r="I20" s="580">
        <v>0</v>
      </c>
      <c r="J20" s="580">
        <v>0</v>
      </c>
      <c r="K20" s="580">
        <v>0</v>
      </c>
      <c r="L20" s="580">
        <v>0</v>
      </c>
      <c r="M20" s="580">
        <v>0</v>
      </c>
      <c r="N20" s="584">
        <f t="shared" si="3"/>
        <v>0</v>
      </c>
    </row>
    <row r="21" spans="1:14" ht="15.75" thickBot="1">
      <c r="A21" s="157">
        <v>3</v>
      </c>
      <c r="B21" s="158" t="s">
        <v>68</v>
      </c>
      <c r="C21" s="582">
        <f>C14+C7</f>
        <v>50841700</v>
      </c>
      <c r="D21" s="582"/>
      <c r="E21" s="582">
        <f>E14+E7</f>
        <v>1016834</v>
      </c>
      <c r="F21" s="583">
        <f>F7+F14</f>
        <v>0</v>
      </c>
      <c r="G21" s="583">
        <f t="shared" ref="G21:L21" si="4">G7+G14</f>
        <v>0</v>
      </c>
      <c r="H21" s="583">
        <f t="shared" si="4"/>
        <v>0</v>
      </c>
      <c r="I21" s="583">
        <f t="shared" si="4"/>
        <v>0</v>
      </c>
      <c r="J21" s="583">
        <f t="shared" si="4"/>
        <v>0</v>
      </c>
      <c r="K21" s="583">
        <f t="shared" si="4"/>
        <v>1016834</v>
      </c>
      <c r="L21" s="583">
        <f t="shared" si="4"/>
        <v>0</v>
      </c>
      <c r="M21" s="583">
        <f>M7+M14</f>
        <v>0</v>
      </c>
      <c r="N21" s="585">
        <f>N14+N7</f>
        <v>1016834</v>
      </c>
    </row>
    <row r="22" spans="1:14">
      <c r="E22" s="253"/>
      <c r="F22" s="253"/>
      <c r="G22" s="253"/>
      <c r="H22" s="253"/>
      <c r="I22" s="253"/>
      <c r="J22" s="253"/>
      <c r="K22" s="253"/>
      <c r="L22" s="253"/>
      <c r="M22" s="25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
    </sheetView>
  </sheetViews>
  <sheetFormatPr defaultRowHeight="15"/>
  <cols>
    <col min="1" max="1" width="11.42578125" customWidth="1"/>
    <col min="2" max="2" width="76.85546875" style="2" customWidth="1"/>
    <col min="3" max="3" width="22.85546875" customWidth="1"/>
  </cols>
  <sheetData>
    <row r="1" spans="1:3">
      <c r="A1" s="1" t="s">
        <v>188</v>
      </c>
      <c r="B1" t="str">
        <f>Info!C2</f>
        <v>ს.ს. "ტერაბანკი"</v>
      </c>
    </row>
    <row r="2" spans="1:3">
      <c r="A2" s="1" t="s">
        <v>189</v>
      </c>
      <c r="B2" s="403">
        <f>'1. key ratios'!B2</f>
        <v>44834</v>
      </c>
    </row>
    <row r="3" spans="1:3">
      <c r="A3" s="1"/>
      <c r="B3"/>
    </row>
    <row r="4" spans="1:3">
      <c r="A4" s="1" t="s">
        <v>470</v>
      </c>
      <c r="B4" t="s">
        <v>429</v>
      </c>
    </row>
    <row r="5" spans="1:3">
      <c r="A5" s="339"/>
      <c r="B5" s="339" t="s">
        <v>430</v>
      </c>
      <c r="C5" s="351"/>
    </row>
    <row r="6" spans="1:3">
      <c r="A6" s="340">
        <v>1</v>
      </c>
      <c r="B6" s="352" t="s">
        <v>482</v>
      </c>
      <c r="C6" s="353">
        <v>1428134430.4899964</v>
      </c>
    </row>
    <row r="7" spans="1:3">
      <c r="A7" s="340">
        <v>2</v>
      </c>
      <c r="B7" s="352" t="s">
        <v>431</v>
      </c>
      <c r="C7" s="587">
        <v>-23660155.27999999</v>
      </c>
    </row>
    <row r="8" spans="1:3">
      <c r="A8" s="341">
        <v>3</v>
      </c>
      <c r="B8" s="354" t="s">
        <v>432</v>
      </c>
      <c r="C8" s="355">
        <f>C6+C7</f>
        <v>1404474275.2099965</v>
      </c>
    </row>
    <row r="9" spans="1:3">
      <c r="A9" s="342"/>
      <c r="B9" s="342" t="s">
        <v>433</v>
      </c>
      <c r="C9" s="356"/>
    </row>
    <row r="10" spans="1:3">
      <c r="A10" s="343">
        <v>4</v>
      </c>
      <c r="B10" s="357" t="s">
        <v>434</v>
      </c>
      <c r="C10" s="587">
        <v>0</v>
      </c>
    </row>
    <row r="11" spans="1:3">
      <c r="A11" s="343">
        <v>5</v>
      </c>
      <c r="B11" s="358" t="s">
        <v>435</v>
      </c>
      <c r="C11" s="587">
        <v>0</v>
      </c>
    </row>
    <row r="12" spans="1:3">
      <c r="A12" s="343" t="s">
        <v>436</v>
      </c>
      <c r="B12" s="352" t="s">
        <v>437</v>
      </c>
      <c r="C12" s="355">
        <f>'15. CCR'!E21</f>
        <v>1016834</v>
      </c>
    </row>
    <row r="13" spans="1:3">
      <c r="A13" s="344">
        <v>6</v>
      </c>
      <c r="B13" s="359" t="s">
        <v>438</v>
      </c>
      <c r="C13" s="587">
        <v>0</v>
      </c>
    </row>
    <row r="14" spans="1:3">
      <c r="A14" s="344">
        <v>7</v>
      </c>
      <c r="B14" s="360" t="s">
        <v>439</v>
      </c>
      <c r="C14" s="587">
        <v>0</v>
      </c>
    </row>
    <row r="15" spans="1:3">
      <c r="A15" s="345">
        <v>8</v>
      </c>
      <c r="B15" s="352" t="s">
        <v>440</v>
      </c>
      <c r="C15" s="587">
        <v>0</v>
      </c>
    </row>
    <row r="16" spans="1:3" ht="24">
      <c r="A16" s="344">
        <v>9</v>
      </c>
      <c r="B16" s="360" t="s">
        <v>441</v>
      </c>
      <c r="C16" s="587">
        <v>0</v>
      </c>
    </row>
    <row r="17" spans="1:3">
      <c r="A17" s="344">
        <v>10</v>
      </c>
      <c r="B17" s="360" t="s">
        <v>442</v>
      </c>
      <c r="C17" s="587">
        <v>0</v>
      </c>
    </row>
    <row r="18" spans="1:3">
      <c r="A18" s="346">
        <v>11</v>
      </c>
      <c r="B18" s="361" t="s">
        <v>443</v>
      </c>
      <c r="C18" s="355">
        <f>SUM(C10:C17)</f>
        <v>1016834</v>
      </c>
    </row>
    <row r="19" spans="1:3">
      <c r="A19" s="342"/>
      <c r="B19" s="342" t="s">
        <v>444</v>
      </c>
      <c r="C19" s="362"/>
    </row>
    <row r="20" spans="1:3">
      <c r="A20" s="344">
        <v>12</v>
      </c>
      <c r="B20" s="357" t="s">
        <v>445</v>
      </c>
      <c r="C20" s="587">
        <v>0</v>
      </c>
    </row>
    <row r="21" spans="1:3">
      <c r="A21" s="344">
        <v>13</v>
      </c>
      <c r="B21" s="357" t="s">
        <v>446</v>
      </c>
      <c r="C21" s="587">
        <v>0</v>
      </c>
    </row>
    <row r="22" spans="1:3">
      <c r="A22" s="344">
        <v>14</v>
      </c>
      <c r="B22" s="357" t="s">
        <v>447</v>
      </c>
      <c r="C22" s="587">
        <v>0</v>
      </c>
    </row>
    <row r="23" spans="1:3" ht="24">
      <c r="A23" s="344" t="s">
        <v>448</v>
      </c>
      <c r="B23" s="357" t="s">
        <v>449</v>
      </c>
      <c r="C23" s="587">
        <v>0</v>
      </c>
    </row>
    <row r="24" spans="1:3">
      <c r="A24" s="344">
        <v>15</v>
      </c>
      <c r="B24" s="357" t="s">
        <v>450</v>
      </c>
      <c r="C24" s="587">
        <v>0</v>
      </c>
    </row>
    <row r="25" spans="1:3">
      <c r="A25" s="344" t="s">
        <v>451</v>
      </c>
      <c r="B25" s="352" t="s">
        <v>452</v>
      </c>
      <c r="C25" s="587">
        <v>0</v>
      </c>
    </row>
    <row r="26" spans="1:3">
      <c r="A26" s="346">
        <v>16</v>
      </c>
      <c r="B26" s="361" t="s">
        <v>453</v>
      </c>
      <c r="C26" s="355">
        <f>SUM(C20:C25)</f>
        <v>0</v>
      </c>
    </row>
    <row r="27" spans="1:3">
      <c r="A27" s="342"/>
      <c r="B27" s="342" t="s">
        <v>454</v>
      </c>
      <c r="C27" s="356"/>
    </row>
    <row r="28" spans="1:3">
      <c r="A28" s="343">
        <v>17</v>
      </c>
      <c r="B28" s="352" t="s">
        <v>455</v>
      </c>
      <c r="C28" s="587">
        <v>80527046.019999951</v>
      </c>
    </row>
    <row r="29" spans="1:3">
      <c r="A29" s="343">
        <v>18</v>
      </c>
      <c r="B29" s="352" t="s">
        <v>456</v>
      </c>
      <c r="C29" s="587">
        <v>-36633234.283999994</v>
      </c>
    </row>
    <row r="30" spans="1:3">
      <c r="A30" s="346">
        <v>19</v>
      </c>
      <c r="B30" s="361" t="s">
        <v>457</v>
      </c>
      <c r="C30" s="355">
        <f>C28+C29</f>
        <v>43893811.735999957</v>
      </c>
    </row>
    <row r="31" spans="1:3">
      <c r="A31" s="347"/>
      <c r="B31" s="342" t="s">
        <v>458</v>
      </c>
      <c r="C31" s="356"/>
    </row>
    <row r="32" spans="1:3">
      <c r="A32" s="343" t="s">
        <v>459</v>
      </c>
      <c r="B32" s="357" t="s">
        <v>460</v>
      </c>
      <c r="C32" s="588">
        <v>0</v>
      </c>
    </row>
    <row r="33" spans="1:3">
      <c r="A33" s="343" t="s">
        <v>461</v>
      </c>
      <c r="B33" s="358" t="s">
        <v>462</v>
      </c>
      <c r="C33" s="588">
        <v>0</v>
      </c>
    </row>
    <row r="34" spans="1:3">
      <c r="A34" s="342"/>
      <c r="B34" s="342" t="s">
        <v>463</v>
      </c>
      <c r="C34" s="356"/>
    </row>
    <row r="35" spans="1:3">
      <c r="A35" s="346">
        <v>20</v>
      </c>
      <c r="B35" s="361" t="s">
        <v>89</v>
      </c>
      <c r="C35" s="355">
        <f>'1. key ratios'!C9</f>
        <v>157032910.49999994</v>
      </c>
    </row>
    <row r="36" spans="1:3">
      <c r="A36" s="346">
        <v>21</v>
      </c>
      <c r="B36" s="361" t="s">
        <v>464</v>
      </c>
      <c r="C36" s="355">
        <f>C8+C18+C26+C30</f>
        <v>1449384920.9459965</v>
      </c>
    </row>
    <row r="37" spans="1:3">
      <c r="A37" s="348"/>
      <c r="B37" s="348" t="s">
        <v>429</v>
      </c>
      <c r="C37" s="356"/>
    </row>
    <row r="38" spans="1:3">
      <c r="A38" s="346">
        <v>22</v>
      </c>
      <c r="B38" s="361" t="s">
        <v>429</v>
      </c>
      <c r="C38" s="589">
        <f>IFERROR(C35/C36,0)</f>
        <v>0.10834451789211827</v>
      </c>
    </row>
    <row r="39" spans="1:3">
      <c r="A39" s="348"/>
      <c r="B39" s="348" t="s">
        <v>465</v>
      </c>
      <c r="C39" s="356"/>
    </row>
    <row r="40" spans="1:3">
      <c r="A40" s="349" t="s">
        <v>466</v>
      </c>
      <c r="B40" s="357" t="s">
        <v>467</v>
      </c>
      <c r="C40" s="588">
        <v>0</v>
      </c>
    </row>
    <row r="41" spans="1:3">
      <c r="A41" s="350" t="s">
        <v>468</v>
      </c>
      <c r="B41" s="358" t="s">
        <v>469</v>
      </c>
      <c r="C41" s="588">
        <v>0</v>
      </c>
    </row>
    <row r="43" spans="1:3">
      <c r="B43" s="371"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30" activePane="bottomRight" state="frozen"/>
      <selection pane="topRight" activeCell="C1" sqref="C1"/>
      <selection pane="bottomLeft" activeCell="A7" sqref="A7"/>
      <selection pane="bottomRight" activeCell="D41" sqref="D41"/>
    </sheetView>
  </sheetViews>
  <sheetFormatPr defaultRowHeight="15"/>
  <cols>
    <col min="1" max="1" width="9.85546875" style="1" bestFit="1" customWidth="1"/>
    <col min="2" max="2" width="82.5703125" style="18" customWidth="1"/>
    <col min="3" max="7" width="17.5703125" style="1" customWidth="1"/>
  </cols>
  <sheetData>
    <row r="1" spans="1:7">
      <c r="A1" s="1" t="s">
        <v>188</v>
      </c>
      <c r="B1" s="1" t="str">
        <f>Info!C2</f>
        <v>ს.ს. "ტერაბანკი"</v>
      </c>
    </row>
    <row r="2" spans="1:7">
      <c r="A2" s="1" t="s">
        <v>189</v>
      </c>
      <c r="B2" s="403">
        <f>'1. key ratios'!B2</f>
        <v>44834</v>
      </c>
    </row>
    <row r="3" spans="1:7">
      <c r="B3" s="403"/>
    </row>
    <row r="4" spans="1:7" ht="15.75" thickBot="1">
      <c r="A4" s="1" t="s">
        <v>532</v>
      </c>
      <c r="B4" s="258" t="s">
        <v>497</v>
      </c>
    </row>
    <row r="5" spans="1:7">
      <c r="A5" s="405"/>
      <c r="B5" s="406"/>
      <c r="C5" s="670" t="s">
        <v>498</v>
      </c>
      <c r="D5" s="670"/>
      <c r="E5" s="670"/>
      <c r="F5" s="670"/>
      <c r="G5" s="671" t="s">
        <v>499</v>
      </c>
    </row>
    <row r="6" spans="1:7">
      <c r="A6" s="407"/>
      <c r="B6" s="408"/>
      <c r="C6" s="409" t="s">
        <v>500</v>
      </c>
      <c r="D6" s="409" t="s">
        <v>501</v>
      </c>
      <c r="E6" s="409" t="s">
        <v>502</v>
      </c>
      <c r="F6" s="409" t="s">
        <v>503</v>
      </c>
      <c r="G6" s="672"/>
    </row>
    <row r="7" spans="1:7">
      <c r="A7" s="410"/>
      <c r="B7" s="411" t="s">
        <v>504</v>
      </c>
      <c r="C7" s="412"/>
      <c r="D7" s="412"/>
      <c r="E7" s="412"/>
      <c r="F7" s="412"/>
      <c r="G7" s="413"/>
    </row>
    <row r="8" spans="1:7">
      <c r="A8" s="414">
        <v>1</v>
      </c>
      <c r="B8" s="415" t="s">
        <v>505</v>
      </c>
      <c r="C8" s="416">
        <f>SUM(C9:C10)</f>
        <v>157032910.49999994</v>
      </c>
      <c r="D8" s="416">
        <f>SUM(D9:D10)</f>
        <v>0</v>
      </c>
      <c r="E8" s="416">
        <f>SUM(E9:E10)</f>
        <v>0</v>
      </c>
      <c r="F8" s="416">
        <f>SUM(F9:F10)</f>
        <v>265338877.65599996</v>
      </c>
      <c r="G8" s="417">
        <f>SUM(G9:G10)</f>
        <v>422371788.1559999</v>
      </c>
    </row>
    <row r="9" spans="1:7">
      <c r="A9" s="414">
        <v>2</v>
      </c>
      <c r="B9" s="418" t="s">
        <v>88</v>
      </c>
      <c r="C9" s="416">
        <v>157032910.49999994</v>
      </c>
      <c r="D9" s="416">
        <v>0</v>
      </c>
      <c r="E9" s="416">
        <v>0</v>
      </c>
      <c r="F9" s="416">
        <v>36076440</v>
      </c>
      <c r="G9" s="417">
        <v>193109350.49999994</v>
      </c>
    </row>
    <row r="10" spans="1:7">
      <c r="A10" s="414">
        <v>3</v>
      </c>
      <c r="B10" s="418" t="s">
        <v>506</v>
      </c>
      <c r="C10" s="419"/>
      <c r="D10" s="419"/>
      <c r="E10" s="419"/>
      <c r="F10" s="416">
        <v>229262437.65599996</v>
      </c>
      <c r="G10" s="417">
        <v>229262437.65599996</v>
      </c>
    </row>
    <row r="11" spans="1:7" ht="26.25">
      <c r="A11" s="414">
        <v>4</v>
      </c>
      <c r="B11" s="415" t="s">
        <v>507</v>
      </c>
      <c r="C11" s="416">
        <f t="shared" ref="C11:F11" si="0">SUM(C12:C13)</f>
        <v>154556800.44000167</v>
      </c>
      <c r="D11" s="416">
        <f t="shared" si="0"/>
        <v>103043346.45000006</v>
      </c>
      <c r="E11" s="416">
        <f t="shared" si="0"/>
        <v>76670196.009999976</v>
      </c>
      <c r="F11" s="416">
        <f t="shared" si="0"/>
        <v>7687045.6900000013</v>
      </c>
      <c r="G11" s="417">
        <f>SUM(G12:G13)</f>
        <v>300186844.45600158</v>
      </c>
    </row>
    <row r="12" spans="1:7">
      <c r="A12" s="414">
        <v>5</v>
      </c>
      <c r="B12" s="418" t="s">
        <v>508</v>
      </c>
      <c r="C12" s="416">
        <v>127889632.50000167</v>
      </c>
      <c r="D12" s="420">
        <v>86971213.100000069</v>
      </c>
      <c r="E12" s="416">
        <v>66059996.019999973</v>
      </c>
      <c r="F12" s="416">
        <v>6208380.9600000009</v>
      </c>
      <c r="G12" s="417">
        <v>272772761.45100158</v>
      </c>
    </row>
    <row r="13" spans="1:7">
      <c r="A13" s="414">
        <v>6</v>
      </c>
      <c r="B13" s="418" t="s">
        <v>509</v>
      </c>
      <c r="C13" s="416">
        <v>26667167.940000013</v>
      </c>
      <c r="D13" s="420">
        <v>16072133.349999998</v>
      </c>
      <c r="E13" s="416">
        <v>10610199.989999998</v>
      </c>
      <c r="F13" s="416">
        <v>1478664.73</v>
      </c>
      <c r="G13" s="417">
        <v>27414083.004999999</v>
      </c>
    </row>
    <row r="14" spans="1:7">
      <c r="A14" s="414">
        <v>7</v>
      </c>
      <c r="B14" s="415" t="s">
        <v>510</v>
      </c>
      <c r="C14" s="416">
        <f t="shared" ref="C14:F14" si="1">SUM(C15:C16)</f>
        <v>288788093.59000003</v>
      </c>
      <c r="D14" s="416">
        <f t="shared" si="1"/>
        <v>248943630.76000002</v>
      </c>
      <c r="E14" s="416">
        <f t="shared" si="1"/>
        <v>89969700.478599995</v>
      </c>
      <c r="F14" s="416">
        <f t="shared" si="1"/>
        <v>37800</v>
      </c>
      <c r="G14" s="417">
        <f>SUM(G15:G16)</f>
        <v>210275210.82430005</v>
      </c>
    </row>
    <row r="15" spans="1:7" ht="51.75">
      <c r="A15" s="414">
        <v>8</v>
      </c>
      <c r="B15" s="418" t="s">
        <v>511</v>
      </c>
      <c r="C15" s="416">
        <v>277630295.45000005</v>
      </c>
      <c r="D15" s="420">
        <v>52912625.719999999</v>
      </c>
      <c r="E15" s="416">
        <v>59871516.07</v>
      </c>
      <c r="F15" s="416">
        <v>37800</v>
      </c>
      <c r="G15" s="417">
        <v>195226118.62000003</v>
      </c>
    </row>
    <row r="16" spans="1:7" ht="26.25">
      <c r="A16" s="414">
        <v>9</v>
      </c>
      <c r="B16" s="418" t="s">
        <v>512</v>
      </c>
      <c r="C16" s="416">
        <v>11157798.139999993</v>
      </c>
      <c r="D16" s="420">
        <v>196031005.04000002</v>
      </c>
      <c r="E16" s="416">
        <v>30098184.408600003</v>
      </c>
      <c r="F16" s="416">
        <v>0</v>
      </c>
      <c r="G16" s="417">
        <v>15049092.204300001</v>
      </c>
    </row>
    <row r="17" spans="1:7">
      <c r="A17" s="414">
        <v>10</v>
      </c>
      <c r="B17" s="415" t="s">
        <v>513</v>
      </c>
      <c r="C17" s="416">
        <v>0</v>
      </c>
      <c r="D17" s="420">
        <v>0</v>
      </c>
      <c r="E17" s="416">
        <v>0</v>
      </c>
      <c r="F17" s="416">
        <v>0</v>
      </c>
      <c r="G17" s="417">
        <v>0</v>
      </c>
    </row>
    <row r="18" spans="1:7">
      <c r="A18" s="414">
        <v>11</v>
      </c>
      <c r="B18" s="415" t="s">
        <v>95</v>
      </c>
      <c r="C18" s="416">
        <f>SUM(C19:C20)</f>
        <v>0</v>
      </c>
      <c r="D18" s="420">
        <f t="shared" ref="D18:G18" si="2">SUM(D19:D20)</f>
        <v>16528622.079999959</v>
      </c>
      <c r="E18" s="416">
        <f t="shared" si="2"/>
        <v>5422178.5499999998</v>
      </c>
      <c r="F18" s="416">
        <f t="shared" si="2"/>
        <v>10298130.760000004</v>
      </c>
      <c r="G18" s="417">
        <f t="shared" si="2"/>
        <v>0</v>
      </c>
    </row>
    <row r="19" spans="1:7">
      <c r="A19" s="414">
        <v>12</v>
      </c>
      <c r="B19" s="418" t="s">
        <v>514</v>
      </c>
      <c r="C19" s="419"/>
      <c r="D19" s="420">
        <v>33335.360000001267</v>
      </c>
      <c r="E19" s="416">
        <v>0</v>
      </c>
      <c r="F19" s="416">
        <v>0</v>
      </c>
      <c r="G19" s="417">
        <v>0</v>
      </c>
    </row>
    <row r="20" spans="1:7" ht="26.25">
      <c r="A20" s="414">
        <v>13</v>
      </c>
      <c r="B20" s="418" t="s">
        <v>515</v>
      </c>
      <c r="C20" s="416">
        <v>0</v>
      </c>
      <c r="D20" s="416">
        <v>16495286.719999958</v>
      </c>
      <c r="E20" s="416">
        <v>5422178.5499999998</v>
      </c>
      <c r="F20" s="416">
        <v>10298130.760000004</v>
      </c>
      <c r="G20" s="417">
        <v>0</v>
      </c>
    </row>
    <row r="21" spans="1:7">
      <c r="A21" s="421">
        <v>14</v>
      </c>
      <c r="B21" s="422" t="s">
        <v>516</v>
      </c>
      <c r="C21" s="419"/>
      <c r="D21" s="419"/>
      <c r="E21" s="419"/>
      <c r="F21" s="419"/>
      <c r="G21" s="423">
        <f>SUM(G8,G11,G14,G17,G18)</f>
        <v>932833843.43630147</v>
      </c>
    </row>
    <row r="22" spans="1:7">
      <c r="A22" s="424"/>
      <c r="B22" s="441" t="s">
        <v>517</v>
      </c>
      <c r="C22" s="425"/>
      <c r="D22" s="426"/>
      <c r="E22" s="425"/>
      <c r="F22" s="425"/>
      <c r="G22" s="427"/>
    </row>
    <row r="23" spans="1:7">
      <c r="A23" s="414">
        <v>15</v>
      </c>
      <c r="B23" s="415" t="s">
        <v>374</v>
      </c>
      <c r="C23" s="428">
        <v>246450598.11583263</v>
      </c>
      <c r="D23" s="429">
        <v>143059900</v>
      </c>
      <c r="E23" s="428">
        <v>0</v>
      </c>
      <c r="F23" s="428">
        <v>1780148.67</v>
      </c>
      <c r="G23" s="417">
        <v>13535613.9943</v>
      </c>
    </row>
    <row r="24" spans="1:7">
      <c r="A24" s="414">
        <v>16</v>
      </c>
      <c r="B24" s="415" t="s">
        <v>518</v>
      </c>
      <c r="C24" s="416">
        <f>SUM(C25:C27,C29,C31)</f>
        <v>282709.46999999997</v>
      </c>
      <c r="D24" s="420">
        <f t="shared" ref="D24:G24" si="3">SUM(D25:D27,D29,D31)</f>
        <v>245731589.72032028</v>
      </c>
      <c r="E24" s="416">
        <f t="shared" si="3"/>
        <v>143872144.26200667</v>
      </c>
      <c r="F24" s="416">
        <f t="shared" si="3"/>
        <v>490130754.43516219</v>
      </c>
      <c r="G24" s="417">
        <f t="shared" si="3"/>
        <v>589301025.56986201</v>
      </c>
    </row>
    <row r="25" spans="1:7" ht="26.25">
      <c r="A25" s="414">
        <v>17</v>
      </c>
      <c r="B25" s="418" t="s">
        <v>519</v>
      </c>
      <c r="C25" s="416" t="s">
        <v>765</v>
      </c>
      <c r="D25" s="420">
        <v>0</v>
      </c>
      <c r="E25" s="416">
        <v>0</v>
      </c>
      <c r="F25" s="416">
        <v>0</v>
      </c>
      <c r="G25" s="417">
        <v>0</v>
      </c>
    </row>
    <row r="26" spans="1:7" ht="26.25">
      <c r="A26" s="414">
        <v>18</v>
      </c>
      <c r="B26" s="418" t="s">
        <v>520</v>
      </c>
      <c r="C26" s="416">
        <v>282709.46999999997</v>
      </c>
      <c r="D26" s="420">
        <v>32294829.571967319</v>
      </c>
      <c r="E26" s="416">
        <v>16341.695478400001</v>
      </c>
      <c r="F26" s="416">
        <v>0</v>
      </c>
      <c r="G26" s="417">
        <v>4894801.7040342977</v>
      </c>
    </row>
    <row r="27" spans="1:7">
      <c r="A27" s="414">
        <v>19</v>
      </c>
      <c r="B27" s="418" t="s">
        <v>521</v>
      </c>
      <c r="C27" s="416" t="s">
        <v>765</v>
      </c>
      <c r="D27" s="420">
        <v>161578166.04309997</v>
      </c>
      <c r="E27" s="416">
        <v>113353362.12073286</v>
      </c>
      <c r="F27" s="416">
        <v>356966358.96587777</v>
      </c>
      <c r="G27" s="417">
        <v>440887169.20291257</v>
      </c>
    </row>
    <row r="28" spans="1:7">
      <c r="A28" s="414">
        <v>20</v>
      </c>
      <c r="B28" s="430" t="s">
        <v>522</v>
      </c>
      <c r="C28" s="416">
        <v>0</v>
      </c>
      <c r="D28" s="420">
        <v>0</v>
      </c>
      <c r="E28" s="416">
        <v>0</v>
      </c>
      <c r="F28" s="416">
        <v>0</v>
      </c>
      <c r="G28" s="417">
        <v>0</v>
      </c>
    </row>
    <row r="29" spans="1:7">
      <c r="A29" s="414">
        <v>21</v>
      </c>
      <c r="B29" s="418" t="s">
        <v>523</v>
      </c>
      <c r="C29" s="416" t="s">
        <v>765</v>
      </c>
      <c r="D29" s="420">
        <v>49247687.415252969</v>
      </c>
      <c r="E29" s="416">
        <v>30328301.847795419</v>
      </c>
      <c r="F29" s="416">
        <v>128225595.49928439</v>
      </c>
      <c r="G29" s="417">
        <v>137928552.04441518</v>
      </c>
    </row>
    <row r="30" spans="1:7">
      <c r="A30" s="414">
        <v>22</v>
      </c>
      <c r="B30" s="430" t="s">
        <v>522</v>
      </c>
      <c r="C30" s="416">
        <v>0</v>
      </c>
      <c r="D30" s="420">
        <v>16651805.640952514</v>
      </c>
      <c r="E30" s="416">
        <v>13154590.620363023</v>
      </c>
      <c r="F30" s="416">
        <v>54255993.807503723</v>
      </c>
      <c r="G30" s="417">
        <v>50169594.105535194</v>
      </c>
    </row>
    <row r="31" spans="1:7" ht="26.25">
      <c r="A31" s="414">
        <v>23</v>
      </c>
      <c r="B31" s="418" t="s">
        <v>524</v>
      </c>
      <c r="C31" s="416" t="s">
        <v>765</v>
      </c>
      <c r="D31" s="420">
        <v>2610906.6899999995</v>
      </c>
      <c r="E31" s="416">
        <v>174138.59800000023</v>
      </c>
      <c r="F31" s="416">
        <v>4938799.97</v>
      </c>
      <c r="G31" s="417">
        <v>5590502.6184999999</v>
      </c>
    </row>
    <row r="32" spans="1:7">
      <c r="A32" s="414">
        <v>24</v>
      </c>
      <c r="B32" s="415" t="s">
        <v>525</v>
      </c>
      <c r="C32" s="416">
        <v>0</v>
      </c>
      <c r="D32" s="420">
        <v>0</v>
      </c>
      <c r="E32" s="416">
        <v>0</v>
      </c>
      <c r="F32" s="416">
        <v>0</v>
      </c>
      <c r="G32" s="417">
        <v>0</v>
      </c>
    </row>
    <row r="33" spans="1:7">
      <c r="A33" s="414">
        <v>25</v>
      </c>
      <c r="B33" s="415" t="s">
        <v>165</v>
      </c>
      <c r="C33" s="416">
        <f>SUM(C34:C35)</f>
        <v>28673194.170000032</v>
      </c>
      <c r="D33" s="416">
        <f>SUM(D34:D35)</f>
        <v>17582980.718123727</v>
      </c>
      <c r="E33" s="416">
        <f>SUM(E34:E35)</f>
        <v>11643407.828720624</v>
      </c>
      <c r="F33" s="416">
        <f>SUM(F34:F35)</f>
        <v>95701462.175864726</v>
      </c>
      <c r="G33" s="417">
        <f>SUM(G34:G35)</f>
        <v>139296026.21928692</v>
      </c>
    </row>
    <row r="34" spans="1:7">
      <c r="A34" s="414">
        <v>26</v>
      </c>
      <c r="B34" s="418" t="s">
        <v>526</v>
      </c>
      <c r="C34" s="419"/>
      <c r="D34" s="420">
        <v>616351.19999999925</v>
      </c>
      <c r="E34" s="416">
        <v>0</v>
      </c>
      <c r="F34" s="416">
        <v>0</v>
      </c>
      <c r="G34" s="417">
        <v>616351.19999999925</v>
      </c>
    </row>
    <row r="35" spans="1:7">
      <c r="A35" s="414">
        <v>27</v>
      </c>
      <c r="B35" s="418" t="s">
        <v>527</v>
      </c>
      <c r="C35" s="416">
        <v>28673194.170000032</v>
      </c>
      <c r="D35" s="420">
        <v>16966629.518123727</v>
      </c>
      <c r="E35" s="416">
        <v>11643407.828720624</v>
      </c>
      <c r="F35" s="416">
        <v>95701462.175864726</v>
      </c>
      <c r="G35" s="417">
        <v>138679675.01928693</v>
      </c>
    </row>
    <row r="36" spans="1:7">
      <c r="A36" s="414">
        <v>28</v>
      </c>
      <c r="B36" s="415" t="s">
        <v>528</v>
      </c>
      <c r="C36" s="416">
        <v>0</v>
      </c>
      <c r="D36" s="420">
        <v>23858191.689400002</v>
      </c>
      <c r="E36" s="416">
        <v>22645869.009999998</v>
      </c>
      <c r="F36" s="416">
        <v>33088633.634399995</v>
      </c>
      <c r="G36" s="417">
        <v>7362001.7201000005</v>
      </c>
    </row>
    <row r="37" spans="1:7">
      <c r="A37" s="421">
        <v>29</v>
      </c>
      <c r="B37" s="422" t="s">
        <v>529</v>
      </c>
      <c r="C37" s="419"/>
      <c r="D37" s="419"/>
      <c r="E37" s="419"/>
      <c r="F37" s="419"/>
      <c r="G37" s="423">
        <f>SUM(G23:G24,G32:G33,G36)</f>
        <v>749494667.50354898</v>
      </c>
    </row>
    <row r="38" spans="1:7">
      <c r="A38" s="410"/>
      <c r="B38" s="431"/>
      <c r="C38" s="432"/>
      <c r="D38" s="432"/>
      <c r="E38" s="432"/>
      <c r="F38" s="432"/>
      <c r="G38" s="433"/>
    </row>
    <row r="39" spans="1:7" ht="15.75" thickBot="1">
      <c r="A39" s="434">
        <v>30</v>
      </c>
      <c r="B39" s="435" t="s">
        <v>497</v>
      </c>
      <c r="C39" s="292"/>
      <c r="D39" s="277"/>
      <c r="E39" s="277"/>
      <c r="F39" s="436"/>
      <c r="G39" s="437">
        <f>IFERROR(G21/G37,0)</f>
        <v>1.2446170518376427</v>
      </c>
    </row>
    <row r="42" spans="1:7" ht="39">
      <c r="B42" s="18"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43" activePane="bottomRight" state="frozen"/>
      <selection activeCell="C50" sqref="C50"/>
      <selection pane="topRight" activeCell="C50" sqref="C50"/>
      <selection pane="bottomLeft" activeCell="C50" sqref="C50"/>
      <selection pane="bottomRight" activeCell="F48" sqref="F48"/>
    </sheetView>
  </sheetViews>
  <sheetFormatPr defaultRowHeight="15.75"/>
  <cols>
    <col min="1" max="1" width="9.5703125" style="15" bestFit="1" customWidth="1"/>
    <col min="2" max="2" width="88.42578125" style="13" customWidth="1"/>
    <col min="3" max="3" width="12.7109375" style="13" customWidth="1"/>
    <col min="4" max="4" width="12.7109375" style="1" customWidth="1"/>
    <col min="5" max="7" width="13.28515625" style="1" bestFit="1" customWidth="1"/>
    <col min="8" max="13" width="6.7109375" customWidth="1"/>
  </cols>
  <sheetData>
    <row r="1" spans="1:7">
      <c r="A1" s="14" t="s">
        <v>188</v>
      </c>
      <c r="B1" s="370" t="str">
        <f>Info!C2</f>
        <v>ს.ს. "ტერაბანკი"</v>
      </c>
    </row>
    <row r="2" spans="1:7">
      <c r="A2" s="14" t="s">
        <v>189</v>
      </c>
      <c r="B2" s="390">
        <v>44834</v>
      </c>
    </row>
    <row r="3" spans="1:7">
      <c r="A3" s="14"/>
    </row>
    <row r="4" spans="1:7" ht="16.5" thickBot="1">
      <c r="A4" s="62" t="s">
        <v>328</v>
      </c>
      <c r="B4" s="191" t="s">
        <v>223</v>
      </c>
      <c r="C4" s="192"/>
      <c r="D4" s="193"/>
      <c r="E4" s="193"/>
      <c r="F4" s="193"/>
      <c r="G4" s="193"/>
    </row>
    <row r="5" spans="1:7" ht="15">
      <c r="A5" s="263" t="s">
        <v>26</v>
      </c>
      <c r="B5" s="264"/>
      <c r="C5" s="391" t="str">
        <f>INT((MONTH($B$2))/3)&amp;"Q"&amp;"-"&amp;YEAR($B$2)</f>
        <v>3Q-2022</v>
      </c>
      <c r="D5" s="391" t="str">
        <f>IF(INT(MONTH($B$2))=3, "4"&amp;"Q"&amp;"-"&amp;YEAR($B$2)-1, IF(INT(MONTH($B$2))=6, "1"&amp;"Q"&amp;"-"&amp;YEAR($B$2), IF(INT(MONTH($B$2))=9, "2"&amp;"Q"&amp;"-"&amp;YEAR($B$2),IF(INT(MONTH($B$2))=12, "3"&amp;"Q"&amp;"-"&amp;YEAR($B$2), 0))))</f>
        <v>2Q-2022</v>
      </c>
      <c r="E5" s="391" t="str">
        <f>IF(INT(MONTH($B$2))=3, "3"&amp;"Q"&amp;"-"&amp;YEAR($B$2)-1, IF(INT(MONTH($B$2))=6, "4"&amp;"Q"&amp;"-"&amp;YEAR($B$2)-1, IF(INT(MONTH($B$2))=9, "1"&amp;"Q"&amp;"-"&amp;YEAR($B$2),IF(INT(MONTH($B$2))=12, "2"&amp;"Q"&amp;"-"&amp;YEAR($B$2), 0))))</f>
        <v>1Q-2022</v>
      </c>
      <c r="F5" s="391" t="str">
        <f>IF(INT(MONTH($B$2))=3, "2"&amp;"Q"&amp;"-"&amp;YEAR($B$2)-1, IF(INT(MONTH($B$2))=6, "3"&amp;"Q"&amp;"-"&amp;YEAR($B$2)-1, IF(INT(MONTH($B$2))=9, "4"&amp;"Q"&amp;"-"&amp;YEAR($B$2)-1,IF(INT(MONTH($B$2))=12, "1"&amp;"Q"&amp;"-"&amp;YEAR($B$2), 0))))</f>
        <v>4Q-2021</v>
      </c>
      <c r="G5" s="392" t="str">
        <f>IF(INT(MONTH($B$2))=3, "1"&amp;"Q"&amp;"-"&amp;YEAR($B$2)-1, IF(INT(MONTH($B$2))=6, "2"&amp;"Q"&amp;"-"&amp;YEAR($B$2)-1, IF(INT(MONTH($B$2))=9, "3"&amp;"Q"&amp;"-"&amp;YEAR($B$2)-1,IF(INT(MONTH($B$2))=12, "4"&amp;"Q"&amp;"-"&amp;YEAR($B$2)-1, 0))))</f>
        <v>3Q-2021</v>
      </c>
    </row>
    <row r="6" spans="1:7" ht="15">
      <c r="A6" s="393"/>
      <c r="B6" s="394" t="s">
        <v>186</v>
      </c>
      <c r="C6" s="265"/>
      <c r="D6" s="265"/>
      <c r="E6" s="265"/>
      <c r="F6" s="265"/>
      <c r="G6" s="266"/>
    </row>
    <row r="7" spans="1:7" ht="15">
      <c r="A7" s="393"/>
      <c r="B7" s="395" t="s">
        <v>190</v>
      </c>
      <c r="C7" s="265"/>
      <c r="D7" s="265"/>
      <c r="E7" s="265"/>
      <c r="F7" s="265"/>
      <c r="G7" s="266"/>
    </row>
    <row r="8" spans="1:7" ht="15">
      <c r="A8" s="374">
        <v>1</v>
      </c>
      <c r="B8" s="375" t="s">
        <v>23</v>
      </c>
      <c r="C8" s="507">
        <v>157032910.49999994</v>
      </c>
      <c r="D8" s="508">
        <v>147181488.98999986</v>
      </c>
      <c r="E8" s="508">
        <v>140360990.93000007</v>
      </c>
      <c r="F8" s="508">
        <v>132094165.61000001</v>
      </c>
      <c r="G8" s="508">
        <v>126061369.7900002</v>
      </c>
    </row>
    <row r="9" spans="1:7" ht="15">
      <c r="A9" s="374">
        <v>2</v>
      </c>
      <c r="B9" s="375" t="s">
        <v>89</v>
      </c>
      <c r="C9" s="507">
        <v>157032910.49999994</v>
      </c>
      <c r="D9" s="508">
        <v>147181488.98999986</v>
      </c>
      <c r="E9" s="508">
        <v>140360990.93000007</v>
      </c>
      <c r="F9" s="508">
        <v>132094165.61000001</v>
      </c>
      <c r="G9" s="508">
        <v>126061369.7900002</v>
      </c>
    </row>
    <row r="10" spans="1:7" ht="15">
      <c r="A10" s="374">
        <v>3</v>
      </c>
      <c r="B10" s="375" t="s">
        <v>88</v>
      </c>
      <c r="C10" s="507">
        <v>206456474.60208443</v>
      </c>
      <c r="D10" s="508">
        <v>201106410.27410448</v>
      </c>
      <c r="E10" s="508">
        <v>201487619.53327212</v>
      </c>
      <c r="F10" s="508">
        <v>179552613.19339192</v>
      </c>
      <c r="G10" s="508">
        <v>176153056.92921895</v>
      </c>
    </row>
    <row r="11" spans="1:7" ht="15">
      <c r="A11" s="374">
        <v>4</v>
      </c>
      <c r="B11" s="375" t="s">
        <v>488</v>
      </c>
      <c r="C11" s="396">
        <v>77846813.833223715</v>
      </c>
      <c r="D11" s="397">
        <v>77464129.769991755</v>
      </c>
      <c r="E11" s="397">
        <v>77085616.011116952</v>
      </c>
      <c r="F11" s="397">
        <v>68689810.285512358</v>
      </c>
      <c r="G11" s="398">
        <v>66305258.451731682</v>
      </c>
    </row>
    <row r="12" spans="1:7" ht="15">
      <c r="A12" s="374">
        <v>5</v>
      </c>
      <c r="B12" s="375" t="s">
        <v>489</v>
      </c>
      <c r="C12" s="396">
        <v>103826103.87302049</v>
      </c>
      <c r="D12" s="397">
        <v>103317324.97125384</v>
      </c>
      <c r="E12" s="397">
        <v>102814354.3737711</v>
      </c>
      <c r="F12" s="397">
        <v>91617361.803543657</v>
      </c>
      <c r="G12" s="398">
        <v>88437457.124031246</v>
      </c>
    </row>
    <row r="13" spans="1:7" ht="15">
      <c r="A13" s="374">
        <v>6</v>
      </c>
      <c r="B13" s="375" t="s">
        <v>490</v>
      </c>
      <c r="C13" s="396">
        <v>147017068.8142595</v>
      </c>
      <c r="D13" s="397">
        <v>146365031.30004895</v>
      </c>
      <c r="E13" s="397">
        <v>145652618.20997047</v>
      </c>
      <c r="F13" s="397">
        <v>141656270.31281644</v>
      </c>
      <c r="G13" s="398">
        <v>136699169.77684066</v>
      </c>
    </row>
    <row r="14" spans="1:7" ht="15">
      <c r="A14" s="393"/>
      <c r="B14" s="394" t="s">
        <v>492</v>
      </c>
      <c r="C14" s="265"/>
      <c r="D14" s="265"/>
      <c r="E14" s="265"/>
      <c r="F14" s="265"/>
      <c r="G14" s="266"/>
    </row>
    <row r="15" spans="1:7" ht="15" customHeight="1">
      <c r="A15" s="374">
        <v>7</v>
      </c>
      <c r="B15" s="375" t="s">
        <v>491</v>
      </c>
      <c r="C15" s="509">
        <v>1187501524.3305099</v>
      </c>
      <c r="D15" s="508">
        <v>1172205723.6921189</v>
      </c>
      <c r="E15" s="510">
        <v>1159483107.9255137</v>
      </c>
      <c r="F15" s="510">
        <v>1132332295.6451013</v>
      </c>
      <c r="G15" s="511">
        <v>1091463372.5874999</v>
      </c>
    </row>
    <row r="16" spans="1:7" ht="15">
      <c r="A16" s="393"/>
      <c r="B16" s="394" t="s">
        <v>496</v>
      </c>
      <c r="C16" s="265"/>
      <c r="D16" s="265"/>
      <c r="E16" s="265"/>
      <c r="F16" s="265"/>
      <c r="G16" s="266"/>
    </row>
    <row r="17" spans="1:7" ht="15">
      <c r="A17" s="374"/>
      <c r="B17" s="395" t="s">
        <v>477</v>
      </c>
      <c r="C17" s="265"/>
      <c r="D17" s="265"/>
      <c r="E17" s="265"/>
      <c r="F17" s="265"/>
      <c r="G17" s="266"/>
    </row>
    <row r="18" spans="1:7" ht="15">
      <c r="A18" s="374">
        <v>8</v>
      </c>
      <c r="B18" s="375" t="s">
        <v>486</v>
      </c>
      <c r="C18" s="501">
        <v>0.13223807067408358</v>
      </c>
      <c r="D18" s="502">
        <v>0.12555943552844931</v>
      </c>
      <c r="E18" s="502">
        <v>0.12105479585737698</v>
      </c>
      <c r="F18" s="502">
        <v>0.11665671474533421</v>
      </c>
      <c r="G18" s="503">
        <v>0.11549757230162497</v>
      </c>
    </row>
    <row r="19" spans="1:7" ht="15" customHeight="1">
      <c r="A19" s="374">
        <v>9</v>
      </c>
      <c r="B19" s="375" t="s">
        <v>485</v>
      </c>
      <c r="C19" s="501">
        <v>0.13223807067408358</v>
      </c>
      <c r="D19" s="502">
        <v>0.12555943552844931</v>
      </c>
      <c r="E19" s="502">
        <v>0.12105479585737698</v>
      </c>
      <c r="F19" s="502">
        <v>0.11665671474533421</v>
      </c>
      <c r="G19" s="503">
        <v>0.11549757230162497</v>
      </c>
    </row>
    <row r="20" spans="1:7" ht="15">
      <c r="A20" s="374">
        <v>10</v>
      </c>
      <c r="B20" s="375" t="s">
        <v>487</v>
      </c>
      <c r="C20" s="501">
        <v>0.17385786070336251</v>
      </c>
      <c r="D20" s="502">
        <v>0.17156238551768521</v>
      </c>
      <c r="E20" s="502">
        <v>0.1737736566889389</v>
      </c>
      <c r="F20" s="502">
        <v>0.15856883521201606</v>
      </c>
      <c r="G20" s="503">
        <v>0.1613916337949281</v>
      </c>
    </row>
    <row r="21" spans="1:7" ht="15">
      <c r="A21" s="374">
        <v>11</v>
      </c>
      <c r="B21" s="375" t="s">
        <v>488</v>
      </c>
      <c r="C21" s="404">
        <v>6.5555127499404453E-2</v>
      </c>
      <c r="D21" s="404">
        <v>6.6084073984898739E-2</v>
      </c>
      <c r="E21" s="404">
        <v>6.6482741735698486E-2</v>
      </c>
      <c r="F21" s="404">
        <v>6.0662237180455117E-2</v>
      </c>
      <c r="G21" s="404">
        <v>6.0748954217807391E-2</v>
      </c>
    </row>
    <row r="22" spans="1:7" ht="15">
      <c r="A22" s="374">
        <v>12</v>
      </c>
      <c r="B22" s="375" t="s">
        <v>489</v>
      </c>
      <c r="C22" s="404">
        <v>8.7432396292337899E-2</v>
      </c>
      <c r="D22" s="404">
        <v>8.8139242867568746E-2</v>
      </c>
      <c r="E22" s="404">
        <v>8.8672576315252355E-2</v>
      </c>
      <c r="F22" s="404">
        <v>8.0910314185950433E-2</v>
      </c>
      <c r="G22" s="404">
        <v>8.1026500151237496E-2</v>
      </c>
    </row>
    <row r="23" spans="1:7" ht="15">
      <c r="A23" s="374">
        <v>13</v>
      </c>
      <c r="B23" s="375" t="s">
        <v>490</v>
      </c>
      <c r="C23" s="404">
        <v>0.12380368850233253</v>
      </c>
      <c r="D23" s="404">
        <v>0.1248629215348311</v>
      </c>
      <c r="E23" s="404">
        <v>0.1256185771180095</v>
      </c>
      <c r="F23" s="404">
        <v>0.12510132481217751</v>
      </c>
      <c r="G23" s="404">
        <v>0.12524393691083924</v>
      </c>
    </row>
    <row r="24" spans="1:7" ht="15">
      <c r="A24" s="393"/>
      <c r="B24" s="394" t="s">
        <v>6</v>
      </c>
      <c r="C24" s="265"/>
      <c r="D24" s="265"/>
      <c r="E24" s="265"/>
      <c r="F24" s="265"/>
      <c r="G24" s="266"/>
    </row>
    <row r="25" spans="1:7" ht="15" customHeight="1">
      <c r="A25" s="399">
        <v>14</v>
      </c>
      <c r="B25" s="400" t="s">
        <v>7</v>
      </c>
      <c r="C25" s="504">
        <v>9.3724526924680057E-2</v>
      </c>
      <c r="D25" s="504">
        <v>9.0969951291550111E-2</v>
      </c>
      <c r="E25" s="504">
        <v>8.7629368918025183E-2</v>
      </c>
      <c r="F25" s="504">
        <v>8.1407699924392674E-2</v>
      </c>
      <c r="G25" s="505">
        <v>7.9673400568681094E-2</v>
      </c>
    </row>
    <row r="26" spans="1:7" ht="15">
      <c r="A26" s="399">
        <v>15</v>
      </c>
      <c r="B26" s="400" t="s">
        <v>8</v>
      </c>
      <c r="C26" s="504">
        <v>5.1123237207583029E-2</v>
      </c>
      <c r="D26" s="504">
        <v>4.9009852396435405E-2</v>
      </c>
      <c r="E26" s="504">
        <v>4.6258252485603363E-2</v>
      </c>
      <c r="F26" s="504">
        <v>4.2895664133038941E-2</v>
      </c>
      <c r="G26" s="505">
        <v>4.2108829354622609E-2</v>
      </c>
    </row>
    <row r="27" spans="1:7" ht="15">
      <c r="A27" s="399">
        <v>16</v>
      </c>
      <c r="B27" s="400" t="s">
        <v>9</v>
      </c>
      <c r="C27" s="506">
        <v>3.3140747738103993E-2</v>
      </c>
      <c r="D27" s="504">
        <v>3.0651050792935543E-2</v>
      </c>
      <c r="E27" s="504">
        <v>3.1613178582611791E-2</v>
      </c>
      <c r="F27" s="504">
        <v>2.3647321788586275E-2</v>
      </c>
      <c r="G27" s="505">
        <v>2.4470489234487754E-2</v>
      </c>
    </row>
    <row r="28" spans="1:7" ht="15">
      <c r="A28" s="399">
        <v>17</v>
      </c>
      <c r="B28" s="400" t="s">
        <v>224</v>
      </c>
      <c r="C28" s="506">
        <v>4.2601289717097014E-2</v>
      </c>
      <c r="D28" s="504">
        <v>4.1960098895114713E-2</v>
      </c>
      <c r="E28" s="504">
        <v>4.1371116432421827E-2</v>
      </c>
      <c r="F28" s="504">
        <v>3.8512035791353726E-2</v>
      </c>
      <c r="G28" s="505">
        <v>3.756457121405847E-2</v>
      </c>
    </row>
    <row r="29" spans="1:7" ht="15">
      <c r="A29" s="399">
        <v>18</v>
      </c>
      <c r="B29" s="400" t="s">
        <v>10</v>
      </c>
      <c r="C29" s="506">
        <v>2.4303520684334643E-2</v>
      </c>
      <c r="D29" s="504">
        <v>2.2405068460032141E-2</v>
      </c>
      <c r="E29" s="504">
        <v>2.359717230241799E-2</v>
      </c>
      <c r="F29" s="504">
        <v>2.2684375095189592E-2</v>
      </c>
      <c r="G29" s="505">
        <v>2.4116924625292611E-2</v>
      </c>
    </row>
    <row r="30" spans="1:7" ht="15">
      <c r="A30" s="399">
        <v>19</v>
      </c>
      <c r="B30" s="400" t="s">
        <v>11</v>
      </c>
      <c r="C30" s="506">
        <v>0.20058676582669954</v>
      </c>
      <c r="D30" s="504">
        <v>0.18734699703910487</v>
      </c>
      <c r="E30" s="504">
        <v>0.19948786315211625</v>
      </c>
      <c r="F30" s="504">
        <v>0.21262853875767876</v>
      </c>
      <c r="G30" s="505">
        <v>0.23172308209424497</v>
      </c>
    </row>
    <row r="31" spans="1:7" ht="15">
      <c r="A31" s="393"/>
      <c r="B31" s="394" t="s">
        <v>12</v>
      </c>
      <c r="C31" s="512"/>
      <c r="D31" s="512"/>
      <c r="E31" s="512"/>
      <c r="F31" s="512"/>
      <c r="G31" s="513"/>
    </row>
    <row r="32" spans="1:7" ht="15">
      <c r="A32" s="399">
        <v>20</v>
      </c>
      <c r="B32" s="400" t="s">
        <v>13</v>
      </c>
      <c r="C32" s="506">
        <v>4.5268914880447278E-2</v>
      </c>
      <c r="D32" s="504">
        <v>5.2621833045376321E-2</v>
      </c>
      <c r="E32" s="504">
        <v>5.7773456518902901E-2</v>
      </c>
      <c r="F32" s="504">
        <v>5.9586424067900788E-2</v>
      </c>
      <c r="G32" s="505">
        <v>6.9173317370169463E-2</v>
      </c>
    </row>
    <row r="33" spans="1:7" ht="15" customHeight="1">
      <c r="A33" s="399">
        <v>21</v>
      </c>
      <c r="B33" s="400" t="s">
        <v>14</v>
      </c>
      <c r="C33" s="506">
        <v>4.2669463676755059E-2</v>
      </c>
      <c r="D33" s="504">
        <v>4.5680692422519355E-2</v>
      </c>
      <c r="E33" s="504">
        <v>4.9058974879818619E-2</v>
      </c>
      <c r="F33" s="504">
        <v>5.0474461513308665E-2</v>
      </c>
      <c r="G33" s="505">
        <v>5.4881063425804739E-2</v>
      </c>
    </row>
    <row r="34" spans="1:7" ht="15">
      <c r="A34" s="399">
        <v>22</v>
      </c>
      <c r="B34" s="400" t="s">
        <v>15</v>
      </c>
      <c r="C34" s="506">
        <v>0.47630760937316696</v>
      </c>
      <c r="D34" s="504">
        <v>0.50662487402461864</v>
      </c>
      <c r="E34" s="504">
        <v>0.53697496059372707</v>
      </c>
      <c r="F34" s="504">
        <v>0.54831104305934319</v>
      </c>
      <c r="G34" s="505">
        <v>0.56253793200296776</v>
      </c>
    </row>
    <row r="35" spans="1:7" ht="15" customHeight="1">
      <c r="A35" s="399">
        <v>23</v>
      </c>
      <c r="B35" s="400" t="s">
        <v>16</v>
      </c>
      <c r="C35" s="506">
        <v>0.44540567373718637</v>
      </c>
      <c r="D35" s="504">
        <v>0.46043628209534926</v>
      </c>
      <c r="E35" s="504">
        <v>0.49414954060062338</v>
      </c>
      <c r="F35" s="504">
        <v>0.52256613429798482</v>
      </c>
      <c r="G35" s="505">
        <v>0.53907638258451596</v>
      </c>
    </row>
    <row r="36" spans="1:7" ht="15">
      <c r="A36" s="399">
        <v>24</v>
      </c>
      <c r="B36" s="400" t="s">
        <v>17</v>
      </c>
      <c r="C36" s="506">
        <v>8.563257307344857E-2</v>
      </c>
      <c r="D36" s="504">
        <v>7.4136694044292101E-2</v>
      </c>
      <c r="E36" s="504">
        <v>2.9696467801209134E-2</v>
      </c>
      <c r="F36" s="504">
        <v>4.8954349786696126E-2</v>
      </c>
      <c r="G36" s="505">
        <v>6.6499750621765831E-3</v>
      </c>
    </row>
    <row r="37" spans="1:7" ht="15" customHeight="1">
      <c r="A37" s="393"/>
      <c r="B37" s="394" t="s">
        <v>18</v>
      </c>
      <c r="C37" s="512"/>
      <c r="D37" s="512"/>
      <c r="E37" s="512"/>
      <c r="F37" s="512"/>
      <c r="G37" s="513"/>
    </row>
    <row r="38" spans="1:7" ht="15" customHeight="1">
      <c r="A38" s="399">
        <v>25</v>
      </c>
      <c r="B38" s="400" t="s">
        <v>19</v>
      </c>
      <c r="C38" s="506">
        <v>0.15861010777140144</v>
      </c>
      <c r="D38" s="504">
        <v>0.1429314741768449</v>
      </c>
      <c r="E38" s="506">
        <v>0.19558109810215574</v>
      </c>
      <c r="F38" s="506">
        <v>0.19024479559002699</v>
      </c>
      <c r="G38" s="514">
        <v>0.22084150666972671</v>
      </c>
    </row>
    <row r="39" spans="1:7" ht="15" customHeight="1">
      <c r="A39" s="399">
        <v>26</v>
      </c>
      <c r="B39" s="400" t="s">
        <v>20</v>
      </c>
      <c r="C39" s="506">
        <v>0.50981494631469781</v>
      </c>
      <c r="D39" s="504">
        <v>0.50137678110475548</v>
      </c>
      <c r="E39" s="506">
        <v>0.56675338994670166</v>
      </c>
      <c r="F39" s="506">
        <v>0.59388580922853151</v>
      </c>
      <c r="G39" s="514">
        <v>0.59417310265790146</v>
      </c>
    </row>
    <row r="40" spans="1:7" ht="15" customHeight="1">
      <c r="A40" s="399">
        <v>27</v>
      </c>
      <c r="B40" s="401" t="s">
        <v>21</v>
      </c>
      <c r="C40" s="506">
        <v>0.31956432401720475</v>
      </c>
      <c r="D40" s="504">
        <v>0.29172575249097576</v>
      </c>
      <c r="E40" s="506">
        <v>0.33051840558519974</v>
      </c>
      <c r="F40" s="506">
        <v>0.3595499817004702</v>
      </c>
      <c r="G40" s="514">
        <v>0.34842923736870068</v>
      </c>
    </row>
    <row r="41" spans="1:7" ht="15" customHeight="1">
      <c r="A41" s="402"/>
      <c r="B41" s="394" t="s">
        <v>398</v>
      </c>
      <c r="C41" s="265"/>
      <c r="D41" s="265"/>
      <c r="E41" s="265"/>
      <c r="F41" s="265"/>
      <c r="G41" s="266"/>
    </row>
    <row r="42" spans="1:7" ht="15" customHeight="1">
      <c r="A42" s="399">
        <v>28</v>
      </c>
      <c r="B42" s="440" t="s">
        <v>391</v>
      </c>
      <c r="C42" s="515">
        <v>213537839.46752173</v>
      </c>
      <c r="D42" s="515">
        <v>221675880.14915442</v>
      </c>
      <c r="E42" s="515">
        <v>251578650.96751416</v>
      </c>
      <c r="F42" s="515">
        <v>269668116.44944865</v>
      </c>
      <c r="G42" s="516">
        <v>289264032.8139711</v>
      </c>
    </row>
    <row r="43" spans="1:7" ht="15">
      <c r="A43" s="399">
        <v>29</v>
      </c>
      <c r="B43" s="400" t="s">
        <v>392</v>
      </c>
      <c r="C43" s="515">
        <v>186114917.76108098</v>
      </c>
      <c r="D43" s="515">
        <v>180484726.91332838</v>
      </c>
      <c r="E43" s="517">
        <v>212518595.29342759</v>
      </c>
      <c r="F43" s="517">
        <v>214239102.67260239</v>
      </c>
      <c r="G43" s="518">
        <v>240778295.8594408</v>
      </c>
    </row>
    <row r="44" spans="1:7" ht="15">
      <c r="A44" s="438">
        <v>30</v>
      </c>
      <c r="B44" s="439" t="s">
        <v>390</v>
      </c>
      <c r="C44" s="519">
        <v>1.1473440282828056</v>
      </c>
      <c r="D44" s="520">
        <v>1.2282251464724032</v>
      </c>
      <c r="E44" s="520">
        <v>1.1837959432216074</v>
      </c>
      <c r="F44" s="520">
        <v>1.2587250090453945</v>
      </c>
      <c r="G44" s="521">
        <v>1.2013708784733439</v>
      </c>
    </row>
    <row r="45" spans="1:7" ht="15">
      <c r="A45" s="438"/>
      <c r="B45" s="394" t="s">
        <v>497</v>
      </c>
      <c r="C45" s="265"/>
      <c r="D45" s="265"/>
      <c r="E45" s="265"/>
      <c r="F45" s="265"/>
      <c r="G45" s="266"/>
    </row>
    <row r="46" spans="1:7" ht="15">
      <c r="A46" s="438">
        <v>31</v>
      </c>
      <c r="B46" s="439" t="s">
        <v>504</v>
      </c>
      <c r="C46" s="523">
        <v>932833843.43629766</v>
      </c>
      <c r="D46" s="523">
        <v>893485637.47899914</v>
      </c>
      <c r="E46" s="523">
        <v>931298886.4194144</v>
      </c>
      <c r="F46" s="523">
        <v>880992061.38761473</v>
      </c>
      <c r="G46" s="524">
        <v>859381553.06921077</v>
      </c>
    </row>
    <row r="47" spans="1:7" ht="15">
      <c r="A47" s="438">
        <v>32</v>
      </c>
      <c r="B47" s="439" t="s">
        <v>517</v>
      </c>
      <c r="C47" s="523">
        <v>749486037.55255091</v>
      </c>
      <c r="D47" s="523">
        <v>736323611.69107234</v>
      </c>
      <c r="E47" s="523">
        <v>716933227.6126318</v>
      </c>
      <c r="F47" s="523">
        <v>692488034.19852245</v>
      </c>
      <c r="G47" s="524">
        <v>668514503.70425463</v>
      </c>
    </row>
    <row r="48" spans="1:7" thickBot="1">
      <c r="A48" s="111">
        <v>33</v>
      </c>
      <c r="B48" s="213" t="s">
        <v>531</v>
      </c>
      <c r="C48" s="525">
        <v>1.2446313829707483</v>
      </c>
      <c r="D48" s="525">
        <v>1.2134415130692084</v>
      </c>
      <c r="E48" s="525">
        <v>1.2990036596861529</v>
      </c>
      <c r="F48" s="525">
        <v>1.2722126851004214</v>
      </c>
      <c r="G48" s="522">
        <v>1.2855092123018383</v>
      </c>
    </row>
    <row r="49" spans="1:2">
      <c r="A49" s="16"/>
    </row>
    <row r="50" spans="1:2" ht="39.75">
      <c r="B50" s="18" t="s">
        <v>476</v>
      </c>
    </row>
    <row r="51" spans="1:2" ht="65.25">
      <c r="B51" s="308" t="s">
        <v>397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5" zoomScaleNormal="85" workbookViewId="0">
      <selection activeCell="B2" sqref="B2"/>
    </sheetView>
  </sheetViews>
  <sheetFormatPr defaultColWidth="9.140625" defaultRowHeight="12.75"/>
  <cols>
    <col min="1" max="1" width="11.85546875" style="443" bestFit="1" customWidth="1"/>
    <col min="2" max="2" width="105.140625" style="443" bestFit="1" customWidth="1"/>
    <col min="3" max="6" width="18.140625" style="443" bestFit="1" customWidth="1"/>
    <col min="7" max="7" width="25.5703125" style="443" customWidth="1"/>
    <col min="8" max="8" width="16.5703125" style="443" customWidth="1"/>
    <col min="9" max="16384" width="9.140625" style="443"/>
  </cols>
  <sheetData>
    <row r="1" spans="1:8">
      <c r="A1" s="442" t="s">
        <v>188</v>
      </c>
      <c r="B1" s="443" t="str">
        <f>'16. NSFR'!B1</f>
        <v>ს.ს. "ტერაბანკი"</v>
      </c>
    </row>
    <row r="2" spans="1:8">
      <c r="A2" s="442" t="s">
        <v>189</v>
      </c>
    </row>
    <row r="3" spans="1:8">
      <c r="A3" s="444" t="s">
        <v>533</v>
      </c>
      <c r="B3" s="445">
        <f>'1. key ratios'!B2</f>
        <v>44834</v>
      </c>
    </row>
    <row r="5" spans="1:8">
      <c r="A5" s="673" t="s">
        <v>534</v>
      </c>
      <c r="B5" s="674"/>
      <c r="C5" s="679" t="s">
        <v>535</v>
      </c>
      <c r="D5" s="680"/>
      <c r="E5" s="680"/>
      <c r="F5" s="680"/>
      <c r="G5" s="680"/>
      <c r="H5" s="681"/>
    </row>
    <row r="6" spans="1:8">
      <c r="A6" s="675"/>
      <c r="B6" s="676"/>
      <c r="C6" s="682"/>
      <c r="D6" s="683"/>
      <c r="E6" s="683"/>
      <c r="F6" s="683"/>
      <c r="G6" s="683"/>
      <c r="H6" s="684"/>
    </row>
    <row r="7" spans="1:8" ht="25.5">
      <c r="A7" s="677"/>
      <c r="B7" s="678"/>
      <c r="C7" s="446" t="s">
        <v>536</v>
      </c>
      <c r="D7" s="446" t="s">
        <v>537</v>
      </c>
      <c r="E7" s="446" t="s">
        <v>538</v>
      </c>
      <c r="F7" s="446" t="s">
        <v>539</v>
      </c>
      <c r="G7" s="446" t="s">
        <v>711</v>
      </c>
      <c r="H7" s="446" t="s">
        <v>68</v>
      </c>
    </row>
    <row r="8" spans="1:8">
      <c r="A8" s="447">
        <v>1</v>
      </c>
      <c r="B8" s="448" t="s">
        <v>216</v>
      </c>
      <c r="C8" s="590">
        <v>116160978.19999999</v>
      </c>
      <c r="D8" s="590">
        <v>77325562.960000008</v>
      </c>
      <c r="E8" s="590">
        <v>72866728.469999999</v>
      </c>
      <c r="F8" s="590">
        <v>10790000</v>
      </c>
      <c r="G8" s="590">
        <v>0</v>
      </c>
      <c r="H8" s="590">
        <f>SUM(C8:G8)</f>
        <v>277143269.63</v>
      </c>
    </row>
    <row r="9" spans="1:8">
      <c r="A9" s="447">
        <v>2</v>
      </c>
      <c r="B9" s="448" t="s">
        <v>217</v>
      </c>
      <c r="C9" s="590">
        <v>0</v>
      </c>
      <c r="D9" s="590">
        <v>0</v>
      </c>
      <c r="E9" s="590">
        <v>0</v>
      </c>
      <c r="F9" s="590">
        <v>0</v>
      </c>
      <c r="G9" s="590">
        <v>0</v>
      </c>
      <c r="H9" s="590">
        <f t="shared" ref="H9:H21" si="0">SUM(C9:G9)</f>
        <v>0</v>
      </c>
    </row>
    <row r="10" spans="1:8">
      <c r="A10" s="447">
        <v>3</v>
      </c>
      <c r="B10" s="448" t="s">
        <v>218</v>
      </c>
      <c r="C10" s="590">
        <v>0</v>
      </c>
      <c r="D10" s="590">
        <v>0</v>
      </c>
      <c r="E10" s="590">
        <v>0</v>
      </c>
      <c r="F10" s="590">
        <v>0</v>
      </c>
      <c r="G10" s="590">
        <v>0</v>
      </c>
      <c r="H10" s="590">
        <f t="shared" si="0"/>
        <v>0</v>
      </c>
    </row>
    <row r="11" spans="1:8">
      <c r="A11" s="447">
        <v>4</v>
      </c>
      <c r="B11" s="448" t="s">
        <v>219</v>
      </c>
      <c r="C11" s="590">
        <v>0</v>
      </c>
      <c r="D11" s="590">
        <v>0</v>
      </c>
      <c r="E11" s="590">
        <v>0</v>
      </c>
      <c r="F11" s="590">
        <v>0</v>
      </c>
      <c r="G11" s="590">
        <v>0</v>
      </c>
      <c r="H11" s="590">
        <f t="shared" si="0"/>
        <v>0</v>
      </c>
    </row>
    <row r="12" spans="1:8">
      <c r="A12" s="447">
        <v>5</v>
      </c>
      <c r="B12" s="448" t="s">
        <v>220</v>
      </c>
      <c r="C12" s="590">
        <v>0</v>
      </c>
      <c r="D12" s="590">
        <v>0</v>
      </c>
      <c r="E12" s="590">
        <v>0</v>
      </c>
      <c r="F12" s="590">
        <v>0</v>
      </c>
      <c r="G12" s="590">
        <v>0</v>
      </c>
      <c r="H12" s="590">
        <f t="shared" si="0"/>
        <v>0</v>
      </c>
    </row>
    <row r="13" spans="1:8">
      <c r="A13" s="447">
        <v>6</v>
      </c>
      <c r="B13" s="448" t="s">
        <v>221</v>
      </c>
      <c r="C13" s="590">
        <v>42838291.790000007</v>
      </c>
      <c r="D13" s="590">
        <v>0</v>
      </c>
      <c r="E13" s="590">
        <v>0</v>
      </c>
      <c r="F13" s="590">
        <v>1780148.67</v>
      </c>
      <c r="G13" s="590">
        <v>0</v>
      </c>
      <c r="H13" s="590">
        <f t="shared" si="0"/>
        <v>44618440.460000008</v>
      </c>
    </row>
    <row r="14" spans="1:8">
      <c r="A14" s="447">
        <v>7</v>
      </c>
      <c r="B14" s="448" t="s">
        <v>73</v>
      </c>
      <c r="C14" s="590">
        <v>0</v>
      </c>
      <c r="D14" s="590">
        <v>140730129.71959513</v>
      </c>
      <c r="E14" s="590">
        <v>201762195.02041027</v>
      </c>
      <c r="F14" s="590">
        <v>323538699.26006889</v>
      </c>
      <c r="G14" s="590">
        <v>1078324.5893778191</v>
      </c>
      <c r="H14" s="590">
        <f t="shared" si="0"/>
        <v>667109348.58945203</v>
      </c>
    </row>
    <row r="15" spans="1:8">
      <c r="A15" s="447">
        <v>8</v>
      </c>
      <c r="B15" s="450" t="s">
        <v>74</v>
      </c>
      <c r="C15" s="590">
        <v>0</v>
      </c>
      <c r="D15" s="590">
        <v>13123485.104951626</v>
      </c>
      <c r="E15" s="590">
        <v>104181915.69736989</v>
      </c>
      <c r="F15" s="590">
        <v>113877565.66838796</v>
      </c>
      <c r="G15" s="590">
        <v>471350.89751752233</v>
      </c>
      <c r="H15" s="590">
        <f t="shared" si="0"/>
        <v>231654317.36822701</v>
      </c>
    </row>
    <row r="16" spans="1:8">
      <c r="A16" s="447">
        <v>9</v>
      </c>
      <c r="B16" s="448" t="s">
        <v>75</v>
      </c>
      <c r="C16" s="590">
        <v>0</v>
      </c>
      <c r="D16" s="590">
        <v>5535422.8830143157</v>
      </c>
      <c r="E16" s="590">
        <v>30960450.665051982</v>
      </c>
      <c r="F16" s="590">
        <v>71412869.504622325</v>
      </c>
      <c r="G16" s="590">
        <v>300282.74835363968</v>
      </c>
      <c r="H16" s="590">
        <f t="shared" si="0"/>
        <v>108209025.80104227</v>
      </c>
    </row>
    <row r="17" spans="1:8">
      <c r="A17" s="447">
        <v>10</v>
      </c>
      <c r="B17" s="500" t="s">
        <v>561</v>
      </c>
      <c r="C17" s="590">
        <v>0</v>
      </c>
      <c r="D17" s="590">
        <v>1184836.2109514405</v>
      </c>
      <c r="E17" s="590">
        <v>2669194.5654997029</v>
      </c>
      <c r="F17" s="590">
        <v>6245332.7875850163</v>
      </c>
      <c r="G17" s="590">
        <v>654519.29183903267</v>
      </c>
      <c r="H17" s="590">
        <f t="shared" si="0"/>
        <v>10753882.855875194</v>
      </c>
    </row>
    <row r="18" spans="1:8">
      <c r="A18" s="447">
        <v>11</v>
      </c>
      <c r="B18" s="448" t="s">
        <v>70</v>
      </c>
      <c r="C18" s="590">
        <v>0</v>
      </c>
      <c r="D18" s="590">
        <v>907564.92417351471</v>
      </c>
      <c r="E18" s="590">
        <v>10545189.917550756</v>
      </c>
      <c r="F18" s="590">
        <v>25994955.220504683</v>
      </c>
      <c r="G18" s="590">
        <v>110234.84104896641</v>
      </c>
      <c r="H18" s="590">
        <f t="shared" si="0"/>
        <v>37557944.903277919</v>
      </c>
    </row>
    <row r="19" spans="1:8">
      <c r="A19" s="447">
        <v>12</v>
      </c>
      <c r="B19" s="448" t="s">
        <v>71</v>
      </c>
      <c r="C19" s="590">
        <v>0</v>
      </c>
      <c r="D19" s="590">
        <v>0</v>
      </c>
      <c r="E19" s="590">
        <v>0</v>
      </c>
      <c r="F19" s="590">
        <v>0</v>
      </c>
      <c r="G19" s="590">
        <v>0</v>
      </c>
      <c r="H19" s="590">
        <f t="shared" si="0"/>
        <v>0</v>
      </c>
    </row>
    <row r="20" spans="1:8">
      <c r="A20" s="451">
        <v>13</v>
      </c>
      <c r="B20" s="450" t="s">
        <v>72</v>
      </c>
      <c r="C20" s="590">
        <v>0</v>
      </c>
      <c r="D20" s="590">
        <v>0</v>
      </c>
      <c r="E20" s="590">
        <v>0</v>
      </c>
      <c r="F20" s="590">
        <v>0</v>
      </c>
      <c r="G20" s="590">
        <v>0</v>
      </c>
      <c r="H20" s="590">
        <f t="shared" si="0"/>
        <v>0</v>
      </c>
    </row>
    <row r="21" spans="1:8">
      <c r="A21" s="447">
        <v>14</v>
      </c>
      <c r="B21" s="448" t="s">
        <v>540</v>
      </c>
      <c r="C21" s="590">
        <v>37604413.549832597</v>
      </c>
      <c r="D21" s="590">
        <v>0</v>
      </c>
      <c r="E21" s="590">
        <v>0</v>
      </c>
      <c r="F21" s="590">
        <v>10223053.898799999</v>
      </c>
      <c r="G21" s="590">
        <v>28674682.890000042</v>
      </c>
      <c r="H21" s="590">
        <f t="shared" si="0"/>
        <v>76502150.338632643</v>
      </c>
    </row>
    <row r="22" spans="1:8">
      <c r="A22" s="452">
        <v>15</v>
      </c>
      <c r="B22" s="449" t="s">
        <v>68</v>
      </c>
      <c r="C22" s="590">
        <f>SUM(C18:C21)+SUM(C8:C16)</f>
        <v>196603683.53983259</v>
      </c>
      <c r="D22" s="590">
        <f t="shared" ref="D22:G22" si="1">SUM(D18:D21)+SUM(D8:D16)</f>
        <v>237622165.59173459</v>
      </c>
      <c r="E22" s="590">
        <f t="shared" si="1"/>
        <v>420316479.77038288</v>
      </c>
      <c r="F22" s="590">
        <f t="shared" si="1"/>
        <v>557617292.22238386</v>
      </c>
      <c r="G22" s="590">
        <f t="shared" si="1"/>
        <v>30634875.966297992</v>
      </c>
      <c r="H22" s="590">
        <f>SUM(H18:H21)+SUM(H8:H16)</f>
        <v>1442794497.0906317</v>
      </c>
    </row>
    <row r="26" spans="1:8" ht="38.25">
      <c r="B26" s="499" t="s">
        <v>710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B1" sqref="B1"/>
    </sheetView>
  </sheetViews>
  <sheetFormatPr defaultColWidth="9.140625" defaultRowHeight="12.75"/>
  <cols>
    <col min="1" max="1" width="11.85546875" style="453" bestFit="1" customWidth="1"/>
    <col min="2" max="2" width="114.7109375" style="443" customWidth="1"/>
    <col min="3" max="3" width="22.42578125" style="443" customWidth="1"/>
    <col min="4" max="4" width="23.5703125" style="443" customWidth="1"/>
    <col min="5" max="8" width="22.140625" style="443" customWidth="1"/>
    <col min="9" max="9" width="41.42578125" style="443" customWidth="1"/>
    <col min="10" max="16384" width="9.140625" style="443"/>
  </cols>
  <sheetData>
    <row r="1" spans="1:9">
      <c r="A1" s="442" t="s">
        <v>188</v>
      </c>
      <c r="B1" s="624" t="str">
        <f>'1. key ratios'!B1</f>
        <v>ს.ს. "ტერაბანკი"</v>
      </c>
    </row>
    <row r="2" spans="1:9">
      <c r="A2" s="442" t="s">
        <v>189</v>
      </c>
    </row>
    <row r="3" spans="1:9">
      <c r="A3" s="444" t="s">
        <v>541</v>
      </c>
      <c r="B3" s="445">
        <f>'1. key ratios'!B2</f>
        <v>44834</v>
      </c>
    </row>
    <row r="4" spans="1:9">
      <c r="C4" s="454" t="s">
        <v>542</v>
      </c>
      <c r="D4" s="454" t="s">
        <v>543</v>
      </c>
      <c r="E4" s="454" t="s">
        <v>544</v>
      </c>
      <c r="F4" s="454" t="s">
        <v>545</v>
      </c>
      <c r="G4" s="454" t="s">
        <v>546</v>
      </c>
      <c r="H4" s="454" t="s">
        <v>547</v>
      </c>
      <c r="I4" s="454" t="s">
        <v>548</v>
      </c>
    </row>
    <row r="5" spans="1:9" ht="33.950000000000003" customHeight="1">
      <c r="A5" s="673" t="s">
        <v>551</v>
      </c>
      <c r="B5" s="674"/>
      <c r="C5" s="687" t="s">
        <v>552</v>
      </c>
      <c r="D5" s="687"/>
      <c r="E5" s="687" t="s">
        <v>553</v>
      </c>
      <c r="F5" s="687" t="s">
        <v>554</v>
      </c>
      <c r="G5" s="685" t="s">
        <v>555</v>
      </c>
      <c r="H5" s="685" t="s">
        <v>556</v>
      </c>
      <c r="I5" s="455" t="s">
        <v>557</v>
      </c>
    </row>
    <row r="6" spans="1:9" ht="38.25">
      <c r="A6" s="677"/>
      <c r="B6" s="678"/>
      <c r="C6" s="493" t="s">
        <v>558</v>
      </c>
      <c r="D6" s="493" t="s">
        <v>559</v>
      </c>
      <c r="E6" s="687"/>
      <c r="F6" s="687"/>
      <c r="G6" s="686"/>
      <c r="H6" s="686"/>
      <c r="I6" s="455" t="s">
        <v>560</v>
      </c>
    </row>
    <row r="7" spans="1:9">
      <c r="A7" s="456">
        <v>1</v>
      </c>
      <c r="B7" s="448" t="s">
        <v>216</v>
      </c>
      <c r="C7" s="591">
        <v>0</v>
      </c>
      <c r="D7" s="591">
        <v>277143269.57000005</v>
      </c>
      <c r="E7" s="592">
        <v>0</v>
      </c>
      <c r="F7" s="592">
        <v>0</v>
      </c>
      <c r="G7" s="592">
        <v>0</v>
      </c>
      <c r="H7" s="591">
        <v>0</v>
      </c>
      <c r="I7" s="593">
        <f t="shared" ref="I7:I23" si="0">C7+D7-E7-F7-G7</f>
        <v>277143269.57000005</v>
      </c>
    </row>
    <row r="8" spans="1:9">
      <c r="A8" s="456">
        <v>2</v>
      </c>
      <c r="B8" s="448" t="s">
        <v>217</v>
      </c>
      <c r="C8" s="591">
        <v>0</v>
      </c>
      <c r="D8" s="591">
        <v>0</v>
      </c>
      <c r="E8" s="592">
        <v>0</v>
      </c>
      <c r="F8" s="592">
        <v>0</v>
      </c>
      <c r="G8" s="592">
        <v>0</v>
      </c>
      <c r="H8" s="591">
        <v>0</v>
      </c>
      <c r="I8" s="593">
        <f t="shared" si="0"/>
        <v>0</v>
      </c>
    </row>
    <row r="9" spans="1:9">
      <c r="A9" s="456">
        <v>3</v>
      </c>
      <c r="B9" s="448" t="s">
        <v>218</v>
      </c>
      <c r="C9" s="591">
        <v>0</v>
      </c>
      <c r="D9" s="591">
        <v>0</v>
      </c>
      <c r="E9" s="592">
        <v>0</v>
      </c>
      <c r="F9" s="592">
        <v>0</v>
      </c>
      <c r="G9" s="592">
        <v>0</v>
      </c>
      <c r="H9" s="591">
        <v>0</v>
      </c>
      <c r="I9" s="593">
        <f t="shared" si="0"/>
        <v>0</v>
      </c>
    </row>
    <row r="10" spans="1:9">
      <c r="A10" s="456">
        <v>4</v>
      </c>
      <c r="B10" s="448" t="s">
        <v>219</v>
      </c>
      <c r="C10" s="591">
        <v>0</v>
      </c>
      <c r="D10" s="591">
        <v>0</v>
      </c>
      <c r="E10" s="592">
        <v>0</v>
      </c>
      <c r="F10" s="592">
        <v>0</v>
      </c>
      <c r="G10" s="592">
        <v>0</v>
      </c>
      <c r="H10" s="591">
        <v>0</v>
      </c>
      <c r="I10" s="593">
        <f t="shared" si="0"/>
        <v>0</v>
      </c>
    </row>
    <row r="11" spans="1:9">
      <c r="A11" s="456">
        <v>5</v>
      </c>
      <c r="B11" s="448" t="s">
        <v>220</v>
      </c>
      <c r="C11" s="591">
        <v>0</v>
      </c>
      <c r="D11" s="591">
        <v>0</v>
      </c>
      <c r="E11" s="592">
        <v>0</v>
      </c>
      <c r="F11" s="592">
        <v>0</v>
      </c>
      <c r="G11" s="592">
        <v>0</v>
      </c>
      <c r="H11" s="591">
        <v>0</v>
      </c>
      <c r="I11" s="593">
        <f t="shared" si="0"/>
        <v>0</v>
      </c>
    </row>
    <row r="12" spans="1:9">
      <c r="A12" s="456">
        <v>6</v>
      </c>
      <c r="B12" s="448" t="s">
        <v>221</v>
      </c>
      <c r="C12" s="591">
        <v>61590.119999999995</v>
      </c>
      <c r="D12" s="591">
        <v>44618440.460000008</v>
      </c>
      <c r="E12" s="592">
        <v>61590.119999999995</v>
      </c>
      <c r="F12" s="592">
        <v>0</v>
      </c>
      <c r="G12" s="592">
        <v>0</v>
      </c>
      <c r="H12" s="591">
        <v>0</v>
      </c>
      <c r="I12" s="593">
        <f t="shared" si="0"/>
        <v>44618440.460000008</v>
      </c>
    </row>
    <row r="13" spans="1:9">
      <c r="A13" s="456">
        <v>7</v>
      </c>
      <c r="B13" s="448" t="s">
        <v>73</v>
      </c>
      <c r="C13" s="591">
        <v>7151469.8581078583</v>
      </c>
      <c r="D13" s="591">
        <v>666909990.51494467</v>
      </c>
      <c r="E13" s="592">
        <v>6580850.5502443491</v>
      </c>
      <c r="F13" s="592">
        <v>12230196.437329818</v>
      </c>
      <c r="G13" s="592">
        <v>371261.23335991381</v>
      </c>
      <c r="H13" s="591">
        <v>0</v>
      </c>
      <c r="I13" s="593">
        <f t="shared" si="0"/>
        <v>654879152.15211844</v>
      </c>
    </row>
    <row r="14" spans="1:9">
      <c r="A14" s="456">
        <v>8</v>
      </c>
      <c r="B14" s="450" t="s">
        <v>74</v>
      </c>
      <c r="C14" s="591">
        <v>29468165.746621151</v>
      </c>
      <c r="D14" s="591">
        <v>216551858.30960059</v>
      </c>
      <c r="E14" s="592">
        <v>13974526.963581515</v>
      </c>
      <c r="F14" s="592">
        <v>3707117.700799745</v>
      </c>
      <c r="G14" s="592">
        <v>391179.72441344883</v>
      </c>
      <c r="H14" s="591">
        <v>1615868.9300000006</v>
      </c>
      <c r="I14" s="593">
        <f t="shared" si="0"/>
        <v>227947199.66742706</v>
      </c>
    </row>
    <row r="15" spans="1:9">
      <c r="A15" s="456">
        <v>9</v>
      </c>
      <c r="B15" s="448" t="s">
        <v>75</v>
      </c>
      <c r="C15" s="591">
        <v>10843217.565271024</v>
      </c>
      <c r="D15" s="591">
        <v>102209525.06146699</v>
      </c>
      <c r="E15" s="592">
        <v>4544833.887174136</v>
      </c>
      <c r="F15" s="592">
        <v>1852541.4498250955</v>
      </c>
      <c r="G15" s="592">
        <v>298882.93852155737</v>
      </c>
      <c r="H15" s="591">
        <v>0</v>
      </c>
      <c r="I15" s="593">
        <f t="shared" si="0"/>
        <v>106356484.35121723</v>
      </c>
    </row>
    <row r="16" spans="1:9">
      <c r="A16" s="456">
        <v>10</v>
      </c>
      <c r="B16" s="500" t="s">
        <v>561</v>
      </c>
      <c r="C16" s="591">
        <v>17813113.340000018</v>
      </c>
      <c r="D16" s="591">
        <v>882716.52999999968</v>
      </c>
      <c r="E16" s="592">
        <v>7921344.7619999982</v>
      </c>
      <c r="F16" s="592">
        <v>0</v>
      </c>
      <c r="G16" s="592">
        <v>20602.252124806957</v>
      </c>
      <c r="H16" s="591">
        <v>497228.65399999998</v>
      </c>
      <c r="I16" s="593">
        <f t="shared" si="0"/>
        <v>10753882.855875215</v>
      </c>
    </row>
    <row r="17" spans="1:9">
      <c r="A17" s="456">
        <v>11</v>
      </c>
      <c r="B17" s="448" t="s">
        <v>70</v>
      </c>
      <c r="C17" s="591">
        <v>342770.07</v>
      </c>
      <c r="D17" s="591">
        <v>37703526.443982944</v>
      </c>
      <c r="E17" s="592">
        <v>250573.5069999999</v>
      </c>
      <c r="F17" s="592">
        <v>720763.56404536869</v>
      </c>
      <c r="G17" s="592">
        <v>237778.10370508319</v>
      </c>
      <c r="H17" s="591">
        <v>0</v>
      </c>
      <c r="I17" s="593">
        <f t="shared" si="0"/>
        <v>36837181.339232489</v>
      </c>
    </row>
    <row r="18" spans="1:9">
      <c r="A18" s="456">
        <v>12</v>
      </c>
      <c r="B18" s="448" t="s">
        <v>71</v>
      </c>
      <c r="C18" s="591">
        <v>0</v>
      </c>
      <c r="D18" s="591">
        <v>0</v>
      </c>
      <c r="E18" s="592">
        <v>0</v>
      </c>
      <c r="F18" s="592">
        <v>0</v>
      </c>
      <c r="G18" s="592">
        <v>0</v>
      </c>
      <c r="H18" s="591">
        <v>0</v>
      </c>
      <c r="I18" s="593">
        <f t="shared" si="0"/>
        <v>0</v>
      </c>
    </row>
    <row r="19" spans="1:9">
      <c r="A19" s="458">
        <v>13</v>
      </c>
      <c r="B19" s="450" t="s">
        <v>72</v>
      </c>
      <c r="C19" s="591">
        <v>0</v>
      </c>
      <c r="D19" s="591">
        <v>0</v>
      </c>
      <c r="E19" s="592">
        <v>0</v>
      </c>
      <c r="F19" s="592">
        <v>0</v>
      </c>
      <c r="G19" s="592">
        <v>0</v>
      </c>
      <c r="H19" s="591">
        <v>0</v>
      </c>
      <c r="I19" s="593">
        <f t="shared" si="0"/>
        <v>0</v>
      </c>
    </row>
    <row r="20" spans="1:9">
      <c r="A20" s="456">
        <v>14</v>
      </c>
      <c r="B20" s="448" t="s">
        <v>540</v>
      </c>
      <c r="C20" s="591">
        <v>29618617.649999999</v>
      </c>
      <c r="D20" s="591">
        <v>94269393.347000018</v>
      </c>
      <c r="E20" s="592">
        <v>23725704.987</v>
      </c>
      <c r="F20" s="592">
        <v>0</v>
      </c>
      <c r="G20" s="592">
        <v>0</v>
      </c>
      <c r="H20" s="591">
        <v>0</v>
      </c>
      <c r="I20" s="593">
        <f t="shared" si="0"/>
        <v>100162306.01000001</v>
      </c>
    </row>
    <row r="21" spans="1:9" s="460" customFormat="1">
      <c r="A21" s="459">
        <v>15</v>
      </c>
      <c r="B21" s="449" t="s">
        <v>68</v>
      </c>
      <c r="C21" s="590">
        <f>SUM(C7:C15)+SUM(C17:C20)</f>
        <v>77485831.010000035</v>
      </c>
      <c r="D21" s="590">
        <f t="shared" ref="D21:H21" si="1">SUM(D7:D15)+SUM(D17:D20)</f>
        <v>1439406003.7069952</v>
      </c>
      <c r="E21" s="590">
        <f t="shared" si="1"/>
        <v>49138080.015000001</v>
      </c>
      <c r="F21" s="590">
        <f t="shared" si="1"/>
        <v>18510619.152000029</v>
      </c>
      <c r="G21" s="590">
        <v>1299102.0000000033</v>
      </c>
      <c r="H21" s="590">
        <f t="shared" si="1"/>
        <v>1615868.9300000006</v>
      </c>
      <c r="I21" s="593">
        <f t="shared" si="0"/>
        <v>1447944033.5499952</v>
      </c>
    </row>
    <row r="22" spans="1:9">
      <c r="A22" s="461">
        <v>16</v>
      </c>
      <c r="B22" s="462" t="s">
        <v>562</v>
      </c>
      <c r="C22" s="591">
        <v>47805623.240000032</v>
      </c>
      <c r="D22" s="591">
        <v>1018353144.3199953</v>
      </c>
      <c r="E22" s="592">
        <v>25350784.908</v>
      </c>
      <c r="F22" s="592">
        <v>18410619.152000029</v>
      </c>
      <c r="G22" s="592">
        <v>1299102.0000000033</v>
      </c>
      <c r="H22" s="591">
        <v>1615868.9300000006</v>
      </c>
      <c r="I22" s="593">
        <f t="shared" si="0"/>
        <v>1021098261.4999952</v>
      </c>
    </row>
    <row r="23" spans="1:9">
      <c r="A23" s="461">
        <v>17</v>
      </c>
      <c r="B23" s="462" t="s">
        <v>563</v>
      </c>
      <c r="C23" s="591">
        <v>0</v>
      </c>
      <c r="D23" s="591">
        <v>162382466.88</v>
      </c>
      <c r="E23" s="592">
        <v>0</v>
      </c>
      <c r="F23" s="592">
        <v>0</v>
      </c>
      <c r="G23" s="592">
        <v>0</v>
      </c>
      <c r="H23" s="591">
        <v>0</v>
      </c>
      <c r="I23" s="593">
        <f t="shared" si="0"/>
        <v>162382466.88</v>
      </c>
    </row>
    <row r="26" spans="1:9" ht="42.6" customHeight="1">
      <c r="B26" s="499" t="s">
        <v>710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90" zoomScaleNormal="90" workbookViewId="0">
      <selection activeCell="B1" sqref="B1"/>
    </sheetView>
  </sheetViews>
  <sheetFormatPr defaultColWidth="9.140625" defaultRowHeight="12.75"/>
  <cols>
    <col min="1" max="1" width="11" style="443" bestFit="1" customWidth="1"/>
    <col min="2" max="2" width="93.42578125" style="443" customWidth="1"/>
    <col min="3" max="8" width="22" style="443" customWidth="1"/>
    <col min="9" max="9" width="42.28515625" style="443" bestFit="1" customWidth="1"/>
    <col min="10" max="16384" width="9.140625" style="443"/>
  </cols>
  <sheetData>
    <row r="1" spans="1:9">
      <c r="A1" s="442" t="s">
        <v>188</v>
      </c>
      <c r="B1" s="624" t="str">
        <f>'1. key ratios'!B1</f>
        <v>ს.ს. "ტერაბანკი"</v>
      </c>
    </row>
    <row r="2" spans="1:9">
      <c r="A2" s="442" t="s">
        <v>189</v>
      </c>
    </row>
    <row r="3" spans="1:9">
      <c r="A3" s="444" t="s">
        <v>564</v>
      </c>
      <c r="B3" s="445">
        <f>'1. key ratios'!B2</f>
        <v>44834</v>
      </c>
    </row>
    <row r="4" spans="1:9">
      <c r="C4" s="454" t="s">
        <v>542</v>
      </c>
      <c r="D4" s="454" t="s">
        <v>543</v>
      </c>
      <c r="E4" s="454" t="s">
        <v>544</v>
      </c>
      <c r="F4" s="454" t="s">
        <v>545</v>
      </c>
      <c r="G4" s="454" t="s">
        <v>546</v>
      </c>
      <c r="H4" s="454" t="s">
        <v>547</v>
      </c>
      <c r="I4" s="454" t="s">
        <v>548</v>
      </c>
    </row>
    <row r="5" spans="1:9" ht="41.45" customHeight="1">
      <c r="A5" s="673" t="s">
        <v>714</v>
      </c>
      <c r="B5" s="674"/>
      <c r="C5" s="687" t="s">
        <v>552</v>
      </c>
      <c r="D5" s="687"/>
      <c r="E5" s="687" t="s">
        <v>553</v>
      </c>
      <c r="F5" s="687" t="s">
        <v>554</v>
      </c>
      <c r="G5" s="685" t="s">
        <v>555</v>
      </c>
      <c r="H5" s="685" t="s">
        <v>556</v>
      </c>
      <c r="I5" s="455" t="s">
        <v>557</v>
      </c>
    </row>
    <row r="6" spans="1:9" ht="41.45" customHeight="1">
      <c r="A6" s="677"/>
      <c r="B6" s="678"/>
      <c r="C6" s="493" t="s">
        <v>558</v>
      </c>
      <c r="D6" s="493" t="s">
        <v>559</v>
      </c>
      <c r="E6" s="687"/>
      <c r="F6" s="687"/>
      <c r="G6" s="686"/>
      <c r="H6" s="686"/>
      <c r="I6" s="455" t="s">
        <v>560</v>
      </c>
    </row>
    <row r="7" spans="1:9">
      <c r="A7" s="457">
        <v>1</v>
      </c>
      <c r="B7" s="463" t="s">
        <v>565</v>
      </c>
      <c r="C7" s="591">
        <v>2360433.6259999997</v>
      </c>
      <c r="D7" s="591">
        <v>344180479.4382</v>
      </c>
      <c r="E7" s="591">
        <v>1306587.2170000002</v>
      </c>
      <c r="F7" s="591">
        <v>1266777.7274999998</v>
      </c>
      <c r="G7" s="591">
        <v>423682.85882557358</v>
      </c>
      <c r="H7" s="591">
        <v>178257.26680000001</v>
      </c>
      <c r="I7" s="593">
        <f t="shared" ref="I7:I34" si="0">C7+D7-E7-F7-G7</f>
        <v>343543865.26087439</v>
      </c>
    </row>
    <row r="8" spans="1:9">
      <c r="A8" s="457">
        <v>2</v>
      </c>
      <c r="B8" s="463" t="s">
        <v>566</v>
      </c>
      <c r="C8" s="591">
        <v>444982.78760000004</v>
      </c>
      <c r="D8" s="591">
        <v>81460389.506600037</v>
      </c>
      <c r="E8" s="591">
        <v>320164.94480000006</v>
      </c>
      <c r="F8" s="591">
        <v>716971.23499999999</v>
      </c>
      <c r="G8" s="591">
        <v>93929.092548491331</v>
      </c>
      <c r="H8" s="591">
        <v>0</v>
      </c>
      <c r="I8" s="593">
        <f t="shared" si="0"/>
        <v>80774307.02185154</v>
      </c>
    </row>
    <row r="9" spans="1:9">
      <c r="A9" s="457">
        <v>3</v>
      </c>
      <c r="B9" s="463" t="s">
        <v>567</v>
      </c>
      <c r="C9" s="591">
        <v>0</v>
      </c>
      <c r="D9" s="591">
        <v>29127228.978900012</v>
      </c>
      <c r="E9" s="591">
        <v>3692.6779000000001</v>
      </c>
      <c r="F9" s="591">
        <v>581350.22789999994</v>
      </c>
      <c r="G9" s="591">
        <v>119.67842866123716</v>
      </c>
      <c r="H9" s="591">
        <v>0</v>
      </c>
      <c r="I9" s="593">
        <f t="shared" si="0"/>
        <v>28542066.394671351</v>
      </c>
    </row>
    <row r="10" spans="1:9">
      <c r="A10" s="457">
        <v>4</v>
      </c>
      <c r="B10" s="463" t="s">
        <v>568</v>
      </c>
      <c r="C10" s="591">
        <v>1975249.3854</v>
      </c>
      <c r="D10" s="591">
        <v>87406116.136400089</v>
      </c>
      <c r="E10" s="591">
        <v>945274.82270000014</v>
      </c>
      <c r="F10" s="591">
        <v>1669737.8355999994</v>
      </c>
      <c r="G10" s="591">
        <v>35388.73579206162</v>
      </c>
      <c r="H10" s="591">
        <v>2.6</v>
      </c>
      <c r="I10" s="593">
        <f t="shared" si="0"/>
        <v>86730964.127708033</v>
      </c>
    </row>
    <row r="11" spans="1:9">
      <c r="A11" s="457">
        <v>5</v>
      </c>
      <c r="B11" s="463" t="s">
        <v>569</v>
      </c>
      <c r="C11" s="591">
        <v>4082906.3921999997</v>
      </c>
      <c r="D11" s="591">
        <v>77513165.594500005</v>
      </c>
      <c r="E11" s="591">
        <v>2510548.0663999994</v>
      </c>
      <c r="F11" s="591">
        <v>1347934.0644000005</v>
      </c>
      <c r="G11" s="591">
        <v>35540.978309201644</v>
      </c>
      <c r="H11" s="591">
        <v>0</v>
      </c>
      <c r="I11" s="593">
        <f t="shared" si="0"/>
        <v>77702048.87759079</v>
      </c>
    </row>
    <row r="12" spans="1:9">
      <c r="A12" s="457">
        <v>6</v>
      </c>
      <c r="B12" s="463" t="s">
        <v>570</v>
      </c>
      <c r="C12" s="591">
        <v>1435927.9782999998</v>
      </c>
      <c r="D12" s="591">
        <v>29209954.538500004</v>
      </c>
      <c r="E12" s="591">
        <v>1239544.3103000002</v>
      </c>
      <c r="F12" s="591">
        <v>438528.98339999997</v>
      </c>
      <c r="G12" s="591">
        <v>31740.470713126844</v>
      </c>
      <c r="H12" s="591">
        <v>2194.88</v>
      </c>
      <c r="I12" s="593">
        <f t="shared" si="0"/>
        <v>28936068.752386879</v>
      </c>
    </row>
    <row r="13" spans="1:9">
      <c r="A13" s="457">
        <v>7</v>
      </c>
      <c r="B13" s="463" t="s">
        <v>571</v>
      </c>
      <c r="C13" s="591">
        <v>1270003.7659000002</v>
      </c>
      <c r="D13" s="591">
        <v>56106210.532799989</v>
      </c>
      <c r="E13" s="591">
        <v>453952.46860000002</v>
      </c>
      <c r="F13" s="591">
        <v>1104993.0458000004</v>
      </c>
      <c r="G13" s="591">
        <v>1944.0016127991789</v>
      </c>
      <c r="H13" s="591">
        <v>0</v>
      </c>
      <c r="I13" s="593">
        <f t="shared" si="0"/>
        <v>55815324.782687195</v>
      </c>
    </row>
    <row r="14" spans="1:9">
      <c r="A14" s="457">
        <v>8</v>
      </c>
      <c r="B14" s="463" t="s">
        <v>572</v>
      </c>
      <c r="C14" s="591">
        <v>1113840.5773</v>
      </c>
      <c r="D14" s="591">
        <v>52208404.722699985</v>
      </c>
      <c r="E14" s="591">
        <v>631380.69800000021</v>
      </c>
      <c r="F14" s="591">
        <v>996893.52000000048</v>
      </c>
      <c r="G14" s="591">
        <v>14191.201264511217</v>
      </c>
      <c r="H14" s="591">
        <v>0</v>
      </c>
      <c r="I14" s="593">
        <f t="shared" si="0"/>
        <v>51679779.880735472</v>
      </c>
    </row>
    <row r="15" spans="1:9">
      <c r="A15" s="457">
        <v>9</v>
      </c>
      <c r="B15" s="463" t="s">
        <v>573</v>
      </c>
      <c r="C15" s="591">
        <v>11891.71</v>
      </c>
      <c r="D15" s="591">
        <v>31055004.017800003</v>
      </c>
      <c r="E15" s="591">
        <v>29190.145699999997</v>
      </c>
      <c r="F15" s="591">
        <v>610507.4621</v>
      </c>
      <c r="G15" s="591">
        <v>81.260166210129512</v>
      </c>
      <c r="H15" s="591">
        <v>0</v>
      </c>
      <c r="I15" s="593">
        <f t="shared" si="0"/>
        <v>30427116.859833796</v>
      </c>
    </row>
    <row r="16" spans="1:9">
      <c r="A16" s="457">
        <v>10</v>
      </c>
      <c r="B16" s="463" t="s">
        <v>574</v>
      </c>
      <c r="C16" s="591">
        <v>737035.12950000004</v>
      </c>
      <c r="D16" s="591">
        <v>12064899.875699999</v>
      </c>
      <c r="E16" s="591">
        <v>392619.63709999999</v>
      </c>
      <c r="F16" s="591">
        <v>205740.9954999999</v>
      </c>
      <c r="G16" s="591">
        <v>81.634225513843916</v>
      </c>
      <c r="H16" s="591">
        <v>0</v>
      </c>
      <c r="I16" s="593">
        <f t="shared" si="0"/>
        <v>12203492.738374485</v>
      </c>
    </row>
    <row r="17" spans="1:9">
      <c r="A17" s="457">
        <v>11</v>
      </c>
      <c r="B17" s="463" t="s">
        <v>575</v>
      </c>
      <c r="C17" s="591">
        <v>789963.70210000011</v>
      </c>
      <c r="D17" s="591">
        <v>6522510.1879999992</v>
      </c>
      <c r="E17" s="591">
        <v>450742.15860000002</v>
      </c>
      <c r="F17" s="591">
        <v>114286.96389999997</v>
      </c>
      <c r="G17" s="591">
        <v>100.27427668985055</v>
      </c>
      <c r="H17" s="591">
        <v>6088.7</v>
      </c>
      <c r="I17" s="593">
        <f t="shared" si="0"/>
        <v>6747344.4933233103</v>
      </c>
    </row>
    <row r="18" spans="1:9">
      <c r="A18" s="457">
        <v>12</v>
      </c>
      <c r="B18" s="463" t="s">
        <v>576</v>
      </c>
      <c r="C18" s="591">
        <v>4251598.8990000002</v>
      </c>
      <c r="D18" s="591">
        <v>64394318.943099968</v>
      </c>
      <c r="E18" s="591">
        <v>2211772.9141999995</v>
      </c>
      <c r="F18" s="591">
        <v>1078792.3943999996</v>
      </c>
      <c r="G18" s="591">
        <v>50332.822922350409</v>
      </c>
      <c r="H18" s="591">
        <v>87968.630199999985</v>
      </c>
      <c r="I18" s="593">
        <f t="shared" si="0"/>
        <v>65305019.710577615</v>
      </c>
    </row>
    <row r="19" spans="1:9">
      <c r="A19" s="457">
        <v>13</v>
      </c>
      <c r="B19" s="463" t="s">
        <v>577</v>
      </c>
      <c r="C19" s="591">
        <v>1255112.8779999998</v>
      </c>
      <c r="D19" s="591">
        <v>14646440.199499996</v>
      </c>
      <c r="E19" s="591">
        <v>581958.29270000011</v>
      </c>
      <c r="F19" s="591">
        <v>272777.51899999985</v>
      </c>
      <c r="G19" s="591">
        <v>8841.5377803166393</v>
      </c>
      <c r="H19" s="591">
        <v>0</v>
      </c>
      <c r="I19" s="593">
        <f t="shared" si="0"/>
        <v>15037975.728019681</v>
      </c>
    </row>
    <row r="20" spans="1:9">
      <c r="A20" s="457">
        <v>14</v>
      </c>
      <c r="B20" s="463" t="s">
        <v>578</v>
      </c>
      <c r="C20" s="591">
        <v>7671096.8253000006</v>
      </c>
      <c r="D20" s="591">
        <v>76077956.828300014</v>
      </c>
      <c r="E20" s="591">
        <v>3891369.7631999995</v>
      </c>
      <c r="F20" s="591">
        <v>1193370.8701999998</v>
      </c>
      <c r="G20" s="591">
        <v>17851.419878448607</v>
      </c>
      <c r="H20" s="591">
        <v>0</v>
      </c>
      <c r="I20" s="593">
        <f t="shared" si="0"/>
        <v>78646461.600321561</v>
      </c>
    </row>
    <row r="21" spans="1:9">
      <c r="A21" s="457">
        <v>15</v>
      </c>
      <c r="B21" s="463" t="s">
        <v>579</v>
      </c>
      <c r="C21" s="591">
        <v>1074827.0977000003</v>
      </c>
      <c r="D21" s="591">
        <v>28534283.361900002</v>
      </c>
      <c r="E21" s="591">
        <v>1490087.0409999995</v>
      </c>
      <c r="F21" s="591">
        <v>341446.05290000018</v>
      </c>
      <c r="G21" s="591">
        <v>6287.5831309769274</v>
      </c>
      <c r="H21" s="591">
        <v>0</v>
      </c>
      <c r="I21" s="593">
        <f t="shared" si="0"/>
        <v>27771289.782569021</v>
      </c>
    </row>
    <row r="22" spans="1:9">
      <c r="A22" s="457">
        <v>16</v>
      </c>
      <c r="B22" s="463" t="s">
        <v>580</v>
      </c>
      <c r="C22" s="591">
        <v>0</v>
      </c>
      <c r="D22" s="591">
        <v>436466.64509999997</v>
      </c>
      <c r="E22" s="591">
        <v>0</v>
      </c>
      <c r="F22" s="591">
        <v>8591.9778000000006</v>
      </c>
      <c r="G22" s="591">
        <v>2724.5797268498786</v>
      </c>
      <c r="H22" s="591">
        <v>0</v>
      </c>
      <c r="I22" s="593">
        <f t="shared" si="0"/>
        <v>425150.08757315011</v>
      </c>
    </row>
    <row r="23" spans="1:9">
      <c r="A23" s="457">
        <v>17</v>
      </c>
      <c r="B23" s="463" t="s">
        <v>581</v>
      </c>
      <c r="C23" s="591">
        <v>1372048.6346</v>
      </c>
      <c r="D23" s="591">
        <v>3173379.9904000005</v>
      </c>
      <c r="E23" s="591">
        <v>464839.6789</v>
      </c>
      <c r="F23" s="591">
        <v>60549.045799999993</v>
      </c>
      <c r="G23" s="591">
        <v>601.97729053909018</v>
      </c>
      <c r="H23" s="591">
        <v>0</v>
      </c>
      <c r="I23" s="593">
        <f t="shared" si="0"/>
        <v>4019437.9230094608</v>
      </c>
    </row>
    <row r="24" spans="1:9">
      <c r="A24" s="457">
        <v>18</v>
      </c>
      <c r="B24" s="463" t="s">
        <v>582</v>
      </c>
      <c r="C24" s="591">
        <v>0</v>
      </c>
      <c r="D24" s="591">
        <v>16561907.0831</v>
      </c>
      <c r="E24" s="591">
        <v>3555.54</v>
      </c>
      <c r="F24" s="591">
        <v>330472.06940000004</v>
      </c>
      <c r="G24" s="591">
        <v>2511.6531591661351</v>
      </c>
      <c r="H24" s="591">
        <v>0</v>
      </c>
      <c r="I24" s="593">
        <f t="shared" si="0"/>
        <v>16225367.820540836</v>
      </c>
    </row>
    <row r="25" spans="1:9">
      <c r="A25" s="457">
        <v>19</v>
      </c>
      <c r="B25" s="463" t="s">
        <v>583</v>
      </c>
      <c r="C25" s="591">
        <v>14263.012299999999</v>
      </c>
      <c r="D25" s="591">
        <v>14521910.206600001</v>
      </c>
      <c r="E25" s="591">
        <v>15751.9403</v>
      </c>
      <c r="F25" s="591">
        <v>286999.59580000001</v>
      </c>
      <c r="G25" s="591">
        <v>290.39965298463278</v>
      </c>
      <c r="H25" s="591">
        <v>0</v>
      </c>
      <c r="I25" s="593">
        <f t="shared" si="0"/>
        <v>14233131.283147017</v>
      </c>
    </row>
    <row r="26" spans="1:9">
      <c r="A26" s="457">
        <v>20</v>
      </c>
      <c r="B26" s="463" t="s">
        <v>584</v>
      </c>
      <c r="C26" s="591">
        <v>338341.89880000002</v>
      </c>
      <c r="D26" s="591">
        <v>33728218.922200009</v>
      </c>
      <c r="E26" s="591">
        <v>244021.60700000008</v>
      </c>
      <c r="F26" s="591">
        <v>647234.85240000044</v>
      </c>
      <c r="G26" s="591">
        <v>52308.610823814823</v>
      </c>
      <c r="H26" s="591">
        <v>7999.14</v>
      </c>
      <c r="I26" s="593">
        <f t="shared" si="0"/>
        <v>33122995.750776194</v>
      </c>
    </row>
    <row r="27" spans="1:9">
      <c r="A27" s="457">
        <v>21</v>
      </c>
      <c r="B27" s="463" t="s">
        <v>585</v>
      </c>
      <c r="C27" s="591">
        <v>49522.670000000006</v>
      </c>
      <c r="D27" s="591">
        <v>4175413.8202000009</v>
      </c>
      <c r="E27" s="591">
        <v>42527.1731</v>
      </c>
      <c r="F27" s="591">
        <v>79307.469600000011</v>
      </c>
      <c r="G27" s="591">
        <v>8247.8130701060036</v>
      </c>
      <c r="H27" s="591">
        <v>0</v>
      </c>
      <c r="I27" s="593">
        <f t="shared" si="0"/>
        <v>4094854.0344298952</v>
      </c>
    </row>
    <row r="28" spans="1:9">
      <c r="A28" s="457">
        <v>22</v>
      </c>
      <c r="B28" s="463" t="s">
        <v>586</v>
      </c>
      <c r="C28" s="591">
        <v>6879.7829000000002</v>
      </c>
      <c r="D28" s="591">
        <v>1127110.3077999998</v>
      </c>
      <c r="E28" s="591">
        <v>65091.227699999996</v>
      </c>
      <c r="F28" s="591">
        <v>9781.9806000000008</v>
      </c>
      <c r="G28" s="591">
        <v>3164.1340367881744</v>
      </c>
      <c r="H28" s="591">
        <v>14615.39</v>
      </c>
      <c r="I28" s="593">
        <f t="shared" si="0"/>
        <v>1055952.7483632118</v>
      </c>
    </row>
    <row r="29" spans="1:9">
      <c r="A29" s="457">
        <v>23</v>
      </c>
      <c r="B29" s="463" t="s">
        <v>587</v>
      </c>
      <c r="C29" s="591">
        <v>7632320.8982000006</v>
      </c>
      <c r="D29" s="591">
        <v>86592453.645500049</v>
      </c>
      <c r="E29" s="591">
        <v>3314392.4003999997</v>
      </c>
      <c r="F29" s="591">
        <v>1624588.6308999984</v>
      </c>
      <c r="G29" s="591">
        <v>82733.647389621023</v>
      </c>
      <c r="H29" s="591">
        <v>115365.71699999999</v>
      </c>
      <c r="I29" s="593">
        <f t="shared" si="0"/>
        <v>89203059.86501044</v>
      </c>
    </row>
    <row r="30" spans="1:9">
      <c r="A30" s="457">
        <v>24</v>
      </c>
      <c r="B30" s="463" t="s">
        <v>588</v>
      </c>
      <c r="C30" s="591">
        <v>4170547.8014000007</v>
      </c>
      <c r="D30" s="591">
        <v>126371291.82050005</v>
      </c>
      <c r="E30" s="591">
        <v>2178816.5617</v>
      </c>
      <c r="F30" s="591">
        <v>2348982.7079999987</v>
      </c>
      <c r="G30" s="591">
        <v>8508.430994007098</v>
      </c>
      <c r="H30" s="591">
        <v>46497.729999999996</v>
      </c>
      <c r="I30" s="593">
        <f t="shared" si="0"/>
        <v>126005531.92120604</v>
      </c>
    </row>
    <row r="31" spans="1:9">
      <c r="A31" s="457">
        <v>25</v>
      </c>
      <c r="B31" s="463" t="s">
        <v>589</v>
      </c>
      <c r="C31" s="591">
        <v>4007441.6115000006</v>
      </c>
      <c r="D31" s="591">
        <v>42065634.385600016</v>
      </c>
      <c r="E31" s="591">
        <v>1634518.0258999998</v>
      </c>
      <c r="F31" s="591">
        <v>710461.65999999957</v>
      </c>
      <c r="G31" s="591">
        <v>245586.53083463025</v>
      </c>
      <c r="H31" s="591">
        <v>1148876.3860000002</v>
      </c>
      <c r="I31" s="593">
        <f t="shared" si="0"/>
        <v>43482509.780365393</v>
      </c>
    </row>
    <row r="32" spans="1:9">
      <c r="A32" s="457">
        <v>26</v>
      </c>
      <c r="B32" s="463" t="s">
        <v>590</v>
      </c>
      <c r="C32" s="591">
        <v>1800976.2883999997</v>
      </c>
      <c r="D32" s="591">
        <v>25875460.445300039</v>
      </c>
      <c r="E32" s="591">
        <v>989977.11299999908</v>
      </c>
      <c r="F32" s="591">
        <v>463541.38219999947</v>
      </c>
      <c r="G32" s="591">
        <v>172310.67314656003</v>
      </c>
      <c r="H32" s="591">
        <v>0</v>
      </c>
      <c r="I32" s="593">
        <f t="shared" si="0"/>
        <v>26050607.565353479</v>
      </c>
    </row>
    <row r="33" spans="1:9">
      <c r="A33" s="457">
        <v>27</v>
      </c>
      <c r="B33" s="457" t="s">
        <v>165</v>
      </c>
      <c r="C33" s="591">
        <v>29618617.649999999</v>
      </c>
      <c r="D33" s="591">
        <v>94269393.347000018</v>
      </c>
      <c r="E33" s="591">
        <v>23725704.987</v>
      </c>
      <c r="F33" s="591">
        <v>0</v>
      </c>
      <c r="G33" s="591">
        <v>0</v>
      </c>
      <c r="H33" s="591">
        <v>0</v>
      </c>
      <c r="I33" s="593">
        <f t="shared" si="0"/>
        <v>100162306.01000001</v>
      </c>
    </row>
    <row r="34" spans="1:9">
      <c r="A34" s="457">
        <v>28</v>
      </c>
      <c r="B34" s="449" t="s">
        <v>68</v>
      </c>
      <c r="C34" s="590">
        <f>SUM(C7:C33)</f>
        <v>77485831.002400011</v>
      </c>
      <c r="D34" s="590">
        <f t="shared" ref="D34:H34" si="1">SUM(D7:D33)</f>
        <v>1439406003.4822001</v>
      </c>
      <c r="E34" s="590">
        <f t="shared" si="1"/>
        <v>49138081.413199991</v>
      </c>
      <c r="F34" s="590">
        <f t="shared" si="1"/>
        <v>18510620.27009999</v>
      </c>
      <c r="G34" s="590">
        <v>1299102</v>
      </c>
      <c r="H34" s="590">
        <f t="shared" si="1"/>
        <v>1607866.4400000002</v>
      </c>
      <c r="I34" s="593">
        <f t="shared" si="0"/>
        <v>1447944030.8013003</v>
      </c>
    </row>
    <row r="36" spans="1:9">
      <c r="B36" s="464"/>
    </row>
    <row r="42" spans="1:9">
      <c r="A42" s="460"/>
      <c r="B42" s="460"/>
    </row>
    <row r="43" spans="1:9">
      <c r="A43" s="460"/>
      <c r="B43" s="46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110" zoomScaleNormal="110" workbookViewId="0">
      <selection activeCell="B1" sqref="B1"/>
    </sheetView>
  </sheetViews>
  <sheetFormatPr defaultColWidth="9.140625" defaultRowHeight="12.75"/>
  <cols>
    <col min="1" max="1" width="11.85546875" style="443" bestFit="1" customWidth="1"/>
    <col min="2" max="2" width="108" style="443" bestFit="1" customWidth="1"/>
    <col min="3" max="3" width="35.5703125" style="443" customWidth="1"/>
    <col min="4" max="4" width="38.42578125" style="443" customWidth="1"/>
    <col min="5" max="16384" width="9.140625" style="443"/>
  </cols>
  <sheetData>
    <row r="1" spans="1:4">
      <c r="A1" s="442" t="s">
        <v>188</v>
      </c>
      <c r="B1" s="624" t="str">
        <f>'1. key ratios'!B1</f>
        <v>ს.ს. "ტერაბანკი"</v>
      </c>
    </row>
    <row r="2" spans="1:4">
      <c r="A2" s="442" t="s">
        <v>189</v>
      </c>
    </row>
    <row r="3" spans="1:4">
      <c r="A3" s="444" t="s">
        <v>591</v>
      </c>
      <c r="B3" s="445">
        <f>'1. key ratios'!B2</f>
        <v>44834</v>
      </c>
    </row>
    <row r="5" spans="1:4" ht="51">
      <c r="A5" s="688" t="s">
        <v>592</v>
      </c>
      <c r="B5" s="688"/>
      <c r="C5" s="446" t="s">
        <v>593</v>
      </c>
      <c r="D5" s="446" t="s">
        <v>594</v>
      </c>
    </row>
    <row r="6" spans="1:4">
      <c r="A6" s="465">
        <v>1</v>
      </c>
      <c r="B6" s="466" t="s">
        <v>595</v>
      </c>
      <c r="C6" s="591">
        <v>47729652.000000134</v>
      </c>
      <c r="D6" s="591">
        <v>100000</v>
      </c>
    </row>
    <row r="7" spans="1:4">
      <c r="A7" s="467">
        <v>2</v>
      </c>
      <c r="B7" s="466" t="s">
        <v>596</v>
      </c>
      <c r="C7" s="590">
        <f>SUM(C8:C11)</f>
        <v>5765558.8649969287</v>
      </c>
      <c r="D7" s="590">
        <f>SUM(D8:D11)</f>
        <v>0</v>
      </c>
    </row>
    <row r="8" spans="1:4">
      <c r="A8" s="467">
        <v>2.1</v>
      </c>
      <c r="B8" s="468" t="s">
        <v>597</v>
      </c>
      <c r="C8" s="591">
        <v>3356947.4175179997</v>
      </c>
      <c r="D8" s="591"/>
    </row>
    <row r="9" spans="1:4">
      <c r="A9" s="467">
        <v>2.2000000000000002</v>
      </c>
      <c r="B9" s="468" t="s">
        <v>598</v>
      </c>
      <c r="C9" s="591">
        <v>2408611.4474789286</v>
      </c>
      <c r="D9" s="591"/>
    </row>
    <row r="10" spans="1:4">
      <c r="A10" s="467">
        <v>2.2999999999999998</v>
      </c>
      <c r="B10" s="468" t="s">
        <v>599</v>
      </c>
      <c r="C10" s="591">
        <v>0</v>
      </c>
      <c r="D10" s="591"/>
    </row>
    <row r="11" spans="1:4">
      <c r="A11" s="467">
        <v>2.4</v>
      </c>
      <c r="B11" s="468" t="s">
        <v>600</v>
      </c>
      <c r="C11" s="591">
        <v>0</v>
      </c>
      <c r="D11" s="591"/>
    </row>
    <row r="12" spans="1:4">
      <c r="A12" s="465">
        <v>3</v>
      </c>
      <c r="B12" s="466" t="s">
        <v>601</v>
      </c>
      <c r="C12" s="590">
        <f>SUM(C13:C18)</f>
        <v>8434702.5949969962</v>
      </c>
      <c r="D12" s="590">
        <f>SUM(D13:D18)</f>
        <v>0</v>
      </c>
    </row>
    <row r="13" spans="1:4">
      <c r="A13" s="467">
        <v>3.1</v>
      </c>
      <c r="B13" s="468" t="s">
        <v>602</v>
      </c>
      <c r="C13" s="591">
        <v>557255.34</v>
      </c>
      <c r="D13" s="591"/>
    </row>
    <row r="14" spans="1:4">
      <c r="A14" s="467">
        <v>3.2</v>
      </c>
      <c r="B14" s="468" t="s">
        <v>603</v>
      </c>
      <c r="C14" s="591">
        <v>1884149.8135029986</v>
      </c>
      <c r="D14" s="591"/>
    </row>
    <row r="15" spans="1:4">
      <c r="A15" s="467">
        <v>3.3</v>
      </c>
      <c r="B15" s="468" t="s">
        <v>604</v>
      </c>
      <c r="C15" s="591">
        <v>3029994.6382449991</v>
      </c>
      <c r="D15" s="591"/>
    </row>
    <row r="16" spans="1:4">
      <c r="A16" s="467">
        <v>3.4</v>
      </c>
      <c r="B16" s="468" t="s">
        <v>605</v>
      </c>
      <c r="C16" s="591">
        <v>1409743.3778730002</v>
      </c>
      <c r="D16" s="591"/>
    </row>
    <row r="17" spans="1:4">
      <c r="A17" s="467">
        <v>3.5</v>
      </c>
      <c r="B17" s="468" t="s">
        <v>606</v>
      </c>
      <c r="C17" s="591">
        <v>1553559.4253759978</v>
      </c>
      <c r="D17" s="591"/>
    </row>
    <row r="18" spans="1:4">
      <c r="A18" s="467">
        <v>3.6</v>
      </c>
      <c r="B18" s="468" t="s">
        <v>607</v>
      </c>
      <c r="C18" s="591">
        <v>0</v>
      </c>
      <c r="D18" s="591"/>
    </row>
    <row r="19" spans="1:4">
      <c r="A19" s="469">
        <v>4</v>
      </c>
      <c r="B19" s="466" t="s">
        <v>608</v>
      </c>
      <c r="C19" s="590">
        <f>C6+C7-C12</f>
        <v>45060508.270000063</v>
      </c>
      <c r="D19" s="590">
        <f>D6+D7-D12</f>
        <v>100000</v>
      </c>
    </row>
  </sheetData>
  <mergeCells count="1">
    <mergeCell ref="A5:B5"/>
  </mergeCells>
  <pageMargins left="0.7" right="0.7" top="0.75" bottom="0.75" header="0.3" footer="0.3"/>
  <pageSetup orientation="portrait" horizontalDpi="4294967292"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5" zoomScaleNormal="85" workbookViewId="0">
      <selection activeCell="B1" sqref="B1"/>
    </sheetView>
  </sheetViews>
  <sheetFormatPr defaultColWidth="9.140625" defaultRowHeight="12.75"/>
  <cols>
    <col min="1" max="1" width="11.85546875" style="443" bestFit="1" customWidth="1"/>
    <col min="2" max="2" width="124.7109375" style="443" customWidth="1"/>
    <col min="3" max="3" width="21.5703125" style="443" customWidth="1"/>
    <col min="4" max="4" width="49.140625" style="443" customWidth="1"/>
    <col min="5" max="16384" width="9.140625" style="443"/>
  </cols>
  <sheetData>
    <row r="1" spans="1:4">
      <c r="A1" s="442" t="s">
        <v>188</v>
      </c>
      <c r="B1" s="624" t="str">
        <f>'1. key ratios'!B1</f>
        <v>ს.ს. "ტერაბანკი"</v>
      </c>
    </row>
    <row r="2" spans="1:4">
      <c r="A2" s="442" t="s">
        <v>189</v>
      </c>
    </row>
    <row r="3" spans="1:4">
      <c r="A3" s="444" t="s">
        <v>609</v>
      </c>
      <c r="B3" s="445">
        <f>'1. key ratios'!B2</f>
        <v>44834</v>
      </c>
    </row>
    <row r="4" spans="1:4">
      <c r="A4" s="444"/>
    </row>
    <row r="5" spans="1:4" ht="15" customHeight="1">
      <c r="A5" s="689" t="s">
        <v>610</v>
      </c>
      <c r="B5" s="690"/>
      <c r="C5" s="679" t="s">
        <v>611</v>
      </c>
      <c r="D5" s="693" t="s">
        <v>612</v>
      </c>
    </row>
    <row r="6" spans="1:4">
      <c r="A6" s="691"/>
      <c r="B6" s="692"/>
      <c r="C6" s="682"/>
      <c r="D6" s="693"/>
    </row>
    <row r="7" spans="1:4">
      <c r="A7" s="449">
        <v>1</v>
      </c>
      <c r="B7" s="449" t="s">
        <v>613</v>
      </c>
      <c r="C7" s="590">
        <v>54982130.236260355</v>
      </c>
      <c r="D7" s="470"/>
    </row>
    <row r="8" spans="1:4">
      <c r="A8" s="457">
        <v>2</v>
      </c>
      <c r="B8" s="457" t="s">
        <v>614</v>
      </c>
      <c r="C8" s="591">
        <v>5340978.2211850407</v>
      </c>
      <c r="D8" s="470"/>
    </row>
    <row r="9" spans="1:4">
      <c r="A9" s="457">
        <v>3</v>
      </c>
      <c r="B9" s="471" t="s">
        <v>615</v>
      </c>
      <c r="C9" s="591">
        <v>0</v>
      </c>
      <c r="D9" s="470"/>
    </row>
    <row r="10" spans="1:4">
      <c r="A10" s="457">
        <v>4</v>
      </c>
      <c r="B10" s="457" t="s">
        <v>616</v>
      </c>
      <c r="C10" s="591">
        <f>SUM(C11:C18)</f>
        <v>12517485.241303757</v>
      </c>
      <c r="D10" s="470"/>
    </row>
    <row r="11" spans="1:4">
      <c r="A11" s="457">
        <v>5</v>
      </c>
      <c r="B11" s="472" t="s">
        <v>617</v>
      </c>
      <c r="C11" s="591">
        <v>880999.48589999997</v>
      </c>
      <c r="D11" s="470"/>
    </row>
    <row r="12" spans="1:4">
      <c r="A12" s="457">
        <v>6</v>
      </c>
      <c r="B12" s="472" t="s">
        <v>618</v>
      </c>
      <c r="C12" s="591">
        <v>3392823.7536999998</v>
      </c>
      <c r="D12" s="470"/>
    </row>
    <row r="13" spans="1:4">
      <c r="A13" s="457">
        <v>7</v>
      </c>
      <c r="B13" s="472" t="s">
        <v>619</v>
      </c>
      <c r="C13" s="591">
        <v>5268246.9771882966</v>
      </c>
      <c r="D13" s="470"/>
    </row>
    <row r="14" spans="1:4">
      <c r="A14" s="457">
        <v>8</v>
      </c>
      <c r="B14" s="472" t="s">
        <v>620</v>
      </c>
      <c r="C14" s="591">
        <v>651816.74601016589</v>
      </c>
      <c r="D14" s="592">
        <v>0</v>
      </c>
    </row>
    <row r="15" spans="1:4">
      <c r="A15" s="457">
        <v>9</v>
      </c>
      <c r="B15" s="472" t="s">
        <v>621</v>
      </c>
      <c r="C15" s="591">
        <v>0</v>
      </c>
      <c r="D15" s="592">
        <v>0</v>
      </c>
    </row>
    <row r="16" spans="1:4">
      <c r="A16" s="457">
        <v>10</v>
      </c>
      <c r="B16" s="472" t="s">
        <v>622</v>
      </c>
      <c r="C16" s="591">
        <v>532277.52000000014</v>
      </c>
      <c r="D16" s="470"/>
    </row>
    <row r="17" spans="1:4">
      <c r="A17" s="457">
        <v>11</v>
      </c>
      <c r="B17" s="472" t="s">
        <v>623</v>
      </c>
      <c r="C17" s="591">
        <v>0</v>
      </c>
      <c r="D17" s="592">
        <v>0</v>
      </c>
    </row>
    <row r="18" spans="1:4" ht="25.5">
      <c r="A18" s="457">
        <v>12</v>
      </c>
      <c r="B18" s="472" t="s">
        <v>624</v>
      </c>
      <c r="C18" s="591">
        <v>1791320.758505296</v>
      </c>
      <c r="D18" s="470"/>
    </row>
    <row r="19" spans="1:4">
      <c r="A19" s="449">
        <v>13</v>
      </c>
      <c r="B19" s="473" t="s">
        <v>625</v>
      </c>
      <c r="C19" s="590">
        <f>C7+C8+C9-C10</f>
        <v>47805623.216141641</v>
      </c>
      <c r="D19" s="474"/>
    </row>
    <row r="22" spans="1:4">
      <c r="B22" s="442"/>
    </row>
    <row r="23" spans="1:4">
      <c r="B23" s="442"/>
    </row>
    <row r="24" spans="1:4">
      <c r="B24" s="44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90" zoomScaleNormal="90" workbookViewId="0">
      <selection activeCell="C8" sqref="C8"/>
    </sheetView>
  </sheetViews>
  <sheetFormatPr defaultColWidth="9.140625" defaultRowHeight="12.75"/>
  <cols>
    <col min="1" max="1" width="11.85546875" style="443" bestFit="1" customWidth="1"/>
    <col min="2" max="2" width="80.7109375" style="443" customWidth="1"/>
    <col min="3" max="3" width="17.85546875" style="443" bestFit="1" customWidth="1"/>
    <col min="4" max="5" width="22.28515625" style="443" customWidth="1"/>
    <col min="6" max="6" width="23.42578125" style="443" customWidth="1"/>
    <col min="7" max="14" width="22.28515625" style="443" customWidth="1"/>
    <col min="15" max="15" width="23.42578125" style="443" bestFit="1" customWidth="1"/>
    <col min="16" max="16" width="21.85546875" style="443" bestFit="1" customWidth="1"/>
    <col min="17" max="19" width="19.140625" style="443" bestFit="1" customWidth="1"/>
    <col min="20" max="20" width="16.140625" style="443" customWidth="1"/>
    <col min="21" max="21" width="13.42578125" style="443" bestFit="1" customWidth="1"/>
    <col min="22" max="22" width="20" style="443" customWidth="1"/>
    <col min="23" max="16384" width="9.140625" style="443"/>
  </cols>
  <sheetData>
    <row r="1" spans="1:22">
      <c r="A1" s="442" t="s">
        <v>188</v>
      </c>
      <c r="B1" s="624" t="str">
        <f>'1. key ratios'!B1</f>
        <v>ს.ს. "ტერაბანკი"</v>
      </c>
    </row>
    <row r="2" spans="1:22">
      <c r="A2" s="442" t="s">
        <v>189</v>
      </c>
      <c r="B2" s="453"/>
      <c r="C2" s="453"/>
    </row>
    <row r="3" spans="1:22">
      <c r="A3" s="444" t="s">
        <v>626</v>
      </c>
      <c r="B3" s="445">
        <f>'1. key ratios'!B2</f>
        <v>44834</v>
      </c>
    </row>
    <row r="5" spans="1:22" ht="15" customHeight="1">
      <c r="A5" s="679" t="s">
        <v>627</v>
      </c>
      <c r="B5" s="681"/>
      <c r="C5" s="696" t="s">
        <v>628</v>
      </c>
      <c r="D5" s="697"/>
      <c r="E5" s="697"/>
      <c r="F5" s="697"/>
      <c r="G5" s="697"/>
      <c r="H5" s="697"/>
      <c r="I5" s="697"/>
      <c r="J5" s="697"/>
      <c r="K5" s="697"/>
      <c r="L5" s="697"/>
      <c r="M5" s="697"/>
      <c r="N5" s="697"/>
      <c r="O5" s="697"/>
      <c r="P5" s="697"/>
      <c r="Q5" s="697"/>
      <c r="R5" s="697"/>
      <c r="S5" s="697"/>
      <c r="T5" s="697"/>
      <c r="U5" s="698"/>
      <c r="V5" s="475"/>
    </row>
    <row r="6" spans="1:22">
      <c r="A6" s="694"/>
      <c r="B6" s="695"/>
      <c r="C6" s="699" t="s">
        <v>68</v>
      </c>
      <c r="D6" s="701" t="s">
        <v>629</v>
      </c>
      <c r="E6" s="701"/>
      <c r="F6" s="686"/>
      <c r="G6" s="702" t="s">
        <v>630</v>
      </c>
      <c r="H6" s="703"/>
      <c r="I6" s="703"/>
      <c r="J6" s="703"/>
      <c r="K6" s="704"/>
      <c r="L6" s="476"/>
      <c r="M6" s="705" t="s">
        <v>631</v>
      </c>
      <c r="N6" s="705"/>
      <c r="O6" s="686"/>
      <c r="P6" s="686"/>
      <c r="Q6" s="686"/>
      <c r="R6" s="686"/>
      <c r="S6" s="686"/>
      <c r="T6" s="686"/>
      <c r="U6" s="686"/>
      <c r="V6" s="476"/>
    </row>
    <row r="7" spans="1:22" ht="25.5">
      <c r="A7" s="682"/>
      <c r="B7" s="684"/>
      <c r="C7" s="700"/>
      <c r="D7" s="477"/>
      <c r="E7" s="455" t="s">
        <v>632</v>
      </c>
      <c r="F7" s="455" t="s">
        <v>633</v>
      </c>
      <c r="G7" s="453"/>
      <c r="H7" s="455" t="s">
        <v>632</v>
      </c>
      <c r="I7" s="455" t="s">
        <v>659</v>
      </c>
      <c r="J7" s="455" t="s">
        <v>634</v>
      </c>
      <c r="K7" s="455" t="s">
        <v>635</v>
      </c>
      <c r="L7" s="478"/>
      <c r="M7" s="493" t="s">
        <v>636</v>
      </c>
      <c r="N7" s="455" t="s">
        <v>634</v>
      </c>
      <c r="O7" s="455" t="s">
        <v>637</v>
      </c>
      <c r="P7" s="455" t="s">
        <v>638</v>
      </c>
      <c r="Q7" s="455" t="s">
        <v>639</v>
      </c>
      <c r="R7" s="455" t="s">
        <v>640</v>
      </c>
      <c r="S7" s="455" t="s">
        <v>641</v>
      </c>
      <c r="T7" s="479" t="s">
        <v>642</v>
      </c>
      <c r="U7" s="455" t="s">
        <v>643</v>
      </c>
      <c r="V7" s="475"/>
    </row>
    <row r="8" spans="1:22">
      <c r="A8" s="480">
        <v>1</v>
      </c>
      <c r="B8" s="449" t="s">
        <v>644</v>
      </c>
      <c r="C8" s="590">
        <v>1056036433.990001</v>
      </c>
      <c r="D8" s="591">
        <v>930737254.57000101</v>
      </c>
      <c r="E8" s="591">
        <v>29572312.859999999</v>
      </c>
      <c r="F8" s="591">
        <v>3048101.06</v>
      </c>
      <c r="G8" s="591">
        <v>77493556.169999972</v>
      </c>
      <c r="H8" s="591">
        <v>10900130.730000002</v>
      </c>
      <c r="I8" s="591">
        <v>3655229.9300000006</v>
      </c>
      <c r="J8" s="591">
        <v>605988.81999999995</v>
      </c>
      <c r="K8" s="591">
        <v>216678.74</v>
      </c>
      <c r="L8" s="591">
        <v>47805623.24999997</v>
      </c>
      <c r="M8" s="591">
        <v>9954387.5099999998</v>
      </c>
      <c r="N8" s="591">
        <v>2986280.3600000003</v>
      </c>
      <c r="O8" s="591">
        <v>5465405.0499999989</v>
      </c>
      <c r="P8" s="591">
        <v>4827041.9499999983</v>
      </c>
      <c r="Q8" s="591">
        <v>5368686.5900000008</v>
      </c>
      <c r="R8" s="591">
        <v>1527386.71</v>
      </c>
      <c r="S8" s="591">
        <v>0</v>
      </c>
      <c r="T8" s="591">
        <v>0</v>
      </c>
      <c r="U8" s="591">
        <v>1162073.9500000002</v>
      </c>
    </row>
    <row r="9" spans="1:22">
      <c r="A9" s="457">
        <v>1.1000000000000001</v>
      </c>
      <c r="B9" s="481" t="s">
        <v>645</v>
      </c>
      <c r="C9" s="594"/>
      <c r="D9" s="591"/>
      <c r="E9" s="591"/>
      <c r="F9" s="591"/>
      <c r="G9" s="591"/>
      <c r="H9" s="591"/>
      <c r="I9" s="591"/>
      <c r="J9" s="591"/>
      <c r="K9" s="591"/>
      <c r="L9" s="591"/>
      <c r="M9" s="591"/>
      <c r="N9" s="591"/>
      <c r="O9" s="591"/>
      <c r="P9" s="591"/>
      <c r="Q9" s="591"/>
      <c r="R9" s="591"/>
      <c r="S9" s="591"/>
      <c r="T9" s="591"/>
      <c r="U9" s="591"/>
    </row>
    <row r="10" spans="1:22">
      <c r="A10" s="457">
        <v>1.2</v>
      </c>
      <c r="B10" s="481" t="s">
        <v>646</v>
      </c>
      <c r="C10" s="594"/>
      <c r="D10" s="591"/>
      <c r="E10" s="591"/>
      <c r="F10" s="591"/>
      <c r="G10" s="591"/>
      <c r="H10" s="591"/>
      <c r="I10" s="591"/>
      <c r="J10" s="591"/>
      <c r="K10" s="591"/>
      <c r="L10" s="591"/>
      <c r="M10" s="591"/>
      <c r="N10" s="591"/>
      <c r="O10" s="591"/>
      <c r="P10" s="591"/>
      <c r="Q10" s="591"/>
      <c r="R10" s="591"/>
      <c r="S10" s="591"/>
      <c r="T10" s="591"/>
      <c r="U10" s="591"/>
    </row>
    <row r="11" spans="1:22">
      <c r="A11" s="457">
        <v>1.3</v>
      </c>
      <c r="B11" s="481" t="s">
        <v>647</v>
      </c>
      <c r="C11" s="594"/>
      <c r="D11" s="591"/>
      <c r="E11" s="591"/>
      <c r="F11" s="591"/>
      <c r="G11" s="591"/>
      <c r="H11" s="591"/>
      <c r="I11" s="591"/>
      <c r="J11" s="591"/>
      <c r="K11" s="591"/>
      <c r="L11" s="591"/>
      <c r="M11" s="591"/>
      <c r="N11" s="591"/>
      <c r="O11" s="591"/>
      <c r="P11" s="591"/>
      <c r="Q11" s="591"/>
      <c r="R11" s="591"/>
      <c r="S11" s="591"/>
      <c r="T11" s="591"/>
      <c r="U11" s="591"/>
    </row>
    <row r="12" spans="1:22">
      <c r="A12" s="457">
        <v>1.4</v>
      </c>
      <c r="B12" s="481" t="s">
        <v>648</v>
      </c>
      <c r="C12" s="594">
        <v>44964869.950000003</v>
      </c>
      <c r="D12" s="591">
        <v>44712301.549999997</v>
      </c>
      <c r="E12" s="591">
        <v>0</v>
      </c>
      <c r="F12" s="591">
        <v>0</v>
      </c>
      <c r="G12" s="591">
        <v>36926.78</v>
      </c>
      <c r="H12" s="591">
        <v>0</v>
      </c>
      <c r="I12" s="591">
        <v>36926.78</v>
      </c>
      <c r="J12" s="591">
        <v>0</v>
      </c>
      <c r="K12" s="591">
        <v>0</v>
      </c>
      <c r="L12" s="591">
        <v>215641.62</v>
      </c>
      <c r="M12" s="591">
        <v>162947.93</v>
      </c>
      <c r="N12" s="591">
        <v>0</v>
      </c>
      <c r="O12" s="591">
        <v>0</v>
      </c>
      <c r="P12" s="591">
        <v>0</v>
      </c>
      <c r="Q12" s="591">
        <v>52693.69</v>
      </c>
      <c r="R12" s="591">
        <v>0</v>
      </c>
      <c r="S12" s="591">
        <v>0</v>
      </c>
      <c r="T12" s="591">
        <v>0</v>
      </c>
      <c r="U12" s="591">
        <v>0</v>
      </c>
    </row>
    <row r="13" spans="1:22">
      <c r="A13" s="457">
        <v>1.5</v>
      </c>
      <c r="B13" s="481" t="s">
        <v>649</v>
      </c>
      <c r="C13" s="594">
        <v>477454915.76000017</v>
      </c>
      <c r="D13" s="591">
        <v>427819510.18000019</v>
      </c>
      <c r="E13" s="591">
        <v>18354497.34</v>
      </c>
      <c r="F13" s="591">
        <v>3048101.06</v>
      </c>
      <c r="G13" s="591">
        <v>35041721.160000004</v>
      </c>
      <c r="H13" s="591">
        <v>2927836.2199999993</v>
      </c>
      <c r="I13" s="591">
        <v>1144860.25</v>
      </c>
      <c r="J13" s="591">
        <v>131886.26</v>
      </c>
      <c r="K13" s="591">
        <v>0</v>
      </c>
      <c r="L13" s="591">
        <v>14593684.420000002</v>
      </c>
      <c r="M13" s="591">
        <v>3268251.9</v>
      </c>
      <c r="N13" s="591">
        <v>1640848.4800000002</v>
      </c>
      <c r="O13" s="591">
        <v>2048696.6400000001</v>
      </c>
      <c r="P13" s="591">
        <v>2818746.8499999996</v>
      </c>
      <c r="Q13" s="591">
        <v>1528136.8</v>
      </c>
      <c r="R13" s="591">
        <v>730629.21</v>
      </c>
      <c r="S13" s="591">
        <v>0</v>
      </c>
      <c r="T13" s="591">
        <v>0</v>
      </c>
      <c r="U13" s="591">
        <v>68256.329999999987</v>
      </c>
    </row>
    <row r="14" spans="1:22">
      <c r="A14" s="457">
        <v>1.6</v>
      </c>
      <c r="B14" s="481" t="s">
        <v>650</v>
      </c>
      <c r="C14" s="594">
        <v>533616648.28000075</v>
      </c>
      <c r="D14" s="591">
        <v>458205442.84000081</v>
      </c>
      <c r="E14" s="591">
        <v>11217815.519999998</v>
      </c>
      <c r="F14" s="591">
        <v>0</v>
      </c>
      <c r="G14" s="591">
        <v>42414908.229999967</v>
      </c>
      <c r="H14" s="591">
        <v>7972294.5100000026</v>
      </c>
      <c r="I14" s="591">
        <v>2473442.9000000004</v>
      </c>
      <c r="J14" s="591">
        <v>474102.55999999994</v>
      </c>
      <c r="K14" s="591">
        <v>216678.74</v>
      </c>
      <c r="L14" s="591">
        <v>32996297.209999971</v>
      </c>
      <c r="M14" s="591">
        <v>6523187.6799999997</v>
      </c>
      <c r="N14" s="591">
        <v>1345431.8800000001</v>
      </c>
      <c r="O14" s="591">
        <v>3416708.4099999983</v>
      </c>
      <c r="P14" s="591">
        <v>2008295.0999999987</v>
      </c>
      <c r="Q14" s="591">
        <v>3787856.1000000006</v>
      </c>
      <c r="R14" s="591">
        <v>796757.5</v>
      </c>
      <c r="S14" s="591">
        <v>0</v>
      </c>
      <c r="T14" s="591">
        <v>0</v>
      </c>
      <c r="U14" s="591">
        <v>1093817.6200000001</v>
      </c>
    </row>
    <row r="15" spans="1:22">
      <c r="A15" s="480">
        <v>2</v>
      </c>
      <c r="B15" s="449" t="s">
        <v>651</v>
      </c>
      <c r="C15" s="590">
        <v>161224418.93000001</v>
      </c>
      <c r="D15" s="591">
        <v>161224418.93000001</v>
      </c>
      <c r="E15" s="591">
        <v>0</v>
      </c>
      <c r="F15" s="591">
        <v>0</v>
      </c>
      <c r="G15" s="591">
        <v>0</v>
      </c>
      <c r="H15" s="591">
        <v>0</v>
      </c>
      <c r="I15" s="591">
        <v>0</v>
      </c>
      <c r="J15" s="591">
        <v>0</v>
      </c>
      <c r="K15" s="591">
        <v>0</v>
      </c>
      <c r="L15" s="591">
        <v>0</v>
      </c>
      <c r="M15" s="591">
        <v>0</v>
      </c>
      <c r="N15" s="591">
        <v>0</v>
      </c>
      <c r="O15" s="591">
        <v>0</v>
      </c>
      <c r="P15" s="591">
        <v>0</v>
      </c>
      <c r="Q15" s="591">
        <v>0</v>
      </c>
      <c r="R15" s="591">
        <v>0</v>
      </c>
      <c r="S15" s="591">
        <v>0</v>
      </c>
      <c r="T15" s="591">
        <v>0</v>
      </c>
      <c r="U15" s="591">
        <v>0</v>
      </c>
    </row>
    <row r="16" spans="1:22">
      <c r="A16" s="457">
        <v>2.1</v>
      </c>
      <c r="B16" s="481" t="s">
        <v>645</v>
      </c>
      <c r="C16" s="594">
        <v>9868746.3900000006</v>
      </c>
      <c r="D16" s="591">
        <v>9868746.3900000006</v>
      </c>
      <c r="E16" s="591">
        <v>0</v>
      </c>
      <c r="F16" s="591">
        <v>0</v>
      </c>
      <c r="G16" s="591">
        <v>0</v>
      </c>
      <c r="H16" s="591">
        <v>0</v>
      </c>
      <c r="I16" s="591">
        <v>0</v>
      </c>
      <c r="J16" s="591">
        <v>0</v>
      </c>
      <c r="K16" s="591">
        <v>0</v>
      </c>
      <c r="L16" s="591">
        <v>0</v>
      </c>
      <c r="M16" s="591">
        <v>0</v>
      </c>
      <c r="N16" s="591">
        <v>0</v>
      </c>
      <c r="O16" s="591">
        <v>0</v>
      </c>
      <c r="P16" s="591">
        <v>0</v>
      </c>
      <c r="Q16" s="591">
        <v>0</v>
      </c>
      <c r="R16" s="591">
        <v>0</v>
      </c>
      <c r="S16" s="591">
        <v>0</v>
      </c>
      <c r="T16" s="591">
        <v>0</v>
      </c>
      <c r="U16" s="591">
        <v>0</v>
      </c>
    </row>
    <row r="17" spans="1:21">
      <c r="A17" s="457">
        <v>2.2000000000000002</v>
      </c>
      <c r="B17" s="481" t="s">
        <v>646</v>
      </c>
      <c r="C17" s="594">
        <v>82355672.540000007</v>
      </c>
      <c r="D17" s="591">
        <v>82355672.540000007</v>
      </c>
      <c r="E17" s="591">
        <v>0</v>
      </c>
      <c r="F17" s="591">
        <v>0</v>
      </c>
      <c r="G17" s="591">
        <v>0</v>
      </c>
      <c r="H17" s="591">
        <v>0</v>
      </c>
      <c r="I17" s="591">
        <v>0</v>
      </c>
      <c r="J17" s="591">
        <v>0</v>
      </c>
      <c r="K17" s="591">
        <v>0</v>
      </c>
      <c r="L17" s="591">
        <v>0</v>
      </c>
      <c r="M17" s="591">
        <v>0</v>
      </c>
      <c r="N17" s="591">
        <v>0</v>
      </c>
      <c r="O17" s="591">
        <v>0</v>
      </c>
      <c r="P17" s="591">
        <v>0</v>
      </c>
      <c r="Q17" s="591">
        <v>0</v>
      </c>
      <c r="R17" s="591">
        <v>0</v>
      </c>
      <c r="S17" s="591">
        <v>0</v>
      </c>
      <c r="T17" s="591">
        <v>0</v>
      </c>
      <c r="U17" s="591">
        <v>0</v>
      </c>
    </row>
    <row r="18" spans="1:21">
      <c r="A18" s="457">
        <v>2.2999999999999998</v>
      </c>
      <c r="B18" s="481" t="s">
        <v>647</v>
      </c>
      <c r="C18" s="594">
        <v>64000000</v>
      </c>
      <c r="D18" s="591">
        <v>64000000</v>
      </c>
      <c r="E18" s="591">
        <v>0</v>
      </c>
      <c r="F18" s="591">
        <v>0</v>
      </c>
      <c r="G18" s="591">
        <v>0</v>
      </c>
      <c r="H18" s="591">
        <v>0</v>
      </c>
      <c r="I18" s="591">
        <v>0</v>
      </c>
      <c r="J18" s="591">
        <v>0</v>
      </c>
      <c r="K18" s="591">
        <v>0</v>
      </c>
      <c r="L18" s="591">
        <v>0</v>
      </c>
      <c r="M18" s="591">
        <v>0</v>
      </c>
      <c r="N18" s="591">
        <v>0</v>
      </c>
      <c r="O18" s="591">
        <v>0</v>
      </c>
      <c r="P18" s="591">
        <v>0</v>
      </c>
      <c r="Q18" s="591">
        <v>0</v>
      </c>
      <c r="R18" s="591">
        <v>0</v>
      </c>
      <c r="S18" s="591">
        <v>0</v>
      </c>
      <c r="T18" s="591">
        <v>0</v>
      </c>
      <c r="U18" s="591">
        <v>0</v>
      </c>
    </row>
    <row r="19" spans="1:21">
      <c r="A19" s="457">
        <v>2.4</v>
      </c>
      <c r="B19" s="481" t="s">
        <v>648</v>
      </c>
      <c r="C19" s="594">
        <v>5000000</v>
      </c>
      <c r="D19" s="591">
        <v>5000000</v>
      </c>
      <c r="E19" s="591">
        <v>0</v>
      </c>
      <c r="F19" s="591">
        <v>0</v>
      </c>
      <c r="G19" s="591">
        <v>0</v>
      </c>
      <c r="H19" s="591">
        <v>0</v>
      </c>
      <c r="I19" s="591">
        <v>0</v>
      </c>
      <c r="J19" s="591">
        <v>0</v>
      </c>
      <c r="K19" s="591">
        <v>0</v>
      </c>
      <c r="L19" s="591">
        <v>0</v>
      </c>
      <c r="M19" s="591">
        <v>0</v>
      </c>
      <c r="N19" s="591">
        <v>0</v>
      </c>
      <c r="O19" s="591">
        <v>0</v>
      </c>
      <c r="P19" s="591">
        <v>0</v>
      </c>
      <c r="Q19" s="591">
        <v>0</v>
      </c>
      <c r="R19" s="591">
        <v>0</v>
      </c>
      <c r="S19" s="591">
        <v>0</v>
      </c>
      <c r="T19" s="591">
        <v>0</v>
      </c>
      <c r="U19" s="591">
        <v>0</v>
      </c>
    </row>
    <row r="20" spans="1:21">
      <c r="A20" s="457">
        <v>2.5</v>
      </c>
      <c r="B20" s="481" t="s">
        <v>649</v>
      </c>
      <c r="C20" s="594">
        <v>0</v>
      </c>
      <c r="D20" s="591">
        <v>0</v>
      </c>
      <c r="E20" s="591">
        <v>0</v>
      </c>
      <c r="F20" s="591">
        <v>0</v>
      </c>
      <c r="G20" s="591">
        <v>0</v>
      </c>
      <c r="H20" s="591">
        <v>0</v>
      </c>
      <c r="I20" s="591">
        <v>0</v>
      </c>
      <c r="J20" s="591">
        <v>0</v>
      </c>
      <c r="K20" s="591">
        <v>0</v>
      </c>
      <c r="L20" s="591">
        <v>0</v>
      </c>
      <c r="M20" s="591">
        <v>0</v>
      </c>
      <c r="N20" s="591">
        <v>0</v>
      </c>
      <c r="O20" s="591">
        <v>0</v>
      </c>
      <c r="P20" s="591">
        <v>0</v>
      </c>
      <c r="Q20" s="591">
        <v>0</v>
      </c>
      <c r="R20" s="591">
        <v>0</v>
      </c>
      <c r="S20" s="591">
        <v>0</v>
      </c>
      <c r="T20" s="591">
        <v>0</v>
      </c>
      <c r="U20" s="591">
        <v>0</v>
      </c>
    </row>
    <row r="21" spans="1:21">
      <c r="A21" s="457">
        <v>2.6</v>
      </c>
      <c r="B21" s="481" t="s">
        <v>650</v>
      </c>
      <c r="C21" s="594">
        <v>0</v>
      </c>
      <c r="D21" s="591">
        <v>0</v>
      </c>
      <c r="E21" s="591">
        <v>0</v>
      </c>
      <c r="F21" s="591">
        <v>0</v>
      </c>
      <c r="G21" s="591">
        <v>0</v>
      </c>
      <c r="H21" s="591">
        <v>0</v>
      </c>
      <c r="I21" s="591">
        <v>0</v>
      </c>
      <c r="J21" s="591">
        <v>0</v>
      </c>
      <c r="K21" s="591">
        <v>0</v>
      </c>
      <c r="L21" s="591">
        <v>0</v>
      </c>
      <c r="M21" s="591">
        <v>0</v>
      </c>
      <c r="N21" s="591">
        <v>0</v>
      </c>
      <c r="O21" s="591">
        <v>0</v>
      </c>
      <c r="P21" s="591">
        <v>0</v>
      </c>
      <c r="Q21" s="591">
        <v>0</v>
      </c>
      <c r="R21" s="591">
        <v>0</v>
      </c>
      <c r="S21" s="591">
        <v>0</v>
      </c>
      <c r="T21" s="591">
        <v>0</v>
      </c>
      <c r="U21" s="591">
        <v>0</v>
      </c>
    </row>
    <row r="22" spans="1:21">
      <c r="A22" s="480">
        <v>3</v>
      </c>
      <c r="B22" s="449" t="s">
        <v>652</v>
      </c>
      <c r="C22" s="590">
        <v>81042219.422799975</v>
      </c>
      <c r="D22" s="591">
        <v>47577585.24279999</v>
      </c>
      <c r="E22" s="482"/>
      <c r="F22" s="482"/>
      <c r="G22" s="591">
        <v>5151734.05</v>
      </c>
      <c r="H22" s="482"/>
      <c r="I22" s="482"/>
      <c r="J22" s="482"/>
      <c r="K22" s="482"/>
      <c r="L22" s="591">
        <v>0</v>
      </c>
      <c r="M22" s="482"/>
      <c r="N22" s="482"/>
      <c r="O22" s="482"/>
      <c r="P22" s="482"/>
      <c r="Q22" s="482"/>
      <c r="R22" s="482"/>
      <c r="S22" s="482"/>
      <c r="T22" s="482"/>
      <c r="U22" s="591">
        <v>0</v>
      </c>
    </row>
    <row r="23" spans="1:21">
      <c r="A23" s="457">
        <v>3.1</v>
      </c>
      <c r="B23" s="481" t="s">
        <v>645</v>
      </c>
      <c r="C23" s="594">
        <v>0</v>
      </c>
      <c r="D23" s="591">
        <v>0</v>
      </c>
      <c r="E23" s="482"/>
      <c r="F23" s="482"/>
      <c r="G23" s="591">
        <v>0</v>
      </c>
      <c r="H23" s="482"/>
      <c r="I23" s="482"/>
      <c r="J23" s="482"/>
      <c r="K23" s="482"/>
      <c r="L23" s="591">
        <v>0</v>
      </c>
      <c r="M23" s="482"/>
      <c r="N23" s="482"/>
      <c r="O23" s="482"/>
      <c r="P23" s="482"/>
      <c r="Q23" s="482"/>
      <c r="R23" s="482"/>
      <c r="S23" s="482"/>
      <c r="T23" s="482"/>
      <c r="U23" s="591">
        <v>0</v>
      </c>
    </row>
    <row r="24" spans="1:21">
      <c r="A24" s="457">
        <v>3.2</v>
      </c>
      <c r="B24" s="481" t="s">
        <v>646</v>
      </c>
      <c r="C24" s="594">
        <v>0</v>
      </c>
      <c r="D24" s="591">
        <v>0</v>
      </c>
      <c r="E24" s="482"/>
      <c r="F24" s="482"/>
      <c r="G24" s="591">
        <v>0</v>
      </c>
      <c r="H24" s="482"/>
      <c r="I24" s="482"/>
      <c r="J24" s="482"/>
      <c r="K24" s="482"/>
      <c r="L24" s="591">
        <v>0</v>
      </c>
      <c r="M24" s="482"/>
      <c r="N24" s="482"/>
      <c r="O24" s="482"/>
      <c r="P24" s="482"/>
      <c r="Q24" s="482"/>
      <c r="R24" s="482"/>
      <c r="S24" s="482"/>
      <c r="T24" s="482"/>
      <c r="U24" s="591">
        <v>0</v>
      </c>
    </row>
    <row r="25" spans="1:21">
      <c r="A25" s="457">
        <v>3.3</v>
      </c>
      <c r="B25" s="481" t="s">
        <v>647</v>
      </c>
      <c r="C25" s="594">
        <v>0</v>
      </c>
      <c r="D25" s="591">
        <v>0</v>
      </c>
      <c r="E25" s="482"/>
      <c r="F25" s="482"/>
      <c r="G25" s="591">
        <v>0</v>
      </c>
      <c r="H25" s="482"/>
      <c r="I25" s="482"/>
      <c r="J25" s="482"/>
      <c r="K25" s="482"/>
      <c r="L25" s="591">
        <v>0</v>
      </c>
      <c r="M25" s="482"/>
      <c r="N25" s="482"/>
      <c r="O25" s="482"/>
      <c r="P25" s="482"/>
      <c r="Q25" s="482"/>
      <c r="R25" s="482"/>
      <c r="S25" s="482"/>
      <c r="T25" s="482"/>
      <c r="U25" s="591">
        <v>0</v>
      </c>
    </row>
    <row r="26" spans="1:21">
      <c r="A26" s="457">
        <v>3.4</v>
      </c>
      <c r="B26" s="481" t="s">
        <v>648</v>
      </c>
      <c r="C26" s="594">
        <v>2646564.98</v>
      </c>
      <c r="D26" s="591">
        <v>1947331.7999999998</v>
      </c>
      <c r="E26" s="482"/>
      <c r="F26" s="482"/>
      <c r="G26" s="591">
        <v>0</v>
      </c>
      <c r="H26" s="482"/>
      <c r="I26" s="482"/>
      <c r="J26" s="482"/>
      <c r="K26" s="482"/>
      <c r="L26" s="591">
        <v>0</v>
      </c>
      <c r="M26" s="482"/>
      <c r="N26" s="482"/>
      <c r="O26" s="482"/>
      <c r="P26" s="482"/>
      <c r="Q26" s="482"/>
      <c r="R26" s="482"/>
      <c r="S26" s="482"/>
      <c r="T26" s="482"/>
      <c r="U26" s="591">
        <v>0</v>
      </c>
    </row>
    <row r="27" spans="1:21">
      <c r="A27" s="457">
        <v>3.5</v>
      </c>
      <c r="B27" s="481" t="s">
        <v>649</v>
      </c>
      <c r="C27" s="594">
        <v>78395654.442799971</v>
      </c>
      <c r="D27" s="591">
        <v>45630253.442799993</v>
      </c>
      <c r="E27" s="482"/>
      <c r="F27" s="482"/>
      <c r="G27" s="591">
        <v>5151734.05</v>
      </c>
      <c r="H27" s="482"/>
      <c r="I27" s="482"/>
      <c r="J27" s="482"/>
      <c r="K27" s="482"/>
      <c r="L27" s="591">
        <v>0</v>
      </c>
      <c r="M27" s="482"/>
      <c r="N27" s="482"/>
      <c r="O27" s="482"/>
      <c r="P27" s="482"/>
      <c r="Q27" s="482"/>
      <c r="R27" s="482"/>
      <c r="S27" s="482"/>
      <c r="T27" s="482"/>
      <c r="U27" s="591">
        <v>0</v>
      </c>
    </row>
    <row r="28" spans="1:21">
      <c r="A28" s="457">
        <v>3.6</v>
      </c>
      <c r="B28" s="481" t="s">
        <v>650</v>
      </c>
      <c r="C28" s="594">
        <v>0</v>
      </c>
      <c r="D28" s="591">
        <v>0</v>
      </c>
      <c r="E28" s="482"/>
      <c r="F28" s="482"/>
      <c r="G28" s="591">
        <v>0</v>
      </c>
      <c r="H28" s="482"/>
      <c r="I28" s="482"/>
      <c r="J28" s="482"/>
      <c r="K28" s="482"/>
      <c r="L28" s="591">
        <v>0</v>
      </c>
      <c r="M28" s="482"/>
      <c r="N28" s="482"/>
      <c r="O28" s="482"/>
      <c r="P28" s="482"/>
      <c r="Q28" s="482"/>
      <c r="R28" s="482"/>
      <c r="S28" s="482"/>
      <c r="T28" s="482"/>
      <c r="U28" s="591">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90" zoomScaleNormal="90" workbookViewId="0">
      <selection activeCell="B1" sqref="B1"/>
    </sheetView>
  </sheetViews>
  <sheetFormatPr defaultColWidth="9.140625" defaultRowHeight="12.75"/>
  <cols>
    <col min="1" max="1" width="11.85546875" style="443" bestFit="1" customWidth="1"/>
    <col min="2" max="2" width="90.28515625" style="443" bestFit="1" customWidth="1"/>
    <col min="3" max="3" width="20.140625" style="443" customWidth="1"/>
    <col min="4" max="4" width="22.28515625" style="443" customWidth="1"/>
    <col min="5" max="5" width="17.140625" style="443" customWidth="1"/>
    <col min="6" max="7" width="22.28515625" style="443" customWidth="1"/>
    <col min="8" max="8" width="17.140625" style="443" customWidth="1"/>
    <col min="9" max="14" width="22.28515625" style="443" customWidth="1"/>
    <col min="15" max="15" width="23.28515625" style="443" bestFit="1" customWidth="1"/>
    <col min="16" max="16" width="21.7109375" style="443" bestFit="1" customWidth="1"/>
    <col min="17" max="19" width="19" style="443" bestFit="1" customWidth="1"/>
    <col min="20" max="20" width="15.42578125" style="443" customWidth="1"/>
    <col min="21" max="21" width="20" style="443" customWidth="1"/>
    <col min="22" max="16384" width="9.140625" style="443"/>
  </cols>
  <sheetData>
    <row r="1" spans="1:21">
      <c r="A1" s="442" t="s">
        <v>188</v>
      </c>
      <c r="B1" s="624" t="str">
        <f>'1. key ratios'!B1</f>
        <v>ს.ს. "ტერაბანკი"</v>
      </c>
    </row>
    <row r="2" spans="1:21">
      <c r="A2" s="442" t="s">
        <v>189</v>
      </c>
    </row>
    <row r="3" spans="1:21">
      <c r="A3" s="444" t="s">
        <v>653</v>
      </c>
      <c r="B3" s="445">
        <f>'1. key ratios'!B2</f>
        <v>44834</v>
      </c>
      <c r="C3" s="445"/>
    </row>
    <row r="4" spans="1:21">
      <c r="A4" s="444"/>
      <c r="B4" s="445"/>
      <c r="C4" s="445"/>
    </row>
    <row r="5" spans="1:21" ht="13.5" customHeight="1">
      <c r="A5" s="706" t="s">
        <v>654</v>
      </c>
      <c r="B5" s="707"/>
      <c r="C5" s="712" t="s">
        <v>655</v>
      </c>
      <c r="D5" s="713"/>
      <c r="E5" s="713"/>
      <c r="F5" s="713"/>
      <c r="G5" s="713"/>
      <c r="H5" s="713"/>
      <c r="I5" s="713"/>
      <c r="J5" s="713"/>
      <c r="K5" s="713"/>
      <c r="L5" s="713"/>
      <c r="M5" s="713"/>
      <c r="N5" s="713"/>
      <c r="O5" s="713"/>
      <c r="P5" s="713"/>
      <c r="Q5" s="713"/>
      <c r="R5" s="713"/>
      <c r="S5" s="713"/>
      <c r="T5" s="714"/>
      <c r="U5" s="475"/>
    </row>
    <row r="6" spans="1:21">
      <c r="A6" s="708"/>
      <c r="B6" s="709"/>
      <c r="C6" s="693" t="s">
        <v>68</v>
      </c>
      <c r="D6" s="712" t="s">
        <v>656</v>
      </c>
      <c r="E6" s="713"/>
      <c r="F6" s="714"/>
      <c r="G6" s="712" t="s">
        <v>657</v>
      </c>
      <c r="H6" s="713"/>
      <c r="I6" s="713"/>
      <c r="J6" s="713"/>
      <c r="K6" s="714"/>
      <c r="L6" s="715" t="s">
        <v>658</v>
      </c>
      <c r="M6" s="716"/>
      <c r="N6" s="716"/>
      <c r="O6" s="716"/>
      <c r="P6" s="716"/>
      <c r="Q6" s="716"/>
      <c r="R6" s="716"/>
      <c r="S6" s="716"/>
      <c r="T6" s="717"/>
      <c r="U6" s="476"/>
    </row>
    <row r="7" spans="1:21" ht="25.5">
      <c r="A7" s="710"/>
      <c r="B7" s="711"/>
      <c r="C7" s="693"/>
      <c r="E7" s="493" t="s">
        <v>632</v>
      </c>
      <c r="F7" s="455" t="s">
        <v>633</v>
      </c>
      <c r="H7" s="493" t="s">
        <v>632</v>
      </c>
      <c r="I7" s="455" t="s">
        <v>659</v>
      </c>
      <c r="J7" s="455" t="s">
        <v>634</v>
      </c>
      <c r="K7" s="455" t="s">
        <v>635</v>
      </c>
      <c r="L7" s="483"/>
      <c r="M7" s="493" t="s">
        <v>636</v>
      </c>
      <c r="N7" s="455" t="s">
        <v>634</v>
      </c>
      <c r="O7" s="455" t="s">
        <v>637</v>
      </c>
      <c r="P7" s="455" t="s">
        <v>638</v>
      </c>
      <c r="Q7" s="455" t="s">
        <v>639</v>
      </c>
      <c r="R7" s="455" t="s">
        <v>640</v>
      </c>
      <c r="S7" s="455" t="s">
        <v>641</v>
      </c>
      <c r="T7" s="479" t="s">
        <v>642</v>
      </c>
      <c r="U7" s="475"/>
    </row>
    <row r="8" spans="1:21">
      <c r="A8" s="483">
        <v>1</v>
      </c>
      <c r="B8" s="473" t="s">
        <v>644</v>
      </c>
      <c r="C8" s="595">
        <v>1056036434.1899999</v>
      </c>
      <c r="D8" s="591">
        <v>930737254.57000077</v>
      </c>
      <c r="E8" s="591">
        <v>29572312.860000003</v>
      </c>
      <c r="F8" s="591">
        <v>3048101.06</v>
      </c>
      <c r="G8" s="591">
        <v>77493556.170000106</v>
      </c>
      <c r="H8" s="591">
        <v>10900130.729999999</v>
      </c>
      <c r="I8" s="591">
        <v>3655229.93</v>
      </c>
      <c r="J8" s="591">
        <v>605988.82000000007</v>
      </c>
      <c r="K8" s="591">
        <v>216678.74</v>
      </c>
      <c r="L8" s="591">
        <v>47805623.449998021</v>
      </c>
      <c r="M8" s="591">
        <v>9954153.5099999998</v>
      </c>
      <c r="N8" s="591">
        <v>2986280.3599999994</v>
      </c>
      <c r="O8" s="591">
        <v>5465405.0500000007</v>
      </c>
      <c r="P8" s="591">
        <v>4827041.95</v>
      </c>
      <c r="Q8" s="591">
        <v>5368686.59</v>
      </c>
      <c r="R8" s="591">
        <v>1527386.7100000002</v>
      </c>
      <c r="S8" s="591">
        <v>0</v>
      </c>
      <c r="T8" s="591">
        <v>0</v>
      </c>
    </row>
    <row r="9" spans="1:21">
      <c r="A9" s="481">
        <v>1.1000000000000001</v>
      </c>
      <c r="B9" s="481" t="s">
        <v>660</v>
      </c>
      <c r="C9" s="594">
        <v>269090698.30000007</v>
      </c>
      <c r="D9" s="591">
        <v>236968126.99000004</v>
      </c>
      <c r="E9" s="591">
        <v>9071567.8700000029</v>
      </c>
      <c r="F9" s="591">
        <v>0</v>
      </c>
      <c r="G9" s="591">
        <v>15445454.800000006</v>
      </c>
      <c r="H9" s="591">
        <v>2333896.36</v>
      </c>
      <c r="I9" s="591">
        <v>440654.75</v>
      </c>
      <c r="J9" s="591">
        <v>43658.330000000009</v>
      </c>
      <c r="K9" s="591">
        <v>0</v>
      </c>
      <c r="L9" s="591">
        <v>16677116.509999994</v>
      </c>
      <c r="M9" s="591">
        <v>2732878.2699999996</v>
      </c>
      <c r="N9" s="591">
        <v>838521.12999999989</v>
      </c>
      <c r="O9" s="591">
        <v>3211756.6900000009</v>
      </c>
      <c r="P9" s="591">
        <v>1035850.2</v>
      </c>
      <c r="Q9" s="591">
        <v>1812040.2</v>
      </c>
      <c r="R9" s="591">
        <v>243412.78000000003</v>
      </c>
      <c r="S9" s="591">
        <v>0</v>
      </c>
      <c r="T9" s="591">
        <v>0</v>
      </c>
    </row>
    <row r="10" spans="1:21">
      <c r="A10" s="484" t="s">
        <v>252</v>
      </c>
      <c r="B10" s="484" t="s">
        <v>661</v>
      </c>
      <c r="C10" s="596">
        <v>898402572.330001</v>
      </c>
      <c r="D10" s="591">
        <v>778141885.4100008</v>
      </c>
      <c r="E10" s="591">
        <v>27388370.469999999</v>
      </c>
      <c r="F10" s="591">
        <v>2548105.69</v>
      </c>
      <c r="G10" s="591">
        <v>75511576.090000018</v>
      </c>
      <c r="H10" s="591">
        <v>10663297.220000001</v>
      </c>
      <c r="I10" s="591">
        <v>3202831.0700000003</v>
      </c>
      <c r="J10" s="591">
        <v>540404.04</v>
      </c>
      <c r="K10" s="591">
        <v>150249.18</v>
      </c>
      <c r="L10" s="591">
        <v>44749110.829999991</v>
      </c>
      <c r="M10" s="591">
        <v>9565771.6000000015</v>
      </c>
      <c r="N10" s="591">
        <v>2475067.27</v>
      </c>
      <c r="O10" s="591">
        <v>4932177.04</v>
      </c>
      <c r="P10" s="591">
        <v>3959712.4899999993</v>
      </c>
      <c r="Q10" s="591">
        <v>5318421.22</v>
      </c>
      <c r="R10" s="591">
        <v>1493875.75</v>
      </c>
      <c r="S10" s="591">
        <v>0</v>
      </c>
      <c r="T10" s="591">
        <v>0</v>
      </c>
    </row>
    <row r="11" spans="1:21">
      <c r="A11" s="485" t="s">
        <v>662</v>
      </c>
      <c r="B11" s="485" t="s">
        <v>663</v>
      </c>
      <c r="C11" s="597">
        <v>533247662.61999869</v>
      </c>
      <c r="D11" s="591">
        <v>452136040.32999867</v>
      </c>
      <c r="E11" s="591">
        <v>11033929.810000001</v>
      </c>
      <c r="F11" s="591">
        <v>2548105.69</v>
      </c>
      <c r="G11" s="591">
        <v>52829444.340000033</v>
      </c>
      <c r="H11" s="591">
        <v>6599682.2500000037</v>
      </c>
      <c r="I11" s="591">
        <v>1660579.5699999998</v>
      </c>
      <c r="J11" s="591">
        <v>338267.06000000006</v>
      </c>
      <c r="K11" s="591">
        <v>114097.33</v>
      </c>
      <c r="L11" s="591">
        <v>28282177.949999996</v>
      </c>
      <c r="M11" s="591">
        <v>6526996.4799999977</v>
      </c>
      <c r="N11" s="591">
        <v>1521453.0499999998</v>
      </c>
      <c r="O11" s="591">
        <v>3430312.87</v>
      </c>
      <c r="P11" s="591">
        <v>1490703.94</v>
      </c>
      <c r="Q11" s="591">
        <v>2903066.0000000005</v>
      </c>
      <c r="R11" s="591">
        <v>1233345.72</v>
      </c>
      <c r="S11" s="591">
        <v>0</v>
      </c>
      <c r="T11" s="591">
        <v>0</v>
      </c>
    </row>
    <row r="12" spans="1:21">
      <c r="A12" s="485" t="s">
        <v>664</v>
      </c>
      <c r="B12" s="485" t="s">
        <v>665</v>
      </c>
      <c r="C12" s="597">
        <v>171381504.81999969</v>
      </c>
      <c r="D12" s="591">
        <v>155150972.06999981</v>
      </c>
      <c r="E12" s="591">
        <v>9505303.5800000019</v>
      </c>
      <c r="F12" s="591">
        <v>0</v>
      </c>
      <c r="G12" s="591">
        <v>10740841.6</v>
      </c>
      <c r="H12" s="591">
        <v>2713447.8599999994</v>
      </c>
      <c r="I12" s="591">
        <v>833454.52999999991</v>
      </c>
      <c r="J12" s="591">
        <v>0</v>
      </c>
      <c r="K12" s="591">
        <v>0</v>
      </c>
      <c r="L12" s="591">
        <v>5489691.1500000004</v>
      </c>
      <c r="M12" s="591">
        <v>752930.34000000008</v>
      </c>
      <c r="N12" s="591">
        <v>9670.15</v>
      </c>
      <c r="O12" s="591">
        <v>61280.52</v>
      </c>
      <c r="P12" s="591">
        <v>1723154.47</v>
      </c>
      <c r="Q12" s="591">
        <v>975096.75</v>
      </c>
      <c r="R12" s="591">
        <v>187482.76</v>
      </c>
      <c r="S12" s="591">
        <v>0</v>
      </c>
      <c r="T12" s="591">
        <v>0</v>
      </c>
    </row>
    <row r="13" spans="1:21">
      <c r="A13" s="485" t="s">
        <v>666</v>
      </c>
      <c r="B13" s="485" t="s">
        <v>667</v>
      </c>
      <c r="C13" s="597">
        <v>78264828.62999998</v>
      </c>
      <c r="D13" s="591">
        <v>70728876.160000026</v>
      </c>
      <c r="E13" s="591">
        <v>862410.92</v>
      </c>
      <c r="F13" s="591">
        <v>0</v>
      </c>
      <c r="G13" s="591">
        <v>2008925.6600000001</v>
      </c>
      <c r="H13" s="591">
        <v>489782.73</v>
      </c>
      <c r="I13" s="591">
        <v>103623.13</v>
      </c>
      <c r="J13" s="591">
        <v>202136.97999999998</v>
      </c>
      <c r="K13" s="591">
        <v>36151.85</v>
      </c>
      <c r="L13" s="591">
        <v>5527026.8099999996</v>
      </c>
      <c r="M13" s="591">
        <v>1013460.4299999999</v>
      </c>
      <c r="N13" s="591">
        <v>0</v>
      </c>
      <c r="O13" s="591">
        <v>1425876.9300000002</v>
      </c>
      <c r="P13" s="591">
        <v>733354.08</v>
      </c>
      <c r="Q13" s="591">
        <v>324165.26</v>
      </c>
      <c r="R13" s="591">
        <v>0</v>
      </c>
      <c r="S13" s="591">
        <v>0</v>
      </c>
      <c r="T13" s="591">
        <v>0</v>
      </c>
    </row>
    <row r="14" spans="1:21">
      <c r="A14" s="485" t="s">
        <v>668</v>
      </c>
      <c r="B14" s="485" t="s">
        <v>669</v>
      </c>
      <c r="C14" s="597">
        <v>115508576.25999996</v>
      </c>
      <c r="D14" s="591">
        <v>100125996.84999999</v>
      </c>
      <c r="E14" s="591">
        <v>5986726.1600000011</v>
      </c>
      <c r="F14" s="591">
        <v>0</v>
      </c>
      <c r="G14" s="591">
        <v>9932364.4900000021</v>
      </c>
      <c r="H14" s="591">
        <v>860384.37999999989</v>
      </c>
      <c r="I14" s="591">
        <v>605173.84</v>
      </c>
      <c r="J14" s="591">
        <v>0</v>
      </c>
      <c r="K14" s="591">
        <v>0</v>
      </c>
      <c r="L14" s="591">
        <v>5450214.9199999999</v>
      </c>
      <c r="M14" s="591">
        <v>1272384.3500000001</v>
      </c>
      <c r="N14" s="591">
        <v>943944.07000000007</v>
      </c>
      <c r="O14" s="591">
        <v>14706.72</v>
      </c>
      <c r="P14" s="591">
        <v>12500</v>
      </c>
      <c r="Q14" s="591">
        <v>1116093.21</v>
      </c>
      <c r="R14" s="591">
        <v>73047.26999999999</v>
      </c>
      <c r="S14" s="591">
        <v>0</v>
      </c>
      <c r="T14" s="591">
        <v>0</v>
      </c>
    </row>
    <row r="15" spans="1:21">
      <c r="A15" s="486">
        <v>1.2</v>
      </c>
      <c r="B15" s="486" t="s">
        <v>670</v>
      </c>
      <c r="C15" s="598">
        <v>11958127.430000009</v>
      </c>
      <c r="D15" s="591">
        <v>4739362.7599999979</v>
      </c>
      <c r="E15" s="591">
        <v>181431.35000000003</v>
      </c>
      <c r="F15" s="591">
        <v>0</v>
      </c>
      <c r="G15" s="591">
        <v>1544545.5700000005</v>
      </c>
      <c r="H15" s="591">
        <v>233389.62999999998</v>
      </c>
      <c r="I15" s="591">
        <v>44065.48</v>
      </c>
      <c r="J15" s="591">
        <v>4365.84</v>
      </c>
      <c r="K15" s="591">
        <v>0</v>
      </c>
      <c r="L15" s="591">
        <v>5674219.1000000015</v>
      </c>
      <c r="M15" s="591">
        <v>888295.51</v>
      </c>
      <c r="N15" s="591">
        <v>254180.38999999996</v>
      </c>
      <c r="O15" s="591">
        <v>1018399.3</v>
      </c>
      <c r="P15" s="591">
        <v>360045.99</v>
      </c>
      <c r="Q15" s="591">
        <v>906020.14999999991</v>
      </c>
      <c r="R15" s="591">
        <v>121706.41</v>
      </c>
      <c r="S15" s="591">
        <v>0</v>
      </c>
      <c r="T15" s="591">
        <v>0</v>
      </c>
    </row>
    <row r="16" spans="1:21">
      <c r="A16" s="481">
        <v>1.3</v>
      </c>
      <c r="B16" s="486" t="s">
        <v>671</v>
      </c>
      <c r="C16" s="487"/>
      <c r="D16" s="487"/>
      <c r="E16" s="487"/>
      <c r="F16" s="487"/>
      <c r="G16" s="487"/>
      <c r="H16" s="487"/>
      <c r="I16" s="487"/>
      <c r="J16" s="487"/>
      <c r="K16" s="487"/>
      <c r="L16" s="487"/>
      <c r="M16" s="487"/>
      <c r="N16" s="487"/>
      <c r="O16" s="487"/>
      <c r="P16" s="487"/>
      <c r="Q16" s="487"/>
      <c r="R16" s="487"/>
      <c r="S16" s="487"/>
      <c r="T16" s="487"/>
    </row>
    <row r="17" spans="1:20" ht="25.5">
      <c r="A17" s="488" t="s">
        <v>672</v>
      </c>
      <c r="B17" s="489" t="s">
        <v>673</v>
      </c>
      <c r="C17" s="599">
        <v>955371724.05000198</v>
      </c>
      <c r="D17" s="592">
        <v>834700929.36999905</v>
      </c>
      <c r="E17" s="592">
        <v>27928874.790000003</v>
      </c>
      <c r="F17" s="592">
        <v>3048101.06</v>
      </c>
      <c r="G17" s="592">
        <v>75634672.129999995</v>
      </c>
      <c r="H17" s="592">
        <v>10647531.190000003</v>
      </c>
      <c r="I17" s="592">
        <v>3343771.1400000006</v>
      </c>
      <c r="J17" s="592">
        <v>605988.82000000007</v>
      </c>
      <c r="K17" s="592">
        <v>150249.18</v>
      </c>
      <c r="L17" s="592">
        <v>45036122.550000004</v>
      </c>
      <c r="M17" s="592">
        <v>9597443.8200000003</v>
      </c>
      <c r="N17" s="592">
        <v>2684229.4299999997</v>
      </c>
      <c r="O17" s="592">
        <v>4994904.88</v>
      </c>
      <c r="P17" s="592">
        <v>4054486.6399999997</v>
      </c>
      <c r="Q17" s="592">
        <v>5318421.22</v>
      </c>
      <c r="R17" s="592">
        <v>1527386.7100000002</v>
      </c>
      <c r="S17" s="592">
        <v>0</v>
      </c>
      <c r="T17" s="592">
        <v>0</v>
      </c>
    </row>
    <row r="18" spans="1:20" ht="25.5">
      <c r="A18" s="490" t="s">
        <v>674</v>
      </c>
      <c r="B18" s="490" t="s">
        <v>675</v>
      </c>
      <c r="C18" s="600">
        <v>850892646.62000036</v>
      </c>
      <c r="D18" s="592">
        <v>733993479.33999896</v>
      </c>
      <c r="E18" s="592">
        <v>26192840.440000005</v>
      </c>
      <c r="F18" s="592">
        <v>2548105.69</v>
      </c>
      <c r="G18" s="592">
        <v>73366010.420000002</v>
      </c>
      <c r="H18" s="592">
        <v>10515172.480000002</v>
      </c>
      <c r="I18" s="592">
        <v>3143190.1300000004</v>
      </c>
      <c r="J18" s="592">
        <v>540404.04</v>
      </c>
      <c r="K18" s="592">
        <v>150249.18</v>
      </c>
      <c r="L18" s="592">
        <v>43533156.859999992</v>
      </c>
      <c r="M18" s="592">
        <v>9398032.5899999999</v>
      </c>
      <c r="N18" s="592">
        <v>2364116.33</v>
      </c>
      <c r="O18" s="592">
        <v>4910168.66</v>
      </c>
      <c r="P18" s="592">
        <v>3952970.7799999993</v>
      </c>
      <c r="Q18" s="592">
        <v>4921269.7699999996</v>
      </c>
      <c r="R18" s="592">
        <v>1483202.8800000001</v>
      </c>
      <c r="S18" s="592">
        <v>0</v>
      </c>
      <c r="T18" s="592">
        <v>0</v>
      </c>
    </row>
    <row r="19" spans="1:20">
      <c r="A19" s="488" t="s">
        <v>676</v>
      </c>
      <c r="B19" s="488" t="s">
        <v>677</v>
      </c>
      <c r="C19" s="601">
        <v>961653865.950001</v>
      </c>
      <c r="D19" s="592">
        <v>840665337.30000162</v>
      </c>
      <c r="E19" s="592">
        <v>21678616.610000003</v>
      </c>
      <c r="F19" s="592">
        <v>2500807.1200000006</v>
      </c>
      <c r="G19" s="592">
        <v>72244449.689999998</v>
      </c>
      <c r="H19" s="592">
        <v>12266135.259999998</v>
      </c>
      <c r="I19" s="592">
        <v>1693879.2299999997</v>
      </c>
      <c r="J19" s="592">
        <v>672257.82000000007</v>
      </c>
      <c r="K19" s="592">
        <v>104457.01000000001</v>
      </c>
      <c r="L19" s="592">
        <v>48744078.959999986</v>
      </c>
      <c r="M19" s="592">
        <v>10343882.950000003</v>
      </c>
      <c r="N19" s="592">
        <v>2858503.7100000004</v>
      </c>
      <c r="O19" s="592">
        <v>5097680.5900000008</v>
      </c>
      <c r="P19" s="592">
        <v>4117350.14</v>
      </c>
      <c r="Q19" s="592">
        <v>3913481.5099999993</v>
      </c>
      <c r="R19" s="592">
        <v>2103083.9</v>
      </c>
      <c r="S19" s="592">
        <v>0</v>
      </c>
      <c r="T19" s="592">
        <v>0</v>
      </c>
    </row>
    <row r="20" spans="1:20">
      <c r="A20" s="490" t="s">
        <v>678</v>
      </c>
      <c r="B20" s="490" t="s">
        <v>679</v>
      </c>
      <c r="C20" s="600">
        <v>847093238.32000005</v>
      </c>
      <c r="D20" s="592">
        <v>731344704.83999991</v>
      </c>
      <c r="E20" s="592">
        <v>17188278.349999994</v>
      </c>
      <c r="F20" s="592">
        <v>2264279.8800000004</v>
      </c>
      <c r="G20" s="592">
        <v>70037454.349999994</v>
      </c>
      <c r="H20" s="592">
        <v>11874980.379999999</v>
      </c>
      <c r="I20" s="592">
        <v>1513208.56</v>
      </c>
      <c r="J20" s="592">
        <v>620503.57000000007</v>
      </c>
      <c r="K20" s="592">
        <v>102663.31000000001</v>
      </c>
      <c r="L20" s="592">
        <v>45711079.129999988</v>
      </c>
      <c r="M20" s="592">
        <v>9709532.7500000019</v>
      </c>
      <c r="N20" s="592">
        <v>2473000.7400000002</v>
      </c>
      <c r="O20" s="592">
        <v>4985428.66</v>
      </c>
      <c r="P20" s="592">
        <v>4056530.44</v>
      </c>
      <c r="Q20" s="592">
        <v>3292085.6199999996</v>
      </c>
      <c r="R20" s="592">
        <v>1843050.5</v>
      </c>
      <c r="S20" s="592">
        <v>0</v>
      </c>
      <c r="T20" s="592">
        <v>0</v>
      </c>
    </row>
    <row r="21" spans="1:20">
      <c r="A21" s="491">
        <v>1.4</v>
      </c>
      <c r="B21" s="498" t="s">
        <v>712</v>
      </c>
      <c r="C21" s="602">
        <v>22640632.549999978</v>
      </c>
      <c r="D21" s="592">
        <v>22568119.029999979</v>
      </c>
      <c r="E21" s="592">
        <v>363750.19</v>
      </c>
      <c r="F21" s="592">
        <v>0</v>
      </c>
      <c r="G21" s="592">
        <v>40987.300000000003</v>
      </c>
      <c r="H21" s="592">
        <v>15356.22</v>
      </c>
      <c r="I21" s="592">
        <v>0</v>
      </c>
      <c r="J21" s="592">
        <v>0</v>
      </c>
      <c r="K21" s="592">
        <v>0</v>
      </c>
      <c r="L21" s="592">
        <v>31526.219999999998</v>
      </c>
      <c r="M21" s="592">
        <v>18838.009999999998</v>
      </c>
      <c r="N21" s="592">
        <v>0</v>
      </c>
      <c r="O21" s="592">
        <v>12688.21</v>
      </c>
      <c r="P21" s="592">
        <v>0</v>
      </c>
      <c r="Q21" s="592">
        <v>0</v>
      </c>
      <c r="R21" s="592">
        <v>0</v>
      </c>
      <c r="S21" s="592">
        <v>0</v>
      </c>
      <c r="T21" s="592">
        <v>0</v>
      </c>
    </row>
    <row r="22" spans="1:20">
      <c r="A22" s="491">
        <v>1.5</v>
      </c>
      <c r="B22" s="498" t="s">
        <v>713</v>
      </c>
      <c r="C22" s="602">
        <v>0</v>
      </c>
      <c r="D22" s="592">
        <v>0</v>
      </c>
      <c r="E22" s="592">
        <v>0</v>
      </c>
      <c r="F22" s="592">
        <v>0</v>
      </c>
      <c r="G22" s="592">
        <v>0</v>
      </c>
      <c r="H22" s="592">
        <v>0</v>
      </c>
      <c r="I22" s="592">
        <v>0</v>
      </c>
      <c r="J22" s="592">
        <v>0</v>
      </c>
      <c r="K22" s="592">
        <v>0</v>
      </c>
      <c r="L22" s="592">
        <v>0</v>
      </c>
      <c r="M22" s="592">
        <v>0</v>
      </c>
      <c r="N22" s="592">
        <v>0</v>
      </c>
      <c r="O22" s="592">
        <v>0</v>
      </c>
      <c r="P22" s="592">
        <v>0</v>
      </c>
      <c r="Q22" s="592">
        <v>0</v>
      </c>
      <c r="R22" s="592">
        <v>0</v>
      </c>
      <c r="S22" s="592">
        <v>0</v>
      </c>
      <c r="T22" s="592">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90" zoomScaleNormal="90" workbookViewId="0">
      <selection activeCell="B36" sqref="B36"/>
    </sheetView>
  </sheetViews>
  <sheetFormatPr defaultColWidth="9.140625" defaultRowHeight="12.75"/>
  <cols>
    <col min="1" max="1" width="11.85546875" style="443" bestFit="1" customWidth="1"/>
    <col min="2" max="2" width="93.42578125" style="443" customWidth="1"/>
    <col min="3" max="3" width="16.5703125" style="443" bestFit="1" customWidth="1"/>
    <col min="4" max="4" width="15.42578125" style="443" bestFit="1" customWidth="1"/>
    <col min="5" max="5" width="15" style="443" bestFit="1" customWidth="1"/>
    <col min="6" max="6" width="18" style="475" bestFit="1" customWidth="1"/>
    <col min="7" max="7" width="13.85546875" style="475" bestFit="1" customWidth="1"/>
    <col min="8" max="8" width="13.42578125" style="443" bestFit="1" customWidth="1"/>
    <col min="9" max="9" width="11.5703125" style="443" bestFit="1" customWidth="1"/>
    <col min="10" max="10" width="14.85546875" style="475" bestFit="1" customWidth="1"/>
    <col min="11" max="11" width="13.85546875" style="475" bestFit="1" customWidth="1"/>
    <col min="12" max="12" width="18" style="475" bestFit="1" customWidth="1"/>
    <col min="13" max="13" width="13.7109375" style="475" bestFit="1" customWidth="1"/>
    <col min="14" max="14" width="13.42578125" style="475" bestFit="1" customWidth="1"/>
    <col min="15" max="15" width="19" style="443" bestFit="1" customWidth="1"/>
    <col min="16" max="16384" width="9.140625" style="443"/>
  </cols>
  <sheetData>
    <row r="1" spans="1:15">
      <c r="A1" s="442" t="s">
        <v>188</v>
      </c>
      <c r="B1" s="624" t="str">
        <f>'1. key ratios'!B1</f>
        <v>ს.ს. "ტერაბანკი"</v>
      </c>
      <c r="F1" s="443"/>
      <c r="G1" s="443"/>
      <c r="J1" s="443"/>
      <c r="K1" s="443"/>
      <c r="L1" s="443"/>
      <c r="M1" s="443"/>
      <c r="N1" s="443"/>
    </row>
    <row r="2" spans="1:15">
      <c r="A2" s="442" t="s">
        <v>189</v>
      </c>
      <c r="F2" s="443"/>
      <c r="G2" s="443"/>
      <c r="J2" s="443"/>
      <c r="K2" s="443"/>
      <c r="L2" s="443"/>
      <c r="M2" s="443"/>
      <c r="N2" s="443"/>
    </row>
    <row r="3" spans="1:15">
      <c r="A3" s="444" t="s">
        <v>682</v>
      </c>
      <c r="B3" s="445">
        <f>'1. key ratios'!B2</f>
        <v>44834</v>
      </c>
      <c r="F3" s="443"/>
      <c r="G3" s="443"/>
      <c r="J3" s="443"/>
      <c r="K3" s="443"/>
      <c r="L3" s="443"/>
      <c r="M3" s="443"/>
      <c r="N3" s="443"/>
    </row>
    <row r="4" spans="1:15">
      <c r="F4" s="443"/>
      <c r="G4" s="443"/>
      <c r="J4" s="443"/>
      <c r="K4" s="443"/>
      <c r="L4" s="443"/>
      <c r="M4" s="443"/>
      <c r="N4" s="443"/>
    </row>
    <row r="5" spans="1:15" ht="37.5" customHeight="1">
      <c r="A5" s="673" t="s">
        <v>683</v>
      </c>
      <c r="B5" s="674"/>
      <c r="C5" s="718" t="s">
        <v>684</v>
      </c>
      <c r="D5" s="719"/>
      <c r="E5" s="719"/>
      <c r="F5" s="719"/>
      <c r="G5" s="719"/>
      <c r="H5" s="720"/>
      <c r="I5" s="718" t="s">
        <v>685</v>
      </c>
      <c r="J5" s="721"/>
      <c r="K5" s="721"/>
      <c r="L5" s="721"/>
      <c r="M5" s="721"/>
      <c r="N5" s="722"/>
      <c r="O5" s="723" t="s">
        <v>555</v>
      </c>
    </row>
    <row r="6" spans="1:15" ht="39.6" customHeight="1">
      <c r="A6" s="677"/>
      <c r="B6" s="678"/>
      <c r="C6" s="492"/>
      <c r="D6" s="493" t="s">
        <v>686</v>
      </c>
      <c r="E6" s="493" t="s">
        <v>687</v>
      </c>
      <c r="F6" s="493" t="s">
        <v>688</v>
      </c>
      <c r="G6" s="493" t="s">
        <v>689</v>
      </c>
      <c r="H6" s="493" t="s">
        <v>690</v>
      </c>
      <c r="I6" s="478"/>
      <c r="J6" s="493" t="s">
        <v>686</v>
      </c>
      <c r="K6" s="493" t="s">
        <v>687</v>
      </c>
      <c r="L6" s="493" t="s">
        <v>688</v>
      </c>
      <c r="M6" s="493" t="s">
        <v>689</v>
      </c>
      <c r="N6" s="493" t="s">
        <v>690</v>
      </c>
      <c r="O6" s="724"/>
    </row>
    <row r="7" spans="1:15" ht="15">
      <c r="A7" s="457">
        <v>1</v>
      </c>
      <c r="B7" s="463" t="s">
        <v>565</v>
      </c>
      <c r="C7" s="607">
        <v>68747270.628700003</v>
      </c>
      <c r="D7" s="608">
        <v>63341551.936300002</v>
      </c>
      <c r="E7" s="608">
        <v>3045285.0663999999</v>
      </c>
      <c r="F7" s="608">
        <v>1600282.6549999998</v>
      </c>
      <c r="G7" s="608">
        <v>476354.48300000001</v>
      </c>
      <c r="H7" s="608">
        <v>283796.48800000001</v>
      </c>
      <c r="I7" s="609">
        <v>2573364.9444999998</v>
      </c>
      <c r="J7" s="608">
        <v>1266777.7274999998</v>
      </c>
      <c r="K7" s="608">
        <v>304528.59909999999</v>
      </c>
      <c r="L7" s="608">
        <v>480084.81349999999</v>
      </c>
      <c r="M7" s="608">
        <v>238177.31640000001</v>
      </c>
      <c r="N7" s="608">
        <v>283796.48800000001</v>
      </c>
      <c r="O7" s="608">
        <v>423682.85882557358</v>
      </c>
    </row>
    <row r="8" spans="1:15">
      <c r="A8" s="457">
        <v>2</v>
      </c>
      <c r="B8" s="463" t="s">
        <v>566</v>
      </c>
      <c r="C8" s="603">
        <v>31974669.224399995</v>
      </c>
      <c r="D8" s="591">
        <v>30854227.999399997</v>
      </c>
      <c r="E8" s="591">
        <v>737048.55740000005</v>
      </c>
      <c r="F8" s="604">
        <v>194479.44160000002</v>
      </c>
      <c r="G8" s="604">
        <v>124774.3547</v>
      </c>
      <c r="H8" s="591">
        <v>64138.871299999999</v>
      </c>
      <c r="I8" s="591">
        <v>875546.05980000005</v>
      </c>
      <c r="J8" s="604">
        <v>616971.23499999999</v>
      </c>
      <c r="K8" s="604">
        <v>73704.905400000003</v>
      </c>
      <c r="L8" s="604">
        <v>58343.836600000002</v>
      </c>
      <c r="M8" s="604">
        <v>62387.211499999998</v>
      </c>
      <c r="N8" s="604">
        <v>64138.871299999999</v>
      </c>
      <c r="O8" s="591">
        <v>93929.092548491331</v>
      </c>
    </row>
    <row r="9" spans="1:15">
      <c r="A9" s="457">
        <v>3</v>
      </c>
      <c r="B9" s="463" t="s">
        <v>567</v>
      </c>
      <c r="C9" s="603">
        <v>29104439.378900003</v>
      </c>
      <c r="D9" s="591">
        <v>29067512.600000001</v>
      </c>
      <c r="E9" s="591">
        <v>36926.778899999998</v>
      </c>
      <c r="F9" s="605">
        <v>0</v>
      </c>
      <c r="G9" s="605">
        <v>0</v>
      </c>
      <c r="H9" s="591">
        <v>0</v>
      </c>
      <c r="I9" s="591">
        <v>585042.90580000007</v>
      </c>
      <c r="J9" s="605">
        <v>581350.22790000006</v>
      </c>
      <c r="K9" s="605">
        <v>3692.6779000000001</v>
      </c>
      <c r="L9" s="605">
        <v>0</v>
      </c>
      <c r="M9" s="605">
        <v>0</v>
      </c>
      <c r="N9" s="605">
        <v>0</v>
      </c>
      <c r="O9" s="591">
        <v>119.67842866123716</v>
      </c>
    </row>
    <row r="10" spans="1:15">
      <c r="A10" s="457">
        <v>4</v>
      </c>
      <c r="B10" s="463" t="s">
        <v>568</v>
      </c>
      <c r="C10" s="603">
        <v>88931165.182000011</v>
      </c>
      <c r="D10" s="591">
        <v>83486888.031300008</v>
      </c>
      <c r="E10" s="591">
        <v>3469027.7653000001</v>
      </c>
      <c r="F10" s="605">
        <v>1966967.6932999999</v>
      </c>
      <c r="G10" s="605">
        <v>0</v>
      </c>
      <c r="H10" s="591">
        <v>8281.6921000000002</v>
      </c>
      <c r="I10" s="591">
        <v>2615012.6582999998</v>
      </c>
      <c r="J10" s="605">
        <v>1669737.8355999996</v>
      </c>
      <c r="K10" s="605">
        <v>346902.783</v>
      </c>
      <c r="L10" s="605">
        <v>590090.34759999998</v>
      </c>
      <c r="M10" s="605">
        <v>0</v>
      </c>
      <c r="N10" s="605">
        <v>8281.6921000000002</v>
      </c>
      <c r="O10" s="591">
        <v>35388.73579206162</v>
      </c>
    </row>
    <row r="11" spans="1:15">
      <c r="A11" s="457">
        <v>5</v>
      </c>
      <c r="B11" s="463" t="s">
        <v>569</v>
      </c>
      <c r="C11" s="603">
        <v>81308529.688199982</v>
      </c>
      <c r="D11" s="591">
        <v>67396706.373799995</v>
      </c>
      <c r="E11" s="591">
        <v>9828916.9221999999</v>
      </c>
      <c r="F11" s="605">
        <v>2568984.2569999998</v>
      </c>
      <c r="G11" s="605">
        <v>1513922.1351999999</v>
      </c>
      <c r="H11" s="591">
        <v>0</v>
      </c>
      <c r="I11" s="591">
        <v>3858482.1307999995</v>
      </c>
      <c r="J11" s="605">
        <v>1347934.0644</v>
      </c>
      <c r="K11" s="605">
        <v>982891.71369999996</v>
      </c>
      <c r="L11" s="605">
        <v>770695.27009999997</v>
      </c>
      <c r="M11" s="605">
        <v>756961.08259999997</v>
      </c>
      <c r="N11" s="605">
        <v>0</v>
      </c>
      <c r="O11" s="591">
        <v>35540.978309201644</v>
      </c>
    </row>
    <row r="12" spans="1:15">
      <c r="A12" s="457">
        <v>6</v>
      </c>
      <c r="B12" s="463" t="s">
        <v>570</v>
      </c>
      <c r="C12" s="603">
        <v>30507240.390300002</v>
      </c>
      <c r="D12" s="591">
        <v>21926447.016400002</v>
      </c>
      <c r="E12" s="591">
        <v>7144865.3955999995</v>
      </c>
      <c r="F12" s="605">
        <v>1054671.75</v>
      </c>
      <c r="G12" s="605">
        <v>345200.03830000001</v>
      </c>
      <c r="H12" s="591">
        <v>36056.19</v>
      </c>
      <c r="I12" s="591">
        <v>1678073.2937</v>
      </c>
      <c r="J12" s="605">
        <v>438528.98340000003</v>
      </c>
      <c r="K12" s="605">
        <v>714486.53700000001</v>
      </c>
      <c r="L12" s="605">
        <v>316401.53000000003</v>
      </c>
      <c r="M12" s="605">
        <v>172600.0533</v>
      </c>
      <c r="N12" s="605">
        <v>36056.19</v>
      </c>
      <c r="O12" s="591">
        <v>31740.470713126844</v>
      </c>
    </row>
    <row r="13" spans="1:15">
      <c r="A13" s="457">
        <v>7</v>
      </c>
      <c r="B13" s="463" t="s">
        <v>571</v>
      </c>
      <c r="C13" s="603">
        <v>57118189.133200012</v>
      </c>
      <c r="D13" s="591">
        <v>55249655.827100009</v>
      </c>
      <c r="E13" s="591">
        <v>598529.54019999993</v>
      </c>
      <c r="F13" s="605">
        <v>1225706.4059000001</v>
      </c>
      <c r="G13" s="605">
        <v>35819.550000000003</v>
      </c>
      <c r="H13" s="591">
        <v>8477.81</v>
      </c>
      <c r="I13" s="591">
        <v>1558945.5144</v>
      </c>
      <c r="J13" s="605">
        <v>1104993.0458</v>
      </c>
      <c r="K13" s="605">
        <v>59852.962500000001</v>
      </c>
      <c r="L13" s="605">
        <v>367711.91610000003</v>
      </c>
      <c r="M13" s="605">
        <v>17909.78</v>
      </c>
      <c r="N13" s="605">
        <v>8477.81</v>
      </c>
      <c r="O13" s="591">
        <v>1944.0016127991789</v>
      </c>
    </row>
    <row r="14" spans="1:15">
      <c r="A14" s="457">
        <v>8</v>
      </c>
      <c r="B14" s="463" t="s">
        <v>572</v>
      </c>
      <c r="C14" s="603">
        <v>53119290.651400007</v>
      </c>
      <c r="D14" s="591">
        <v>49844672.638900004</v>
      </c>
      <c r="E14" s="591">
        <v>2160777.4352000002</v>
      </c>
      <c r="F14" s="605">
        <v>859556.22730000003</v>
      </c>
      <c r="G14" s="605">
        <v>193696.61</v>
      </c>
      <c r="H14" s="591">
        <v>60587.74</v>
      </c>
      <c r="I14" s="591">
        <v>1628274.2180000001</v>
      </c>
      <c r="J14" s="605">
        <v>996893.52</v>
      </c>
      <c r="K14" s="605">
        <v>216077.74059999999</v>
      </c>
      <c r="L14" s="605">
        <v>257866.88740000001</v>
      </c>
      <c r="M14" s="605">
        <v>96848.33</v>
      </c>
      <c r="N14" s="605">
        <v>60587.74</v>
      </c>
      <c r="O14" s="591">
        <v>14191.201264511217</v>
      </c>
    </row>
    <row r="15" spans="1:15">
      <c r="A15" s="457">
        <v>9</v>
      </c>
      <c r="B15" s="463" t="s">
        <v>573</v>
      </c>
      <c r="C15" s="603">
        <v>30775406.034799997</v>
      </c>
      <c r="D15" s="591">
        <v>30525372.267799996</v>
      </c>
      <c r="E15" s="591">
        <v>238142.057</v>
      </c>
      <c r="F15" s="605">
        <v>2849.57</v>
      </c>
      <c r="G15" s="605">
        <v>9042.14</v>
      </c>
      <c r="H15" s="591">
        <v>0</v>
      </c>
      <c r="I15" s="591">
        <v>639697.6078</v>
      </c>
      <c r="J15" s="605">
        <v>610507.4621</v>
      </c>
      <c r="K15" s="605">
        <v>23814.205699999999</v>
      </c>
      <c r="L15" s="605">
        <v>854.87</v>
      </c>
      <c r="M15" s="605">
        <v>4521.07</v>
      </c>
      <c r="N15" s="605">
        <v>0</v>
      </c>
      <c r="O15" s="591">
        <v>81.260166210129512</v>
      </c>
    </row>
    <row r="16" spans="1:15">
      <c r="A16" s="457">
        <v>10</v>
      </c>
      <c r="B16" s="463" t="s">
        <v>574</v>
      </c>
      <c r="C16" s="603">
        <v>12739176.498600001</v>
      </c>
      <c r="D16" s="591">
        <v>10287050.387600001</v>
      </c>
      <c r="E16" s="591">
        <v>1715090.9815</v>
      </c>
      <c r="F16" s="605">
        <v>737035.12950000004</v>
      </c>
      <c r="G16" s="605">
        <v>0</v>
      </c>
      <c r="H16" s="591">
        <v>0</v>
      </c>
      <c r="I16" s="591">
        <v>598360.6325999999</v>
      </c>
      <c r="J16" s="605">
        <v>205740.99549999999</v>
      </c>
      <c r="K16" s="605">
        <v>171509.09889999998</v>
      </c>
      <c r="L16" s="605">
        <v>221110.53820000001</v>
      </c>
      <c r="M16" s="605">
        <v>0</v>
      </c>
      <c r="N16" s="605">
        <v>0</v>
      </c>
      <c r="O16" s="591">
        <v>81.634225513843916</v>
      </c>
    </row>
    <row r="17" spans="1:15">
      <c r="A17" s="457">
        <v>11</v>
      </c>
      <c r="B17" s="463" t="s">
        <v>575</v>
      </c>
      <c r="C17" s="603">
        <v>7249175.6243000003</v>
      </c>
      <c r="D17" s="591">
        <v>5714347.4963999996</v>
      </c>
      <c r="E17" s="591">
        <v>744864.42579999997</v>
      </c>
      <c r="F17" s="605">
        <v>93630.842000000004</v>
      </c>
      <c r="G17" s="605">
        <v>696332.86010000005</v>
      </c>
      <c r="H17" s="591">
        <v>0</v>
      </c>
      <c r="I17" s="591">
        <v>565029.12250000006</v>
      </c>
      <c r="J17" s="605">
        <v>114286.9639</v>
      </c>
      <c r="K17" s="605">
        <v>74486.452099999995</v>
      </c>
      <c r="L17" s="605">
        <v>28089.262300000002</v>
      </c>
      <c r="M17" s="605">
        <v>348166.44420000003</v>
      </c>
      <c r="N17" s="605">
        <v>0</v>
      </c>
      <c r="O17" s="591">
        <v>100.27427668985055</v>
      </c>
    </row>
    <row r="18" spans="1:15">
      <c r="A18" s="457">
        <v>12</v>
      </c>
      <c r="B18" s="463" t="s">
        <v>576</v>
      </c>
      <c r="C18" s="603">
        <v>68159372.245000005</v>
      </c>
      <c r="D18" s="591">
        <v>58086367.612699993</v>
      </c>
      <c r="E18" s="591">
        <v>5821405.7332999995</v>
      </c>
      <c r="F18" s="605">
        <v>2818707.6045999997</v>
      </c>
      <c r="G18" s="605">
        <v>1297742.6998000001</v>
      </c>
      <c r="H18" s="591">
        <v>135148.59459999998</v>
      </c>
      <c r="I18" s="591">
        <v>3290565.3086000006</v>
      </c>
      <c r="J18" s="605">
        <v>1078792.3944000001</v>
      </c>
      <c r="K18" s="605">
        <v>582140.57410000009</v>
      </c>
      <c r="L18" s="605">
        <v>845612.29310000001</v>
      </c>
      <c r="M18" s="605">
        <v>648871.45240000007</v>
      </c>
      <c r="N18" s="605">
        <v>135148.59459999998</v>
      </c>
      <c r="O18" s="591">
        <v>50332.822922350409</v>
      </c>
    </row>
    <row r="19" spans="1:15">
      <c r="A19" s="457">
        <v>13</v>
      </c>
      <c r="B19" s="463" t="s">
        <v>577</v>
      </c>
      <c r="C19" s="603">
        <v>15810620.795800002</v>
      </c>
      <c r="D19" s="591">
        <v>13638876.442400001</v>
      </c>
      <c r="E19" s="591">
        <v>916631.47539999988</v>
      </c>
      <c r="F19" s="605">
        <v>718589.08409999998</v>
      </c>
      <c r="G19" s="605">
        <v>523610.84390000004</v>
      </c>
      <c r="H19" s="591">
        <v>12912.95</v>
      </c>
      <c r="I19" s="591">
        <v>854735.81169999996</v>
      </c>
      <c r="J19" s="605">
        <v>272777.51899999997</v>
      </c>
      <c r="K19" s="605">
        <v>91663.143299999996</v>
      </c>
      <c r="L19" s="605">
        <v>215576.75329999998</v>
      </c>
      <c r="M19" s="605">
        <v>261805.4461</v>
      </c>
      <c r="N19" s="605">
        <v>12912.95</v>
      </c>
      <c r="O19" s="591">
        <v>8841.5377803166393</v>
      </c>
    </row>
    <row r="20" spans="1:15">
      <c r="A20" s="457">
        <v>14</v>
      </c>
      <c r="B20" s="463" t="s">
        <v>578</v>
      </c>
      <c r="C20" s="603">
        <v>83027195.770600006</v>
      </c>
      <c r="D20" s="591">
        <v>61119551.667800002</v>
      </c>
      <c r="E20" s="591">
        <v>14236547.277500002</v>
      </c>
      <c r="F20" s="605">
        <v>6891817.1649999991</v>
      </c>
      <c r="G20" s="605">
        <v>758220.01029999997</v>
      </c>
      <c r="H20" s="591">
        <v>21059.65</v>
      </c>
      <c r="I20" s="591">
        <v>5084740.6333999997</v>
      </c>
      <c r="J20" s="605">
        <v>1193370.8701999998</v>
      </c>
      <c r="K20" s="605">
        <v>1423654.9014999999</v>
      </c>
      <c r="L20" s="605">
        <v>2067545.1874000002</v>
      </c>
      <c r="M20" s="605">
        <v>379110.02429999999</v>
      </c>
      <c r="N20" s="605">
        <v>21059.65</v>
      </c>
      <c r="O20" s="591">
        <v>17851.419878448607</v>
      </c>
    </row>
    <row r="21" spans="1:15">
      <c r="A21" s="457">
        <v>15</v>
      </c>
      <c r="B21" s="463" t="s">
        <v>579</v>
      </c>
      <c r="C21" s="603">
        <v>29493664.389299996</v>
      </c>
      <c r="D21" s="591">
        <v>17072302.580899999</v>
      </c>
      <c r="E21" s="591">
        <v>11346534.7107</v>
      </c>
      <c r="F21" s="605">
        <v>980635.58770000003</v>
      </c>
      <c r="G21" s="605">
        <v>65897.399999999994</v>
      </c>
      <c r="H21" s="591">
        <v>28294.11</v>
      </c>
      <c r="I21" s="591">
        <v>1831533.0939</v>
      </c>
      <c r="J21" s="605">
        <v>341446.05290000001</v>
      </c>
      <c r="K21" s="605">
        <v>1134653.5171000001</v>
      </c>
      <c r="L21" s="605">
        <v>294190.70389999996</v>
      </c>
      <c r="M21" s="605">
        <v>32948.71</v>
      </c>
      <c r="N21" s="605">
        <v>28294.11</v>
      </c>
      <c r="O21" s="591">
        <v>6287.5831309769274</v>
      </c>
    </row>
    <row r="22" spans="1:15">
      <c r="A22" s="457">
        <v>16</v>
      </c>
      <c r="B22" s="463" t="s">
        <v>580</v>
      </c>
      <c r="C22" s="603">
        <v>429599.56409999996</v>
      </c>
      <c r="D22" s="591">
        <v>429599.56409999996</v>
      </c>
      <c r="E22" s="591">
        <v>0</v>
      </c>
      <c r="F22" s="605">
        <v>0</v>
      </c>
      <c r="G22" s="605">
        <v>0</v>
      </c>
      <c r="H22" s="591">
        <v>0</v>
      </c>
      <c r="I22" s="591">
        <v>8591.9778000000006</v>
      </c>
      <c r="J22" s="605">
        <v>8591.9778000000006</v>
      </c>
      <c r="K22" s="605">
        <v>0</v>
      </c>
      <c r="L22" s="605">
        <v>0</v>
      </c>
      <c r="M22" s="605">
        <v>0</v>
      </c>
      <c r="N22" s="605">
        <v>0</v>
      </c>
      <c r="O22" s="591">
        <v>2724.5797268498786</v>
      </c>
    </row>
    <row r="23" spans="1:15">
      <c r="A23" s="457">
        <v>17</v>
      </c>
      <c r="B23" s="463" t="s">
        <v>581</v>
      </c>
      <c r="C23" s="603">
        <v>4532241.6236999994</v>
      </c>
      <c r="D23" s="591">
        <v>3027451.7736999998</v>
      </c>
      <c r="E23" s="591">
        <v>132741.21539999999</v>
      </c>
      <c r="F23" s="605">
        <v>1172293.8746</v>
      </c>
      <c r="G23" s="605">
        <v>199754.76</v>
      </c>
      <c r="H23" s="591">
        <v>0</v>
      </c>
      <c r="I23" s="591">
        <v>525388.72470000002</v>
      </c>
      <c r="J23" s="605">
        <v>60549.045800000007</v>
      </c>
      <c r="K23" s="605">
        <v>13274.139300000001</v>
      </c>
      <c r="L23" s="605">
        <v>351688.15960000001</v>
      </c>
      <c r="M23" s="605">
        <v>99877.38</v>
      </c>
      <c r="N23" s="605">
        <v>0</v>
      </c>
      <c r="O23" s="591">
        <v>601.97729053909018</v>
      </c>
    </row>
    <row r="24" spans="1:15">
      <c r="A24" s="457">
        <v>18</v>
      </c>
      <c r="B24" s="463" t="s">
        <v>582</v>
      </c>
      <c r="C24" s="603">
        <v>16559157.793099999</v>
      </c>
      <c r="D24" s="591">
        <v>16523602.393099999</v>
      </c>
      <c r="E24" s="591">
        <v>35555.4</v>
      </c>
      <c r="F24" s="605">
        <v>0</v>
      </c>
      <c r="G24" s="605">
        <v>0</v>
      </c>
      <c r="H24" s="591">
        <v>0</v>
      </c>
      <c r="I24" s="591">
        <v>334027.60939999996</v>
      </c>
      <c r="J24" s="605">
        <v>330472.06939999998</v>
      </c>
      <c r="K24" s="605">
        <v>3555.54</v>
      </c>
      <c r="L24" s="605">
        <v>0</v>
      </c>
      <c r="M24" s="605">
        <v>0</v>
      </c>
      <c r="N24" s="605">
        <v>0</v>
      </c>
      <c r="O24" s="591">
        <v>2511.6531591661351</v>
      </c>
    </row>
    <row r="25" spans="1:15">
      <c r="A25" s="457">
        <v>19</v>
      </c>
      <c r="B25" s="463" t="s">
        <v>583</v>
      </c>
      <c r="C25" s="603">
        <v>14450447.870999999</v>
      </c>
      <c r="D25" s="591">
        <v>14349980.6887</v>
      </c>
      <c r="E25" s="591">
        <v>86204.17</v>
      </c>
      <c r="F25" s="605">
        <v>0</v>
      </c>
      <c r="G25" s="605">
        <v>14263.0123</v>
      </c>
      <c r="H25" s="591">
        <v>0</v>
      </c>
      <c r="I25" s="591">
        <v>302751.53609999997</v>
      </c>
      <c r="J25" s="605">
        <v>286999.59580000001</v>
      </c>
      <c r="K25" s="605">
        <v>8620.42</v>
      </c>
      <c r="L25" s="605">
        <v>0</v>
      </c>
      <c r="M25" s="605">
        <v>7131.5203000000001</v>
      </c>
      <c r="N25" s="605">
        <v>0</v>
      </c>
      <c r="O25" s="591">
        <v>290.39965298463278</v>
      </c>
    </row>
    <row r="26" spans="1:15">
      <c r="A26" s="457">
        <v>20</v>
      </c>
      <c r="B26" s="463" t="s">
        <v>584</v>
      </c>
      <c r="C26" s="603">
        <v>33798323.964600004</v>
      </c>
      <c r="D26" s="591">
        <v>32361736.645200003</v>
      </c>
      <c r="E26" s="591">
        <v>1098245.4205999998</v>
      </c>
      <c r="F26" s="605">
        <v>270554.21000000002</v>
      </c>
      <c r="G26" s="605">
        <v>29513.808799999999</v>
      </c>
      <c r="H26" s="591">
        <v>38273.879999999997</v>
      </c>
      <c r="I26" s="591">
        <v>891256.45940000005</v>
      </c>
      <c r="J26" s="605">
        <v>647234.85239999997</v>
      </c>
      <c r="K26" s="605">
        <v>109824.5426</v>
      </c>
      <c r="L26" s="605">
        <v>81166.27</v>
      </c>
      <c r="M26" s="605">
        <v>14756.9144</v>
      </c>
      <c r="N26" s="605">
        <v>38273.879999999997</v>
      </c>
      <c r="O26" s="591">
        <v>52308.610823814823</v>
      </c>
    </row>
    <row r="27" spans="1:15">
      <c r="A27" s="457">
        <v>21</v>
      </c>
      <c r="B27" s="463" t="s">
        <v>585</v>
      </c>
      <c r="C27" s="603">
        <v>4195307.9416999994</v>
      </c>
      <c r="D27" s="591">
        <v>3965373.9257</v>
      </c>
      <c r="E27" s="591">
        <v>180411.34599999999</v>
      </c>
      <c r="F27" s="605">
        <v>1376.51</v>
      </c>
      <c r="G27" s="605">
        <v>48146.16</v>
      </c>
      <c r="H27" s="591">
        <v>0</v>
      </c>
      <c r="I27" s="591">
        <v>121834.6427</v>
      </c>
      <c r="J27" s="605">
        <v>79307.469599999997</v>
      </c>
      <c r="K27" s="605">
        <v>18041.143100000001</v>
      </c>
      <c r="L27" s="605">
        <v>412.95</v>
      </c>
      <c r="M27" s="605">
        <v>24073.08</v>
      </c>
      <c r="N27" s="605">
        <v>0</v>
      </c>
      <c r="O27" s="591">
        <v>8247.8130701060036</v>
      </c>
    </row>
    <row r="28" spans="1:15">
      <c r="A28" s="457">
        <v>22</v>
      </c>
      <c r="B28" s="463" t="s">
        <v>586</v>
      </c>
      <c r="C28" s="603">
        <v>1126250.6839000001</v>
      </c>
      <c r="D28" s="591">
        <v>489097.98230000003</v>
      </c>
      <c r="E28" s="591">
        <v>630272.91870000004</v>
      </c>
      <c r="F28" s="605">
        <v>6879.7829000000002</v>
      </c>
      <c r="G28" s="605">
        <v>0</v>
      </c>
      <c r="H28" s="591">
        <v>0</v>
      </c>
      <c r="I28" s="591">
        <v>74873.208299999998</v>
      </c>
      <c r="J28" s="605">
        <v>9781.9806000000008</v>
      </c>
      <c r="K28" s="605">
        <v>63027.287199999999</v>
      </c>
      <c r="L28" s="605">
        <v>2063.9405000000002</v>
      </c>
      <c r="M28" s="605">
        <v>0</v>
      </c>
      <c r="N28" s="605">
        <v>0</v>
      </c>
      <c r="O28" s="591">
        <v>3164.1340367881744</v>
      </c>
    </row>
    <row r="29" spans="1:15">
      <c r="A29" s="457">
        <v>23</v>
      </c>
      <c r="B29" s="463" t="s">
        <v>587</v>
      </c>
      <c r="C29" s="603">
        <v>93576817.336300015</v>
      </c>
      <c r="D29" s="591">
        <v>81229421.884200007</v>
      </c>
      <c r="E29" s="591">
        <v>4715074.5538999988</v>
      </c>
      <c r="F29" s="605">
        <v>5234915.8339</v>
      </c>
      <c r="G29" s="605">
        <v>2249990.0142999999</v>
      </c>
      <c r="H29" s="591">
        <v>147415.05000000002</v>
      </c>
      <c r="I29" s="591">
        <v>4938981.0312999999</v>
      </c>
      <c r="J29" s="605">
        <v>1624588.6309</v>
      </c>
      <c r="K29" s="605">
        <v>471507.42379999999</v>
      </c>
      <c r="L29" s="605">
        <v>1570474.8269</v>
      </c>
      <c r="M29" s="605">
        <v>1124995.0996999999</v>
      </c>
      <c r="N29" s="605">
        <v>147415.05000000002</v>
      </c>
      <c r="O29" s="591">
        <v>82733.647389621023</v>
      </c>
    </row>
    <row r="30" spans="1:15">
      <c r="A30" s="457">
        <v>24</v>
      </c>
      <c r="B30" s="463" t="s">
        <v>588</v>
      </c>
      <c r="C30" s="603">
        <v>126525463.50959998</v>
      </c>
      <c r="D30" s="591">
        <v>117603027.82469998</v>
      </c>
      <c r="E30" s="591">
        <v>4751887.8834999995</v>
      </c>
      <c r="F30" s="605">
        <v>1969894.0336</v>
      </c>
      <c r="G30" s="605">
        <v>2175988.5478000003</v>
      </c>
      <c r="H30" s="591">
        <v>24665.22</v>
      </c>
      <c r="I30" s="591">
        <v>4527799.2697000001</v>
      </c>
      <c r="J30" s="605">
        <v>2348982.7080000001</v>
      </c>
      <c r="K30" s="605">
        <v>475188.78759999992</v>
      </c>
      <c r="L30" s="605">
        <v>590968.22139999992</v>
      </c>
      <c r="M30" s="605">
        <v>1087994.3326999999</v>
      </c>
      <c r="N30" s="605">
        <v>24665.22</v>
      </c>
      <c r="O30" s="591">
        <v>8508.430994007098</v>
      </c>
    </row>
    <row r="31" spans="1:15">
      <c r="A31" s="457">
        <v>25</v>
      </c>
      <c r="B31" s="463" t="s">
        <v>589</v>
      </c>
      <c r="C31" s="603">
        <v>45526375.326699995</v>
      </c>
      <c r="D31" s="591">
        <v>39969215.885200001</v>
      </c>
      <c r="E31" s="591">
        <v>1549717.8299999998</v>
      </c>
      <c r="F31" s="605">
        <v>3148623.4189999998</v>
      </c>
      <c r="G31" s="605">
        <v>647718.11250000005</v>
      </c>
      <c r="H31" s="591">
        <v>211100.08000000002</v>
      </c>
      <c r="I31" s="591">
        <v>2344979.6858999999</v>
      </c>
      <c r="J31" s="605">
        <v>710461.65999999992</v>
      </c>
      <c r="K31" s="605">
        <v>154971.81</v>
      </c>
      <c r="L31" s="605">
        <v>944587.03960000002</v>
      </c>
      <c r="M31" s="605">
        <v>323859.09629999998</v>
      </c>
      <c r="N31" s="605">
        <v>211100.08000000002</v>
      </c>
      <c r="O31" s="591">
        <v>245586.53083463025</v>
      </c>
    </row>
    <row r="32" spans="1:15">
      <c r="A32" s="457">
        <v>26</v>
      </c>
      <c r="B32" s="463" t="s">
        <v>691</v>
      </c>
      <c r="C32" s="603">
        <v>27251042.837400042</v>
      </c>
      <c r="D32" s="591">
        <v>23177215.254900038</v>
      </c>
      <c r="E32" s="591">
        <v>2272851.2940999996</v>
      </c>
      <c r="F32" s="605">
        <v>893645.59190000128</v>
      </c>
      <c r="G32" s="605">
        <v>825465.06579999975</v>
      </c>
      <c r="H32" s="591">
        <v>81865.630700000096</v>
      </c>
      <c r="I32" s="591">
        <v>1453518.4952000002</v>
      </c>
      <c r="J32" s="605">
        <v>463541.38220000034</v>
      </c>
      <c r="K32" s="605">
        <v>227285.17520000006</v>
      </c>
      <c r="L32" s="605">
        <v>268093.67599999974</v>
      </c>
      <c r="M32" s="605">
        <v>412732.63109999988</v>
      </c>
      <c r="N32" s="605">
        <v>81865.630700000096</v>
      </c>
      <c r="O32" s="591">
        <v>172310.67314656003</v>
      </c>
    </row>
    <row r="33" spans="1:15">
      <c r="A33" s="457">
        <v>27</v>
      </c>
      <c r="B33" s="494" t="s">
        <v>68</v>
      </c>
      <c r="C33" s="606">
        <v>1056036434.0876001</v>
      </c>
      <c r="D33" s="590">
        <v>930737254.70059991</v>
      </c>
      <c r="E33" s="590">
        <v>77493556.154599994</v>
      </c>
      <c r="F33" s="610">
        <v>34412096.668900006</v>
      </c>
      <c r="G33" s="610">
        <v>12231452.606800001</v>
      </c>
      <c r="H33" s="590">
        <v>1162073.9567</v>
      </c>
      <c r="I33" s="611">
        <v>43761406.576300003</v>
      </c>
      <c r="J33" s="610">
        <v>18410620.270099994</v>
      </c>
      <c r="K33" s="610">
        <v>7749356.0806999998</v>
      </c>
      <c r="L33" s="610">
        <v>10323629.293499999</v>
      </c>
      <c r="M33" s="610">
        <v>6115726.975300001</v>
      </c>
      <c r="N33" s="610">
        <v>1162073.9567</v>
      </c>
      <c r="O33" s="590">
        <v>1299102</v>
      </c>
    </row>
    <row r="35" spans="1:15">
      <c r="B35" s="464"/>
      <c r="C35" s="464"/>
    </row>
    <row r="41" spans="1:15">
      <c r="A41" s="460"/>
      <c r="B41" s="460"/>
      <c r="C41" s="460"/>
    </row>
    <row r="42" spans="1:15">
      <c r="A42" s="460"/>
      <c r="B42" s="460"/>
      <c r="C42" s="46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90" zoomScaleNormal="90" workbookViewId="0">
      <selection activeCell="B1" sqref="B1"/>
    </sheetView>
  </sheetViews>
  <sheetFormatPr defaultColWidth="8.7109375" defaultRowHeight="12"/>
  <cols>
    <col min="1" max="1" width="11.85546875" style="495" bestFit="1" customWidth="1"/>
    <col min="2" max="2" width="80.140625" style="495" customWidth="1"/>
    <col min="3" max="11" width="28.28515625" style="495" customWidth="1"/>
    <col min="12" max="16384" width="8.7109375" style="495"/>
  </cols>
  <sheetData>
    <row r="1" spans="1:11" s="443" customFormat="1" ht="12.75">
      <c r="A1" s="442" t="s">
        <v>188</v>
      </c>
      <c r="B1" s="624" t="str">
        <f>'1. key ratios'!B1</f>
        <v>ს.ს. "ტერაბანკი"</v>
      </c>
    </row>
    <row r="2" spans="1:11" s="443" customFormat="1" ht="12.75">
      <c r="A2" s="442" t="s">
        <v>189</v>
      </c>
    </row>
    <row r="3" spans="1:11" s="443" customFormat="1" ht="12.75">
      <c r="A3" s="444" t="s">
        <v>692</v>
      </c>
      <c r="B3" s="445">
        <f>'1. key ratios'!B2</f>
        <v>44834</v>
      </c>
    </row>
    <row r="4" spans="1:11">
      <c r="C4" s="496" t="s">
        <v>542</v>
      </c>
      <c r="D4" s="496" t="s">
        <v>543</v>
      </c>
      <c r="E4" s="496" t="s">
        <v>544</v>
      </c>
      <c r="F4" s="496" t="s">
        <v>545</v>
      </c>
      <c r="G4" s="496" t="s">
        <v>546</v>
      </c>
      <c r="H4" s="496" t="s">
        <v>547</v>
      </c>
      <c r="I4" s="496" t="s">
        <v>548</v>
      </c>
      <c r="J4" s="496" t="s">
        <v>549</v>
      </c>
      <c r="K4" s="496" t="s">
        <v>550</v>
      </c>
    </row>
    <row r="5" spans="1:11" ht="104.1" customHeight="1">
      <c r="A5" s="725" t="s">
        <v>693</v>
      </c>
      <c r="B5" s="726"/>
      <c r="C5" s="446" t="s">
        <v>694</v>
      </c>
      <c r="D5" s="446" t="s">
        <v>680</v>
      </c>
      <c r="E5" s="446" t="s">
        <v>681</v>
      </c>
      <c r="F5" s="446" t="s">
        <v>695</v>
      </c>
      <c r="G5" s="446" t="s">
        <v>696</v>
      </c>
      <c r="H5" s="446" t="s">
        <v>697</v>
      </c>
      <c r="I5" s="446" t="s">
        <v>698</v>
      </c>
      <c r="J5" s="446" t="s">
        <v>699</v>
      </c>
      <c r="K5" s="446" t="s">
        <v>700</v>
      </c>
    </row>
    <row r="6" spans="1:11" ht="12.75">
      <c r="A6" s="457">
        <v>1</v>
      </c>
      <c r="B6" s="457" t="s">
        <v>701</v>
      </c>
      <c r="C6" s="591">
        <v>25272096.519999985</v>
      </c>
      <c r="D6" s="591">
        <v>22640632.549999978</v>
      </c>
      <c r="E6" s="591">
        <v>0</v>
      </c>
      <c r="F6" s="591">
        <v>4023157.6900000004</v>
      </c>
      <c r="G6" s="591">
        <v>850892646.62000036</v>
      </c>
      <c r="H6" s="591">
        <v>0</v>
      </c>
      <c r="I6" s="591">
        <v>75183823.219999984</v>
      </c>
      <c r="J6" s="591">
        <v>1094471667.4299984</v>
      </c>
      <c r="K6" s="591">
        <v>-1016447589.8400025</v>
      </c>
    </row>
    <row r="7" spans="1:11" ht="12.75">
      <c r="A7" s="457">
        <v>2</v>
      </c>
      <c r="B7" s="457" t="s">
        <v>702</v>
      </c>
      <c r="C7" s="591">
        <v>0</v>
      </c>
      <c r="D7" s="591">
        <v>0</v>
      </c>
      <c r="E7" s="591">
        <v>0</v>
      </c>
      <c r="F7" s="591">
        <v>0</v>
      </c>
      <c r="G7" s="591">
        <v>0</v>
      </c>
      <c r="H7" s="591">
        <v>0</v>
      </c>
      <c r="I7" s="591">
        <v>0</v>
      </c>
      <c r="J7" s="591">
        <v>0</v>
      </c>
      <c r="K7" s="591">
        <v>5000000</v>
      </c>
    </row>
    <row r="8" spans="1:11" ht="12.75">
      <c r="A8" s="457">
        <v>3</v>
      </c>
      <c r="B8" s="457" t="s">
        <v>652</v>
      </c>
      <c r="C8" s="591">
        <v>16943580.649999999</v>
      </c>
      <c r="D8" s="591">
        <v>0</v>
      </c>
      <c r="E8" s="591">
        <v>0</v>
      </c>
      <c r="F8" s="591">
        <v>0</v>
      </c>
      <c r="G8" s="591">
        <v>27522106.930000007</v>
      </c>
      <c r="H8" s="591">
        <v>0</v>
      </c>
      <c r="I8" s="591">
        <v>7453826.3300000001</v>
      </c>
      <c r="J8" s="591">
        <v>52779672.70000001</v>
      </c>
      <c r="K8" s="591">
        <v>-23656967.18720004</v>
      </c>
    </row>
    <row r="9" spans="1:11" ht="12.75">
      <c r="A9" s="457">
        <v>4</v>
      </c>
      <c r="B9" s="481" t="s">
        <v>703</v>
      </c>
      <c r="C9" s="591">
        <v>23078.780000000002</v>
      </c>
      <c r="D9" s="591">
        <v>31526.219999999998</v>
      </c>
      <c r="E9" s="591">
        <v>0</v>
      </c>
      <c r="F9" s="591">
        <v>0</v>
      </c>
      <c r="G9" s="591">
        <v>43533156.859999992</v>
      </c>
      <c r="H9" s="591">
        <v>0</v>
      </c>
      <c r="I9" s="591">
        <v>1280547.3399999999</v>
      </c>
      <c r="J9" s="591">
        <v>47890210.460000038</v>
      </c>
      <c r="K9" s="591">
        <v>-44952896.443858385</v>
      </c>
    </row>
    <row r="10" spans="1:11" ht="12.75">
      <c r="A10" s="457">
        <v>5</v>
      </c>
      <c r="B10" s="481" t="s">
        <v>704</v>
      </c>
      <c r="C10" s="591">
        <v>0</v>
      </c>
      <c r="D10" s="591">
        <v>0</v>
      </c>
      <c r="E10" s="591">
        <v>0</v>
      </c>
      <c r="F10" s="591">
        <v>0</v>
      </c>
      <c r="G10" s="591">
        <v>0</v>
      </c>
      <c r="H10" s="591">
        <v>0</v>
      </c>
      <c r="I10" s="591">
        <v>0</v>
      </c>
      <c r="J10" s="591">
        <v>0</v>
      </c>
      <c r="K10" s="591">
        <v>0</v>
      </c>
    </row>
    <row r="11" spans="1:11" ht="12.75">
      <c r="A11" s="457">
        <v>6</v>
      </c>
      <c r="B11" s="481" t="s">
        <v>705</v>
      </c>
      <c r="C11" s="591">
        <v>0</v>
      </c>
      <c r="D11" s="591">
        <v>0</v>
      </c>
      <c r="E11" s="591">
        <v>0</v>
      </c>
      <c r="F11" s="591">
        <v>0</v>
      </c>
      <c r="G11" s="591">
        <v>0</v>
      </c>
      <c r="H11" s="591">
        <v>0</v>
      </c>
      <c r="I11" s="591">
        <v>0</v>
      </c>
      <c r="J11" s="591">
        <v>0</v>
      </c>
      <c r="K11" s="591">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6B06B-8A4E-45B2-BAEB-85755C633A6B}">
  <dimension ref="A1:AT26"/>
  <sheetViews>
    <sheetView showGridLines="0" zoomScale="85" zoomScaleNormal="85" workbookViewId="0">
      <pane xSplit="2" ySplit="6" topLeftCell="N7" activePane="bottomRight" state="frozen"/>
      <selection pane="topRight" activeCell="C1" sqref="C1"/>
      <selection pane="bottomLeft" activeCell="A7" sqref="A7"/>
      <selection pane="bottomRight" activeCell="N14" sqref="N14"/>
    </sheetView>
  </sheetViews>
  <sheetFormatPr defaultColWidth="9.140625" defaultRowHeight="15"/>
  <cols>
    <col min="1" max="1" width="10" bestFit="1" customWidth="1"/>
    <col min="2" max="2" width="71.7109375" customWidth="1"/>
    <col min="3" max="4" width="18" bestFit="1" customWidth="1"/>
    <col min="5" max="5" width="17.42578125" customWidth="1"/>
    <col min="6" max="6" width="17.28515625" bestFit="1" customWidth="1"/>
    <col min="7" max="7" width="13.7109375" customWidth="1"/>
    <col min="8" max="8" width="16.7109375" customWidth="1"/>
    <col min="9" max="14" width="17.28515625" bestFit="1" customWidth="1"/>
    <col min="15" max="15" width="18.140625" bestFit="1" customWidth="1"/>
    <col min="16" max="16" width="48.140625" bestFit="1" customWidth="1"/>
    <col min="17" max="17" width="46" bestFit="1" customWidth="1"/>
    <col min="18" max="18" width="48.140625" bestFit="1" customWidth="1"/>
    <col min="19" max="19" width="44.5703125" bestFit="1" customWidth="1"/>
  </cols>
  <sheetData>
    <row r="1" spans="1:46">
      <c r="A1" s="442" t="s">
        <v>188</v>
      </c>
      <c r="B1" s="624" t="str">
        <f>'1. key ratios'!B1</f>
        <v>ს.ს. "ტერაბანკი"</v>
      </c>
    </row>
    <row r="2" spans="1:46">
      <c r="A2" s="442" t="s">
        <v>189</v>
      </c>
      <c r="B2" s="445">
        <f>'1. key ratios'!B2</f>
        <v>44834</v>
      </c>
    </row>
    <row r="3" spans="1:46">
      <c r="A3" s="444" t="s">
        <v>721</v>
      </c>
      <c r="B3" s="443"/>
    </row>
    <row r="4" spans="1:46">
      <c r="A4" s="444"/>
      <c r="B4" s="443"/>
    </row>
    <row r="5" spans="1:46" ht="24" customHeight="1">
      <c r="A5" s="728" t="s">
        <v>722</v>
      </c>
      <c r="B5" s="728"/>
      <c r="C5" s="729" t="s">
        <v>655</v>
      </c>
      <c r="D5" s="729"/>
      <c r="E5" s="729"/>
      <c r="F5" s="729"/>
      <c r="G5" s="729"/>
      <c r="H5" s="729"/>
      <c r="I5" s="729" t="s">
        <v>723</v>
      </c>
      <c r="J5" s="729"/>
      <c r="K5" s="729"/>
      <c r="L5" s="729"/>
      <c r="M5" s="729"/>
      <c r="N5" s="729"/>
      <c r="O5" s="727" t="s">
        <v>724</v>
      </c>
      <c r="P5" s="727" t="s">
        <v>725</v>
      </c>
      <c r="Q5" s="727" t="s">
        <v>726</v>
      </c>
      <c r="R5" s="727" t="s">
        <v>727</v>
      </c>
      <c r="S5" s="727" t="s">
        <v>728</v>
      </c>
    </row>
    <row r="6" spans="1:46" ht="36" customHeight="1">
      <c r="A6" s="728"/>
      <c r="B6" s="728"/>
      <c r="C6" s="612"/>
      <c r="D6" s="493" t="s">
        <v>686</v>
      </c>
      <c r="E6" s="493" t="s">
        <v>687</v>
      </c>
      <c r="F6" s="493" t="s">
        <v>688</v>
      </c>
      <c r="G6" s="493" t="s">
        <v>689</v>
      </c>
      <c r="H6" s="493" t="s">
        <v>690</v>
      </c>
      <c r="I6" s="612"/>
      <c r="J6" s="493" t="s">
        <v>686</v>
      </c>
      <c r="K6" s="493" t="s">
        <v>687</v>
      </c>
      <c r="L6" s="493" t="s">
        <v>688</v>
      </c>
      <c r="M6" s="493" t="s">
        <v>689</v>
      </c>
      <c r="N6" s="493" t="s">
        <v>690</v>
      </c>
      <c r="O6" s="727"/>
      <c r="P6" s="727"/>
      <c r="Q6" s="727"/>
      <c r="R6" s="727"/>
      <c r="S6" s="727"/>
    </row>
    <row r="7" spans="1:46">
      <c r="A7" s="613">
        <v>1</v>
      </c>
      <c r="B7" s="614" t="s">
        <v>729</v>
      </c>
      <c r="C7" s="615">
        <v>20731987.147599999</v>
      </c>
      <c r="D7" s="615">
        <v>20277539.737599999</v>
      </c>
      <c r="E7" s="615">
        <v>379176.25</v>
      </c>
      <c r="F7" s="615">
        <v>54735.1</v>
      </c>
      <c r="G7" s="615">
        <v>14750</v>
      </c>
      <c r="H7" s="615">
        <v>5786.06</v>
      </c>
      <c r="I7" s="615">
        <v>473050.05459999997</v>
      </c>
      <c r="J7" s="615">
        <v>405550.84459999995</v>
      </c>
      <c r="K7" s="615">
        <v>37917.620000000003</v>
      </c>
      <c r="L7" s="615">
        <v>16420.53</v>
      </c>
      <c r="M7" s="615">
        <v>7375</v>
      </c>
      <c r="N7" s="615">
        <v>5786.06</v>
      </c>
      <c r="O7" s="615">
        <v>1987</v>
      </c>
      <c r="P7" s="616">
        <v>0.3860953339259659</v>
      </c>
      <c r="Q7" s="616">
        <v>0.46626441078020658</v>
      </c>
      <c r="R7" s="616">
        <v>0.38634389000000002</v>
      </c>
      <c r="S7" s="615">
        <v>27.2407</v>
      </c>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row>
    <row r="8" spans="1:46">
      <c r="A8" s="613">
        <v>2</v>
      </c>
      <c r="B8" s="614" t="s">
        <v>730</v>
      </c>
      <c r="C8" s="615">
        <v>82748111.798299998</v>
      </c>
      <c r="D8" s="615">
        <v>75254199.271799996</v>
      </c>
      <c r="E8" s="615">
        <v>3254665.5194999999</v>
      </c>
      <c r="F8" s="615">
        <v>1862284.4958000001</v>
      </c>
      <c r="G8" s="615">
        <v>1621405.916</v>
      </c>
      <c r="H8" s="615">
        <v>755556.59519999998</v>
      </c>
      <c r="I8" s="615">
        <v>3866403.2567999996</v>
      </c>
      <c r="J8" s="615">
        <v>1415991.4316</v>
      </c>
      <c r="K8" s="615">
        <v>325466.61570000002</v>
      </c>
      <c r="L8" s="615">
        <v>558685.38890000002</v>
      </c>
      <c r="M8" s="615">
        <v>810703.2254</v>
      </c>
      <c r="N8" s="615">
        <v>755556.59519999998</v>
      </c>
      <c r="O8" s="615">
        <v>6524</v>
      </c>
      <c r="P8" s="616">
        <v>0.13971651252230635</v>
      </c>
      <c r="Q8" s="616">
        <v>0.17095271461609376</v>
      </c>
      <c r="R8" s="616">
        <v>0.13341225000000001</v>
      </c>
      <c r="S8" s="615">
        <v>50.792000000000002</v>
      </c>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row>
    <row r="9" spans="1:46">
      <c r="A9" s="613">
        <v>3</v>
      </c>
      <c r="B9" s="614" t="s">
        <v>731</v>
      </c>
      <c r="C9" s="615">
        <v>0</v>
      </c>
      <c r="D9" s="615">
        <v>0</v>
      </c>
      <c r="E9" s="615">
        <v>0</v>
      </c>
      <c r="F9" s="615">
        <v>0</v>
      </c>
      <c r="G9" s="615">
        <v>0</v>
      </c>
      <c r="H9" s="615">
        <v>0</v>
      </c>
      <c r="I9" s="615">
        <v>0</v>
      </c>
      <c r="J9" s="615">
        <v>0</v>
      </c>
      <c r="K9" s="615">
        <v>0</v>
      </c>
      <c r="L9" s="615">
        <v>0</v>
      </c>
      <c r="M9" s="615">
        <v>0</v>
      </c>
      <c r="N9" s="615">
        <v>0</v>
      </c>
      <c r="O9" s="615">
        <v>0</v>
      </c>
      <c r="P9" s="616">
        <v>0</v>
      </c>
      <c r="Q9" s="616">
        <v>0</v>
      </c>
      <c r="R9" s="616">
        <v>0</v>
      </c>
      <c r="S9" s="615">
        <v>0</v>
      </c>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row>
    <row r="10" spans="1:46">
      <c r="A10" s="613">
        <v>4</v>
      </c>
      <c r="B10" s="614" t="s">
        <v>732</v>
      </c>
      <c r="C10" s="615">
        <v>6611.4</v>
      </c>
      <c r="D10" s="615">
        <v>4931.6099999999997</v>
      </c>
      <c r="E10" s="615">
        <v>1679.79</v>
      </c>
      <c r="F10" s="615">
        <v>0</v>
      </c>
      <c r="G10" s="615">
        <v>0</v>
      </c>
      <c r="H10" s="615">
        <v>0</v>
      </c>
      <c r="I10" s="615">
        <v>266.62</v>
      </c>
      <c r="J10" s="615">
        <v>98.64</v>
      </c>
      <c r="K10" s="615">
        <v>167.98</v>
      </c>
      <c r="L10" s="615">
        <v>0</v>
      </c>
      <c r="M10" s="615">
        <v>0</v>
      </c>
      <c r="N10" s="615">
        <v>0</v>
      </c>
      <c r="O10" s="615">
        <v>6</v>
      </c>
      <c r="P10" s="616">
        <v>0</v>
      </c>
      <c r="Q10" s="616">
        <v>0.24204824</v>
      </c>
      <c r="R10" s="616">
        <v>0</v>
      </c>
      <c r="S10" s="615">
        <v>8.5328999999999997</v>
      </c>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row>
    <row r="11" spans="1:46">
      <c r="A11" s="613">
        <v>5</v>
      </c>
      <c r="B11" s="614" t="s">
        <v>733</v>
      </c>
      <c r="C11" s="615">
        <v>2218348.8602999998</v>
      </c>
      <c r="D11" s="615">
        <v>1997956.63</v>
      </c>
      <c r="E11" s="615">
        <v>96331.17</v>
      </c>
      <c r="F11" s="615">
        <v>31656.17</v>
      </c>
      <c r="G11" s="615">
        <v>9278.15</v>
      </c>
      <c r="H11" s="615">
        <v>83126.740300000005</v>
      </c>
      <c r="I11" s="615">
        <v>146855.07030000002</v>
      </c>
      <c r="J11" s="615">
        <v>39959.199999999997</v>
      </c>
      <c r="K11" s="615">
        <v>9633.17</v>
      </c>
      <c r="L11" s="615">
        <v>9496.8700000000008</v>
      </c>
      <c r="M11" s="615">
        <v>4639.09</v>
      </c>
      <c r="N11" s="615">
        <v>83126.740300000005</v>
      </c>
      <c r="O11" s="615">
        <v>3358</v>
      </c>
      <c r="P11" s="616">
        <v>0.13848877878915317</v>
      </c>
      <c r="Q11" s="616">
        <v>0.14681155162451168</v>
      </c>
      <c r="R11" s="616">
        <v>0.13799876999999999</v>
      </c>
      <c r="S11" s="615">
        <v>22.065200000000001</v>
      </c>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row>
    <row r="12" spans="1:46">
      <c r="A12" s="613">
        <v>6</v>
      </c>
      <c r="B12" s="614" t="s">
        <v>734</v>
      </c>
      <c r="C12" s="615">
        <v>2151073.7982000001</v>
      </c>
      <c r="D12" s="615">
        <v>1823636.1991000001</v>
      </c>
      <c r="E12" s="615">
        <v>222788.99540000001</v>
      </c>
      <c r="F12" s="615">
        <v>53313.58</v>
      </c>
      <c r="G12" s="615">
        <v>42726.793700000002</v>
      </c>
      <c r="H12" s="615">
        <v>8608.23</v>
      </c>
      <c r="I12" s="615">
        <v>104717.73969999999</v>
      </c>
      <c r="J12" s="615">
        <v>36473.014199999998</v>
      </c>
      <c r="K12" s="615">
        <v>22278.968699999998</v>
      </c>
      <c r="L12" s="615">
        <v>15994.08</v>
      </c>
      <c r="M12" s="615">
        <v>21363.446799999998</v>
      </c>
      <c r="N12" s="615">
        <v>8608.23</v>
      </c>
      <c r="O12" s="615">
        <v>1480</v>
      </c>
      <c r="P12" s="616">
        <v>0.27062400382857843</v>
      </c>
      <c r="Q12" s="616">
        <v>0.33587027548494164</v>
      </c>
      <c r="R12" s="616">
        <v>0.27142427000000002</v>
      </c>
      <c r="S12" s="615">
        <v>29.907900000000001</v>
      </c>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row>
    <row r="13" spans="1:46">
      <c r="A13" s="613">
        <v>7</v>
      </c>
      <c r="B13" s="614" t="s">
        <v>735</v>
      </c>
      <c r="C13" s="615">
        <v>97548379.361899987</v>
      </c>
      <c r="D13" s="615">
        <v>89433027.568199992</v>
      </c>
      <c r="E13" s="615">
        <v>4296709.2788000004</v>
      </c>
      <c r="F13" s="615">
        <v>3340692.0211</v>
      </c>
      <c r="G13" s="615">
        <v>454150.61380000005</v>
      </c>
      <c r="H13" s="615">
        <v>23799.88</v>
      </c>
      <c r="I13" s="615">
        <v>3471414.3706</v>
      </c>
      <c r="J13" s="615">
        <v>1788660.5981999999</v>
      </c>
      <c r="K13" s="615">
        <v>429670.94539999997</v>
      </c>
      <c r="L13" s="615">
        <v>1002207.611</v>
      </c>
      <c r="M13" s="615">
        <v>227075.33599999998</v>
      </c>
      <c r="N13" s="615">
        <v>23799.88</v>
      </c>
      <c r="O13" s="615">
        <v>1338</v>
      </c>
      <c r="P13" s="616">
        <v>0.11891216215802837</v>
      </c>
      <c r="Q13" s="616">
        <v>0.13829631509487991</v>
      </c>
      <c r="R13" s="616">
        <v>0.11495664999999999</v>
      </c>
      <c r="S13" s="615">
        <v>115.0899</v>
      </c>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row>
    <row r="14" spans="1:46">
      <c r="A14" s="613">
        <v>7.1</v>
      </c>
      <c r="B14" s="614" t="s">
        <v>736</v>
      </c>
      <c r="C14" s="615">
        <v>72431212.510899991</v>
      </c>
      <c r="D14" s="615">
        <v>66863791.979200006</v>
      </c>
      <c r="E14" s="615">
        <v>2621035.0674000001</v>
      </c>
      <c r="F14" s="615">
        <v>2724453.8511000001</v>
      </c>
      <c r="G14" s="615">
        <v>221931.61320000002</v>
      </c>
      <c r="H14" s="615">
        <v>0</v>
      </c>
      <c r="I14" s="615">
        <v>2527681.4282999998</v>
      </c>
      <c r="J14" s="615">
        <v>1337275.9197</v>
      </c>
      <c r="K14" s="615">
        <v>262103.51260000002</v>
      </c>
      <c r="L14" s="615">
        <v>817336.16529999999</v>
      </c>
      <c r="M14" s="615">
        <v>110965.83069999999</v>
      </c>
      <c r="N14" s="615">
        <v>0</v>
      </c>
      <c r="O14" s="615">
        <v>905</v>
      </c>
      <c r="P14" s="616">
        <v>0.11327581880516147</v>
      </c>
      <c r="Q14" s="616">
        <v>0.13322066505800859</v>
      </c>
      <c r="R14" s="616">
        <v>0.1113358</v>
      </c>
      <c r="S14" s="615">
        <v>117.8661</v>
      </c>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row>
    <row r="15" spans="1:46" ht="25.5">
      <c r="A15" s="613">
        <v>7.2</v>
      </c>
      <c r="B15" s="614" t="s">
        <v>737</v>
      </c>
      <c r="C15" s="615">
        <v>17967183.724000003</v>
      </c>
      <c r="D15" s="615">
        <v>16192853.7918</v>
      </c>
      <c r="E15" s="615">
        <v>1066197.4421999999</v>
      </c>
      <c r="F15" s="615">
        <v>473980.94</v>
      </c>
      <c r="G15" s="615">
        <v>210351.67</v>
      </c>
      <c r="H15" s="615">
        <v>23799.88</v>
      </c>
      <c r="I15" s="615">
        <v>701646.81439999992</v>
      </c>
      <c r="J15" s="615">
        <v>323857.05709999998</v>
      </c>
      <c r="K15" s="615">
        <v>106619.7616</v>
      </c>
      <c r="L15" s="615">
        <v>142194.2757</v>
      </c>
      <c r="M15" s="615">
        <v>105175.84</v>
      </c>
      <c r="N15" s="615">
        <v>23799.88</v>
      </c>
      <c r="O15" s="615">
        <v>319</v>
      </c>
      <c r="P15" s="616">
        <v>0.13572396901993508</v>
      </c>
      <c r="Q15" s="616">
        <v>0.15339742771130538</v>
      </c>
      <c r="R15" s="616">
        <v>0.12283661</v>
      </c>
      <c r="S15" s="615">
        <v>97.914900000000003</v>
      </c>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row>
    <row r="16" spans="1:46">
      <c r="A16" s="613">
        <v>7.3</v>
      </c>
      <c r="B16" s="614" t="s">
        <v>738</v>
      </c>
      <c r="C16" s="615">
        <v>7149983.1270000003</v>
      </c>
      <c r="D16" s="615">
        <v>6376381.7971999999</v>
      </c>
      <c r="E16" s="615">
        <v>609476.7692000001</v>
      </c>
      <c r="F16" s="615">
        <v>142257.23000000001</v>
      </c>
      <c r="G16" s="615">
        <v>21867.330600000001</v>
      </c>
      <c r="H16" s="615">
        <v>0</v>
      </c>
      <c r="I16" s="615">
        <v>242086.12789999996</v>
      </c>
      <c r="J16" s="615">
        <v>127527.62139999999</v>
      </c>
      <c r="K16" s="615">
        <v>60947.671200000004</v>
      </c>
      <c r="L16" s="615">
        <v>42677.17</v>
      </c>
      <c r="M16" s="615">
        <v>10933.665300000001</v>
      </c>
      <c r="N16" s="615">
        <v>0</v>
      </c>
      <c r="O16" s="615">
        <v>114</v>
      </c>
      <c r="P16" s="616">
        <v>0.13778344951971508</v>
      </c>
      <c r="Q16" s="616">
        <v>0.15533162935822989</v>
      </c>
      <c r="R16" s="616">
        <v>0.12405259</v>
      </c>
      <c r="S16" s="615">
        <v>132.279</v>
      </c>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row>
    <row r="17" spans="1:46">
      <c r="A17" s="613">
        <v>8</v>
      </c>
      <c r="B17" s="614" t="s">
        <v>739</v>
      </c>
      <c r="C17" s="615">
        <v>0</v>
      </c>
      <c r="D17" s="615">
        <v>0</v>
      </c>
      <c r="E17" s="615">
        <v>0</v>
      </c>
      <c r="F17" s="615">
        <v>0</v>
      </c>
      <c r="G17" s="615">
        <v>0</v>
      </c>
      <c r="H17" s="615">
        <v>0</v>
      </c>
      <c r="I17" s="615">
        <v>0</v>
      </c>
      <c r="J17" s="615">
        <v>0</v>
      </c>
      <c r="K17" s="615">
        <v>0</v>
      </c>
      <c r="L17" s="615">
        <v>0</v>
      </c>
      <c r="M17" s="615">
        <v>0</v>
      </c>
      <c r="N17" s="615">
        <v>0</v>
      </c>
      <c r="O17" s="615">
        <v>0</v>
      </c>
      <c r="P17" s="616">
        <v>0</v>
      </c>
      <c r="Q17" s="616">
        <v>0</v>
      </c>
      <c r="R17" s="616">
        <v>0</v>
      </c>
      <c r="S17" s="615">
        <v>0</v>
      </c>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row>
    <row r="18" spans="1:46">
      <c r="A18" s="613">
        <v>9</v>
      </c>
      <c r="B18" s="614" t="s">
        <v>740</v>
      </c>
      <c r="C18" s="615">
        <v>308965.13</v>
      </c>
      <c r="D18" s="615">
        <v>301710.71000000002</v>
      </c>
      <c r="E18" s="615">
        <v>7254.42</v>
      </c>
      <c r="F18" s="615">
        <v>0</v>
      </c>
      <c r="G18" s="615">
        <v>0</v>
      </c>
      <c r="H18" s="615">
        <v>0</v>
      </c>
      <c r="I18" s="615">
        <v>6759.65</v>
      </c>
      <c r="J18" s="615">
        <v>6034.21</v>
      </c>
      <c r="K18" s="615">
        <v>725.44</v>
      </c>
      <c r="L18" s="615">
        <v>0</v>
      </c>
      <c r="M18" s="615">
        <v>0</v>
      </c>
      <c r="N18" s="615">
        <v>0</v>
      </c>
      <c r="O18" s="615">
        <v>34</v>
      </c>
      <c r="P18" s="616">
        <v>0.10251854620450573</v>
      </c>
      <c r="Q18" s="616">
        <v>0.10252987058647743</v>
      </c>
      <c r="R18" s="616">
        <v>0.10792707999999999</v>
      </c>
      <c r="S18" s="615">
        <v>75.486599999999996</v>
      </c>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row>
    <row r="19" spans="1:46">
      <c r="A19" s="613">
        <v>10</v>
      </c>
      <c r="B19" s="614" t="s">
        <v>741</v>
      </c>
      <c r="C19" s="615">
        <v>205713477.49629998</v>
      </c>
      <c r="D19" s="615">
        <v>189093001.72669998</v>
      </c>
      <c r="E19" s="615">
        <v>8258605.4237000002</v>
      </c>
      <c r="F19" s="615">
        <v>5342681.3669000007</v>
      </c>
      <c r="G19" s="615">
        <v>2142311.4734999998</v>
      </c>
      <c r="H19" s="615">
        <v>876877.50550000009</v>
      </c>
      <c r="I19" s="615">
        <v>8069466.7620000001</v>
      </c>
      <c r="J19" s="615">
        <v>3692767.9386</v>
      </c>
      <c r="K19" s="615">
        <v>825860.73979999986</v>
      </c>
      <c r="L19" s="615">
        <v>1602804.4799000002</v>
      </c>
      <c r="M19" s="615">
        <v>1071156.0981999999</v>
      </c>
      <c r="N19" s="615">
        <v>876877.50550000009</v>
      </c>
      <c r="O19" s="615">
        <v>14727</v>
      </c>
      <c r="P19" s="616">
        <v>0.20857909657424845</v>
      </c>
      <c r="Q19" s="616">
        <v>0.24733808664076737</v>
      </c>
      <c r="R19" s="616">
        <v>0.15160140394339602</v>
      </c>
      <c r="S19" s="615">
        <v>78.021600000000007</v>
      </c>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row>
    <row r="20" spans="1:46" ht="25.5">
      <c r="A20" s="613">
        <v>10.1</v>
      </c>
      <c r="B20" s="614" t="s">
        <v>742</v>
      </c>
      <c r="C20" s="615">
        <v>0</v>
      </c>
      <c r="D20" s="615">
        <v>0</v>
      </c>
      <c r="E20" s="615">
        <v>0</v>
      </c>
      <c r="F20" s="615">
        <v>0</v>
      </c>
      <c r="G20" s="615">
        <v>0</v>
      </c>
      <c r="H20" s="615">
        <v>0</v>
      </c>
      <c r="I20" s="615">
        <v>0</v>
      </c>
      <c r="J20" s="615">
        <v>0</v>
      </c>
      <c r="K20" s="615">
        <v>0</v>
      </c>
      <c r="L20" s="615">
        <v>0</v>
      </c>
      <c r="M20" s="615">
        <v>0</v>
      </c>
      <c r="N20" s="615">
        <v>0</v>
      </c>
      <c r="O20" s="615">
        <v>0</v>
      </c>
      <c r="P20" s="616">
        <v>0</v>
      </c>
      <c r="Q20" s="616">
        <v>0</v>
      </c>
      <c r="R20" s="616">
        <v>0</v>
      </c>
      <c r="S20" s="615">
        <v>0</v>
      </c>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row>
    <row r="21" spans="1:46">
      <c r="C21" s="618"/>
      <c r="D21" s="618"/>
      <c r="E21" s="618"/>
      <c r="F21" s="618"/>
      <c r="G21" s="618"/>
      <c r="H21" s="618"/>
      <c r="I21" s="618"/>
      <c r="J21" s="618"/>
      <c r="K21" s="618"/>
      <c r="L21" s="618"/>
      <c r="M21" s="618"/>
      <c r="N21" s="618"/>
      <c r="O21" s="618"/>
      <c r="P21" s="618"/>
      <c r="Q21" s="618"/>
      <c r="R21" s="618"/>
      <c r="S21" s="618"/>
    </row>
    <row r="22" spans="1:46">
      <c r="C22" s="618"/>
      <c r="D22" s="618"/>
      <c r="E22" s="618"/>
      <c r="F22" s="618"/>
      <c r="G22" s="618"/>
      <c r="H22" s="618"/>
      <c r="I22" s="618"/>
      <c r="J22" s="618"/>
      <c r="K22" s="618"/>
      <c r="L22" s="618"/>
      <c r="M22" s="618"/>
      <c r="N22" s="618"/>
      <c r="O22" s="618"/>
      <c r="P22" s="618"/>
      <c r="Q22" s="619"/>
      <c r="R22" s="618"/>
      <c r="S22" s="618"/>
    </row>
    <row r="23" spans="1:46">
      <c r="P23" s="618"/>
      <c r="Q23" s="620"/>
    </row>
    <row r="24" spans="1:46">
      <c r="P24" s="621"/>
    </row>
    <row r="25" spans="1:46">
      <c r="P25" s="621"/>
      <c r="Q25" s="622"/>
    </row>
    <row r="26" spans="1:46">
      <c r="P26" s="623"/>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activeCell="C50" sqref="C50"/>
      <selection pane="topRight" activeCell="C50" sqref="C50"/>
      <selection pane="bottomLeft" activeCell="C50" sqref="C50"/>
      <selection pane="bottomRight" activeCell="B1" sqref="B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"ტერაბანკი"</v>
      </c>
    </row>
    <row r="2" spans="1:8" ht="15.75">
      <c r="A2" s="14" t="s">
        <v>189</v>
      </c>
      <c r="B2" s="403">
        <f>'1. key ratios'!B2</f>
        <v>44834</v>
      </c>
    </row>
    <row r="3" spans="1:8" ht="15.75">
      <c r="A3" s="14"/>
    </row>
    <row r="4" spans="1:8" ht="16.5" thickBot="1">
      <c r="A4" s="15" t="s">
        <v>329</v>
      </c>
      <c r="B4" s="63" t="s">
        <v>244</v>
      </c>
      <c r="C4" s="15"/>
      <c r="D4" s="25"/>
      <c r="E4" s="25"/>
      <c r="F4" s="26"/>
      <c r="G4" s="26"/>
      <c r="H4" s="27" t="s">
        <v>93</v>
      </c>
    </row>
    <row r="5" spans="1:8" ht="15.75">
      <c r="A5" s="28"/>
      <c r="B5" s="29"/>
      <c r="C5" s="627" t="s">
        <v>194</v>
      </c>
      <c r="D5" s="628"/>
      <c r="E5" s="629"/>
      <c r="F5" s="627" t="s">
        <v>195</v>
      </c>
      <c r="G5" s="628"/>
      <c r="H5" s="630"/>
    </row>
    <row r="6" spans="1:8" ht="15.75">
      <c r="A6" s="30" t="s">
        <v>26</v>
      </c>
      <c r="B6" s="31" t="s">
        <v>153</v>
      </c>
      <c r="C6" s="32" t="s">
        <v>27</v>
      </c>
      <c r="D6" s="32" t="s">
        <v>94</v>
      </c>
      <c r="E6" s="32" t="s">
        <v>68</v>
      </c>
      <c r="F6" s="32" t="s">
        <v>27</v>
      </c>
      <c r="G6" s="32" t="s">
        <v>94</v>
      </c>
      <c r="H6" s="33" t="s">
        <v>68</v>
      </c>
    </row>
    <row r="7" spans="1:8" ht="15.75">
      <c r="A7" s="30">
        <v>1</v>
      </c>
      <c r="B7" s="34" t="s">
        <v>154</v>
      </c>
      <c r="C7" s="214">
        <v>19014784.629832599</v>
      </c>
      <c r="D7" s="214">
        <v>19225429.800000001</v>
      </c>
      <c r="E7" s="215">
        <f>C7+D7</f>
        <v>38240214.4298326</v>
      </c>
      <c r="F7" s="214">
        <v>14905936.549999995</v>
      </c>
      <c r="G7" s="214">
        <v>29594607.670000017</v>
      </c>
      <c r="H7" s="217">
        <f>F7+G7</f>
        <v>44500544.220000014</v>
      </c>
    </row>
    <row r="8" spans="1:8" ht="15.75">
      <c r="A8" s="30">
        <v>2</v>
      </c>
      <c r="B8" s="34" t="s">
        <v>155</v>
      </c>
      <c r="C8" s="214">
        <v>17844385.239999998</v>
      </c>
      <c r="D8" s="214">
        <v>98316592.959999993</v>
      </c>
      <c r="E8" s="215">
        <f t="shared" ref="E8:E20" si="0">C8+D8</f>
        <v>116160978.19999999</v>
      </c>
      <c r="F8" s="214">
        <v>12687249.43</v>
      </c>
      <c r="G8" s="214">
        <v>144052299.41</v>
      </c>
      <c r="H8" s="217">
        <f t="shared" ref="H8:H40" si="1">F8+G8</f>
        <v>156739548.84</v>
      </c>
    </row>
    <row r="9" spans="1:8" ht="15.75">
      <c r="A9" s="30">
        <v>3</v>
      </c>
      <c r="B9" s="34" t="s">
        <v>156</v>
      </c>
      <c r="C9" s="214">
        <v>202278.66999999998</v>
      </c>
      <c r="D9" s="214">
        <v>44416161.790000007</v>
      </c>
      <c r="E9" s="215">
        <f t="shared" si="0"/>
        <v>44618440.460000008</v>
      </c>
      <c r="F9" s="214">
        <v>455220.66000000003</v>
      </c>
      <c r="G9" s="214">
        <v>41807925.719999999</v>
      </c>
      <c r="H9" s="217">
        <f t="shared" si="1"/>
        <v>42263146.379999995</v>
      </c>
    </row>
    <row r="10" spans="1:8" ht="15.75">
      <c r="A10" s="30">
        <v>4</v>
      </c>
      <c r="B10" s="34" t="s">
        <v>185</v>
      </c>
      <c r="C10" s="214">
        <v>0</v>
      </c>
      <c r="D10" s="214">
        <v>0</v>
      </c>
      <c r="E10" s="214">
        <v>0</v>
      </c>
      <c r="F10" s="214">
        <v>0</v>
      </c>
      <c r="G10" s="214">
        <v>0</v>
      </c>
      <c r="H10" s="217">
        <f t="shared" si="1"/>
        <v>0</v>
      </c>
    </row>
    <row r="11" spans="1:8" ht="15.75">
      <c r="A11" s="30">
        <v>5</v>
      </c>
      <c r="B11" s="34" t="s">
        <v>157</v>
      </c>
      <c r="C11" s="214">
        <v>161124418.93000001</v>
      </c>
      <c r="D11" s="214">
        <v>0</v>
      </c>
      <c r="E11" s="215">
        <f t="shared" si="0"/>
        <v>161124418.93000001</v>
      </c>
      <c r="F11" s="214">
        <v>127105313.37</v>
      </c>
      <c r="G11" s="214">
        <v>0</v>
      </c>
      <c r="H11" s="217">
        <f t="shared" si="1"/>
        <v>127105313.37</v>
      </c>
    </row>
    <row r="12" spans="1:8" ht="15.75">
      <c r="A12" s="30">
        <v>6.1</v>
      </c>
      <c r="B12" s="35" t="s">
        <v>158</v>
      </c>
      <c r="C12" s="214">
        <v>553038244.80999541</v>
      </c>
      <c r="D12" s="214">
        <v>502998189.38000089</v>
      </c>
      <c r="E12" s="215">
        <f t="shared" si="0"/>
        <v>1056036434.1899962</v>
      </c>
      <c r="F12" s="214">
        <v>408374238.0899992</v>
      </c>
      <c r="G12" s="214">
        <v>525133528.55999899</v>
      </c>
      <c r="H12" s="217">
        <f t="shared" si="1"/>
        <v>933507766.64999819</v>
      </c>
    </row>
    <row r="13" spans="1:8" ht="15.75">
      <c r="A13" s="30">
        <v>6.2</v>
      </c>
      <c r="B13" s="35" t="s">
        <v>159</v>
      </c>
      <c r="C13" s="214">
        <v>20758694.249999981</v>
      </c>
      <c r="D13" s="214">
        <v>24301814.020000003</v>
      </c>
      <c r="E13" s="215">
        <f t="shared" si="0"/>
        <v>45060508.269999981</v>
      </c>
      <c r="F13" s="214">
        <v>17790697.689999886</v>
      </c>
      <c r="G13" s="214">
        <v>33441201.260000002</v>
      </c>
      <c r="H13" s="217">
        <f t="shared" si="1"/>
        <v>51231898.949999884</v>
      </c>
    </row>
    <row r="14" spans="1:8" ht="15.75">
      <c r="A14" s="30">
        <v>6</v>
      </c>
      <c r="B14" s="34" t="s">
        <v>160</v>
      </c>
      <c r="C14" s="215">
        <f>C12-C13</f>
        <v>532279550.55999541</v>
      </c>
      <c r="D14" s="215">
        <f>D12-D13</f>
        <v>478696375.36000091</v>
      </c>
      <c r="E14" s="215">
        <f t="shared" si="0"/>
        <v>1010975925.9199963</v>
      </c>
      <c r="F14" s="215">
        <f>F12-F13</f>
        <v>390583540.39999932</v>
      </c>
      <c r="G14" s="215">
        <f>G12-G13</f>
        <v>491692327.299999</v>
      </c>
      <c r="H14" s="217">
        <f t="shared" si="1"/>
        <v>882275867.69999838</v>
      </c>
    </row>
    <row r="15" spans="1:8" ht="15.75">
      <c r="A15" s="30">
        <v>7</v>
      </c>
      <c r="B15" s="34" t="s">
        <v>161</v>
      </c>
      <c r="C15" s="214">
        <v>8591025.9899999872</v>
      </c>
      <c r="D15" s="214">
        <v>2740945.58</v>
      </c>
      <c r="E15" s="215">
        <f t="shared" si="0"/>
        <v>11331971.569999987</v>
      </c>
      <c r="F15" s="214">
        <v>6506337.6699999776</v>
      </c>
      <c r="G15" s="214">
        <v>6367886.79</v>
      </c>
      <c r="H15" s="217">
        <f t="shared" si="1"/>
        <v>12874224.459999979</v>
      </c>
    </row>
    <row r="16" spans="1:8" ht="15.75">
      <c r="A16" s="30">
        <v>8</v>
      </c>
      <c r="B16" s="34" t="s">
        <v>162</v>
      </c>
      <c r="C16" s="214">
        <v>6007958.9600000009</v>
      </c>
      <c r="D16" s="214">
        <v>0</v>
      </c>
      <c r="E16" s="215">
        <f t="shared" si="0"/>
        <v>6007958.9600000009</v>
      </c>
      <c r="F16" s="214">
        <v>3574072.9600000121</v>
      </c>
      <c r="G16" s="214">
        <v>0</v>
      </c>
      <c r="H16" s="217">
        <f t="shared" si="1"/>
        <v>3574072.9600000121</v>
      </c>
    </row>
    <row r="17" spans="1:8" ht="15.75">
      <c r="A17" s="30">
        <v>9</v>
      </c>
      <c r="B17" s="34" t="s">
        <v>163</v>
      </c>
      <c r="C17" s="214">
        <v>0</v>
      </c>
      <c r="D17" s="214">
        <v>0</v>
      </c>
      <c r="E17" s="215">
        <f t="shared" si="0"/>
        <v>0</v>
      </c>
      <c r="F17" s="214">
        <v>0</v>
      </c>
      <c r="G17" s="214">
        <v>0</v>
      </c>
      <c r="H17" s="217">
        <f t="shared" si="1"/>
        <v>0</v>
      </c>
    </row>
    <row r="18" spans="1:8" ht="15.75">
      <c r="A18" s="30">
        <v>10</v>
      </c>
      <c r="B18" s="34" t="s">
        <v>164</v>
      </c>
      <c r="C18" s="214">
        <v>46325390.210000031</v>
      </c>
      <c r="D18" s="214">
        <v>0</v>
      </c>
      <c r="E18" s="215">
        <f t="shared" si="0"/>
        <v>46325390.210000031</v>
      </c>
      <c r="F18" s="214">
        <v>46467904.75999999</v>
      </c>
      <c r="G18" s="214">
        <v>0</v>
      </c>
      <c r="H18" s="217">
        <f t="shared" si="1"/>
        <v>46467904.75999999</v>
      </c>
    </row>
    <row r="19" spans="1:8" ht="15.75">
      <c r="A19" s="30">
        <v>11</v>
      </c>
      <c r="B19" s="34" t="s">
        <v>165</v>
      </c>
      <c r="C19" s="214">
        <v>11631818.708799999</v>
      </c>
      <c r="D19" s="214">
        <v>1527035.4300000004</v>
      </c>
      <c r="E19" s="215">
        <f t="shared" si="0"/>
        <v>13158854.138799999</v>
      </c>
      <c r="F19" s="214">
        <v>8238395.9750000006</v>
      </c>
      <c r="G19" s="214">
        <v>527457.66</v>
      </c>
      <c r="H19" s="217">
        <f t="shared" si="1"/>
        <v>8765853.6349999998</v>
      </c>
    </row>
    <row r="20" spans="1:8" ht="15.75">
      <c r="A20" s="30">
        <v>12</v>
      </c>
      <c r="B20" s="36" t="s">
        <v>166</v>
      </c>
      <c r="C20" s="215">
        <f>SUM(C7:C11)+SUM(C14:C19)</f>
        <v>803021611.898628</v>
      </c>
      <c r="D20" s="215">
        <f>SUM(D7:D11)+SUM(D14:D19)</f>
        <v>644922540.92000091</v>
      </c>
      <c r="E20" s="215">
        <f t="shared" si="0"/>
        <v>1447944152.8186288</v>
      </c>
      <c r="F20" s="215">
        <f>SUM(F7:F11)+SUM(F14:F19)</f>
        <v>610523971.77499938</v>
      </c>
      <c r="G20" s="215">
        <f>SUM(G7:G11)+SUM(G14:G19)</f>
        <v>714042504.549999</v>
      </c>
      <c r="H20" s="217">
        <f t="shared" si="1"/>
        <v>1324566476.3249984</v>
      </c>
    </row>
    <row r="21" spans="1:8" ht="15.75">
      <c r="A21" s="30"/>
      <c r="B21" s="31" t="s">
        <v>183</v>
      </c>
      <c r="C21" s="214"/>
      <c r="D21" s="214"/>
      <c r="E21" s="218"/>
      <c r="F21" s="214"/>
      <c r="G21" s="214"/>
      <c r="H21" s="219"/>
    </row>
    <row r="22" spans="1:8" ht="15.75">
      <c r="A22" s="30">
        <v>13</v>
      </c>
      <c r="B22" s="34" t="s">
        <v>167</v>
      </c>
      <c r="C22" s="214">
        <v>3002513.48</v>
      </c>
      <c r="D22" s="214">
        <v>52316.97</v>
      </c>
      <c r="E22" s="215">
        <f>C22+D22</f>
        <v>3054830.45</v>
      </c>
      <c r="F22" s="214">
        <v>2591.48</v>
      </c>
      <c r="G22" s="214">
        <v>60491.21</v>
      </c>
      <c r="H22" s="217">
        <f t="shared" si="1"/>
        <v>63082.69</v>
      </c>
    </row>
    <row r="23" spans="1:8" ht="15.75">
      <c r="A23" s="30">
        <v>14</v>
      </c>
      <c r="B23" s="34" t="s">
        <v>168</v>
      </c>
      <c r="C23" s="214">
        <v>90460024.109999925</v>
      </c>
      <c r="D23" s="214">
        <v>98426326.160149425</v>
      </c>
      <c r="E23" s="215">
        <f t="shared" ref="E23:E40" si="2">C23+D23</f>
        <v>188886350.27014935</v>
      </c>
      <c r="F23" s="214">
        <v>88529046.319999725</v>
      </c>
      <c r="G23" s="214">
        <v>153978996.96006653</v>
      </c>
      <c r="H23" s="217">
        <f t="shared" si="1"/>
        <v>242508043.28006625</v>
      </c>
    </row>
    <row r="24" spans="1:8" ht="15.75">
      <c r="A24" s="30">
        <v>15</v>
      </c>
      <c r="B24" s="34" t="s">
        <v>169</v>
      </c>
      <c r="C24" s="214">
        <v>116924306.79999998</v>
      </c>
      <c r="D24" s="214">
        <v>156900637.34000003</v>
      </c>
      <c r="E24" s="215">
        <f t="shared" si="2"/>
        <v>273824944.13999999</v>
      </c>
      <c r="F24" s="214">
        <v>56900713.519999981</v>
      </c>
      <c r="G24" s="214">
        <v>162108930.39000013</v>
      </c>
      <c r="H24" s="217">
        <f t="shared" si="1"/>
        <v>219009643.91000012</v>
      </c>
    </row>
    <row r="25" spans="1:8" ht="15.75">
      <c r="A25" s="30">
        <v>16</v>
      </c>
      <c r="B25" s="34" t="s">
        <v>170</v>
      </c>
      <c r="C25" s="214">
        <v>179407656.62</v>
      </c>
      <c r="D25" s="214">
        <v>272561410.56000054</v>
      </c>
      <c r="E25" s="215">
        <f t="shared" si="2"/>
        <v>451969067.18000054</v>
      </c>
      <c r="F25" s="214">
        <v>133197838.14999995</v>
      </c>
      <c r="G25" s="214">
        <v>260051908.72999984</v>
      </c>
      <c r="H25" s="217">
        <f t="shared" si="1"/>
        <v>393249746.87999976</v>
      </c>
    </row>
    <row r="26" spans="1:8" ht="15.75">
      <c r="A26" s="30">
        <v>17</v>
      </c>
      <c r="B26" s="34" t="s">
        <v>171</v>
      </c>
      <c r="C26" s="214">
        <v>0</v>
      </c>
      <c r="D26" s="214">
        <v>0</v>
      </c>
      <c r="E26" s="215">
        <f t="shared" si="2"/>
        <v>0</v>
      </c>
      <c r="F26" s="214">
        <v>0</v>
      </c>
      <c r="G26" s="214">
        <v>0</v>
      </c>
      <c r="H26" s="217">
        <f t="shared" si="1"/>
        <v>0</v>
      </c>
    </row>
    <row r="27" spans="1:8" ht="15.75">
      <c r="A27" s="30">
        <v>18</v>
      </c>
      <c r="B27" s="34" t="s">
        <v>172</v>
      </c>
      <c r="C27" s="214">
        <v>215316500</v>
      </c>
      <c r="D27" s="214">
        <v>45833552.950000003</v>
      </c>
      <c r="E27" s="215">
        <f t="shared" si="2"/>
        <v>261150052.94999999</v>
      </c>
      <c r="F27" s="214">
        <v>185527500</v>
      </c>
      <c r="G27" s="214">
        <v>49457476</v>
      </c>
      <c r="H27" s="217">
        <f t="shared" si="1"/>
        <v>234984976</v>
      </c>
    </row>
    <row r="28" spans="1:8" ht="15.75">
      <c r="A28" s="30">
        <v>19</v>
      </c>
      <c r="B28" s="34" t="s">
        <v>173</v>
      </c>
      <c r="C28" s="214">
        <v>4040230.4899999984</v>
      </c>
      <c r="D28" s="214">
        <v>1535238.310000004</v>
      </c>
      <c r="E28" s="215">
        <f t="shared" si="2"/>
        <v>5575468.8000000026</v>
      </c>
      <c r="F28" s="214">
        <v>3011884.859999998</v>
      </c>
      <c r="G28" s="214">
        <v>1869818.8300000033</v>
      </c>
      <c r="H28" s="217">
        <f t="shared" si="1"/>
        <v>4881703.6900000013</v>
      </c>
    </row>
    <row r="29" spans="1:8" ht="15.75">
      <c r="A29" s="30">
        <v>20</v>
      </c>
      <c r="B29" s="34" t="s">
        <v>95</v>
      </c>
      <c r="C29" s="214">
        <v>12036310.810000004</v>
      </c>
      <c r="D29" s="214">
        <v>12295656.419999998</v>
      </c>
      <c r="E29" s="215">
        <f t="shared" si="2"/>
        <v>24331967.230000004</v>
      </c>
      <c r="F29" s="214">
        <v>9786538.1699999981</v>
      </c>
      <c r="G29" s="214">
        <v>11480722.77</v>
      </c>
      <c r="H29" s="217">
        <f t="shared" si="1"/>
        <v>21267260.939999998</v>
      </c>
    </row>
    <row r="30" spans="1:8" ht="15.75">
      <c r="A30" s="30">
        <v>21</v>
      </c>
      <c r="B30" s="34" t="s">
        <v>174</v>
      </c>
      <c r="C30" s="214">
        <v>0</v>
      </c>
      <c r="D30" s="214">
        <v>58458406.380000003</v>
      </c>
      <c r="E30" s="215">
        <f t="shared" si="2"/>
        <v>58458406.380000003</v>
      </c>
      <c r="F30" s="214">
        <v>0</v>
      </c>
      <c r="G30" s="214">
        <v>59305382.099999994</v>
      </c>
      <c r="H30" s="217">
        <f t="shared" si="1"/>
        <v>59305382.099999994</v>
      </c>
    </row>
    <row r="31" spans="1:8" ht="15.75">
      <c r="A31" s="30">
        <v>22</v>
      </c>
      <c r="B31" s="36" t="s">
        <v>175</v>
      </c>
      <c r="C31" s="215">
        <f>SUM(C22:C30)</f>
        <v>621187542.31000006</v>
      </c>
      <c r="D31" s="215">
        <f>SUM(D22:D30)</f>
        <v>646063545.09015</v>
      </c>
      <c r="E31" s="215">
        <f>C31+D31</f>
        <v>1267251087.4001501</v>
      </c>
      <c r="F31" s="215">
        <f>SUM(F22:F30)</f>
        <v>476956112.4999997</v>
      </c>
      <c r="G31" s="215">
        <f>SUM(G22:G30)</f>
        <v>698313726.99006653</v>
      </c>
      <c r="H31" s="217">
        <f t="shared" si="1"/>
        <v>1175269839.4900663</v>
      </c>
    </row>
    <row r="32" spans="1:8" ht="15.75">
      <c r="A32" s="30"/>
      <c r="B32" s="31" t="s">
        <v>184</v>
      </c>
      <c r="C32" s="214"/>
      <c r="D32" s="214"/>
      <c r="E32" s="214"/>
      <c r="F32" s="214"/>
      <c r="G32" s="214"/>
      <c r="H32" s="219"/>
    </row>
    <row r="33" spans="1:8" ht="15.75">
      <c r="A33" s="30">
        <v>23</v>
      </c>
      <c r="B33" s="34" t="s">
        <v>176</v>
      </c>
      <c r="C33" s="214">
        <v>121372000</v>
      </c>
      <c r="D33" s="214">
        <v>0</v>
      </c>
      <c r="E33" s="215">
        <f t="shared" si="2"/>
        <v>121372000</v>
      </c>
      <c r="F33" s="214">
        <v>121372000</v>
      </c>
      <c r="G33" s="214">
        <v>0</v>
      </c>
      <c r="H33" s="217">
        <f t="shared" si="1"/>
        <v>121372000</v>
      </c>
    </row>
    <row r="34" spans="1:8" ht="15.75">
      <c r="A34" s="30">
        <v>24</v>
      </c>
      <c r="B34" s="34" t="s">
        <v>177</v>
      </c>
      <c r="C34" s="214">
        <v>0</v>
      </c>
      <c r="D34" s="214">
        <v>0</v>
      </c>
      <c r="E34" s="215">
        <f t="shared" si="2"/>
        <v>0</v>
      </c>
      <c r="F34" s="214">
        <v>0</v>
      </c>
      <c r="G34" s="214">
        <v>0</v>
      </c>
      <c r="H34" s="217">
        <f t="shared" si="1"/>
        <v>0</v>
      </c>
    </row>
    <row r="35" spans="1:8" ht="15.75">
      <c r="A35" s="30">
        <v>25</v>
      </c>
      <c r="B35" s="35" t="s">
        <v>178</v>
      </c>
      <c r="C35" s="214">
        <v>0</v>
      </c>
      <c r="D35" s="214">
        <v>0</v>
      </c>
      <c r="E35" s="215">
        <f t="shared" si="2"/>
        <v>0</v>
      </c>
      <c r="F35" s="214">
        <v>0</v>
      </c>
      <c r="G35" s="214">
        <v>0</v>
      </c>
      <c r="H35" s="217">
        <f t="shared" si="1"/>
        <v>0</v>
      </c>
    </row>
    <row r="36" spans="1:8" ht="15.75">
      <c r="A36" s="30">
        <v>26</v>
      </c>
      <c r="B36" s="34" t="s">
        <v>179</v>
      </c>
      <c r="C36" s="214">
        <v>0</v>
      </c>
      <c r="D36" s="214">
        <v>0</v>
      </c>
      <c r="E36" s="215">
        <f t="shared" si="2"/>
        <v>0</v>
      </c>
      <c r="F36" s="214">
        <v>0</v>
      </c>
      <c r="G36" s="214">
        <v>0</v>
      </c>
      <c r="H36" s="217">
        <f t="shared" si="1"/>
        <v>0</v>
      </c>
    </row>
    <row r="37" spans="1:8" ht="15.75">
      <c r="A37" s="30">
        <v>27</v>
      </c>
      <c r="B37" s="34" t="s">
        <v>180</v>
      </c>
      <c r="C37" s="214">
        <v>0</v>
      </c>
      <c r="D37" s="214">
        <v>0</v>
      </c>
      <c r="E37" s="215">
        <f t="shared" si="2"/>
        <v>0</v>
      </c>
      <c r="F37" s="214">
        <v>0</v>
      </c>
      <c r="G37" s="214">
        <v>0</v>
      </c>
      <c r="H37" s="217">
        <f t="shared" si="1"/>
        <v>0</v>
      </c>
    </row>
    <row r="38" spans="1:8" ht="15.75">
      <c r="A38" s="30">
        <v>28</v>
      </c>
      <c r="B38" s="34" t="s">
        <v>181</v>
      </c>
      <c r="C38" s="214">
        <v>59321065.479999997</v>
      </c>
      <c r="D38" s="214">
        <v>0</v>
      </c>
      <c r="E38" s="215">
        <f t="shared" si="2"/>
        <v>59321065.479999997</v>
      </c>
      <c r="F38" s="214">
        <v>27924636.799999997</v>
      </c>
      <c r="G38" s="214">
        <v>0</v>
      </c>
      <c r="H38" s="217">
        <f t="shared" si="1"/>
        <v>27924636.799999997</v>
      </c>
    </row>
    <row r="39" spans="1:8" ht="15.75">
      <c r="A39" s="30">
        <v>29</v>
      </c>
      <c r="B39" s="34" t="s">
        <v>196</v>
      </c>
      <c r="C39" s="214">
        <v>0</v>
      </c>
      <c r="D39" s="214">
        <v>0</v>
      </c>
      <c r="E39" s="215">
        <f t="shared" si="2"/>
        <v>0</v>
      </c>
      <c r="F39" s="214">
        <v>0</v>
      </c>
      <c r="G39" s="214">
        <v>0</v>
      </c>
      <c r="H39" s="217">
        <f t="shared" si="1"/>
        <v>0</v>
      </c>
    </row>
    <row r="40" spans="1:8" ht="15.75">
      <c r="A40" s="30">
        <v>30</v>
      </c>
      <c r="B40" s="36" t="s">
        <v>182</v>
      </c>
      <c r="C40" s="214">
        <v>180693065.47999999</v>
      </c>
      <c r="D40" s="214">
        <v>0</v>
      </c>
      <c r="E40" s="215">
        <f t="shared" si="2"/>
        <v>180693065.47999999</v>
      </c>
      <c r="F40" s="214">
        <v>149296636.80000001</v>
      </c>
      <c r="G40" s="214">
        <v>0</v>
      </c>
      <c r="H40" s="217">
        <f t="shared" si="1"/>
        <v>149296636.80000001</v>
      </c>
    </row>
    <row r="41" spans="1:8" ht="16.5" thickBot="1">
      <c r="A41" s="37">
        <v>31</v>
      </c>
      <c r="B41" s="38" t="s">
        <v>197</v>
      </c>
      <c r="C41" s="220">
        <f>C31+C40</f>
        <v>801880607.79000008</v>
      </c>
      <c r="D41" s="220">
        <f>D31+D40</f>
        <v>646063545.09015</v>
      </c>
      <c r="E41" s="220">
        <f>C41+D41</f>
        <v>1447944152.8801501</v>
      </c>
      <c r="F41" s="220">
        <f>F31+F40</f>
        <v>626252749.29999971</v>
      </c>
      <c r="G41" s="220">
        <f>G31+G40</f>
        <v>698313726.99006653</v>
      </c>
      <c r="H41" s="221">
        <f>F41+G41</f>
        <v>1324566476.2900662</v>
      </c>
    </row>
    <row r="43" spans="1:8">
      <c r="B43" s="39"/>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21" activePane="bottomRight" state="frozen"/>
      <selection activeCell="C50" sqref="C50"/>
      <selection pane="topRight" activeCell="C50" sqref="C50"/>
      <selection pane="bottomLeft" activeCell="C50" sqref="C50"/>
      <selection pane="bottomRight" activeCell="C50" sqref="C50"/>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4" t="s">
        <v>188</v>
      </c>
      <c r="B1" s="13" t="str">
        <f>Info!C2</f>
        <v>ს.ს. "ტერაბანკი"</v>
      </c>
      <c r="C1" s="13"/>
    </row>
    <row r="2" spans="1:8" ht="15.75">
      <c r="A2" s="14" t="s">
        <v>189</v>
      </c>
      <c r="B2" s="403">
        <f>'1. key ratios'!B2</f>
        <v>44834</v>
      </c>
      <c r="C2" s="13"/>
    </row>
    <row r="3" spans="1:8" ht="15.75">
      <c r="A3" s="14"/>
      <c r="B3" s="13"/>
      <c r="C3" s="13"/>
    </row>
    <row r="4" spans="1:8" ht="16.5" thickBot="1">
      <c r="A4" s="15" t="s">
        <v>330</v>
      </c>
      <c r="B4" s="24" t="s">
        <v>222</v>
      </c>
      <c r="C4" s="26"/>
      <c r="D4" s="26"/>
      <c r="E4" s="26"/>
      <c r="F4" s="15"/>
      <c r="G4" s="15"/>
      <c r="H4" s="40" t="s">
        <v>93</v>
      </c>
    </row>
    <row r="5" spans="1:8" ht="15.75">
      <c r="A5" s="112"/>
      <c r="B5" s="113"/>
      <c r="C5" s="627" t="s">
        <v>194</v>
      </c>
      <c r="D5" s="628"/>
      <c r="E5" s="629"/>
      <c r="F5" s="627" t="s">
        <v>195</v>
      </c>
      <c r="G5" s="628"/>
      <c r="H5" s="630"/>
    </row>
    <row r="6" spans="1:8">
      <c r="A6" s="114" t="s">
        <v>26</v>
      </c>
      <c r="B6" s="41"/>
      <c r="C6" s="42" t="s">
        <v>27</v>
      </c>
      <c r="D6" s="42" t="s">
        <v>96</v>
      </c>
      <c r="E6" s="42" t="s">
        <v>68</v>
      </c>
      <c r="F6" s="42" t="s">
        <v>27</v>
      </c>
      <c r="G6" s="42" t="s">
        <v>96</v>
      </c>
      <c r="H6" s="115" t="s">
        <v>68</v>
      </c>
    </row>
    <row r="7" spans="1:8">
      <c r="A7" s="116"/>
      <c r="B7" s="44" t="s">
        <v>92</v>
      </c>
      <c r="C7" s="45"/>
      <c r="D7" s="45"/>
      <c r="E7" s="45"/>
      <c r="F7" s="45"/>
      <c r="G7" s="45"/>
      <c r="H7" s="117"/>
    </row>
    <row r="8" spans="1:8" ht="15.75">
      <c r="A8" s="116">
        <v>1</v>
      </c>
      <c r="B8" s="46" t="s">
        <v>97</v>
      </c>
      <c r="C8" s="222">
        <v>1400305.63</v>
      </c>
      <c r="D8" s="222">
        <v>-135576.37</v>
      </c>
      <c r="E8" s="215">
        <f>C8+D8</f>
        <v>1264729.2599999998</v>
      </c>
      <c r="F8" s="222">
        <v>964067.81999999983</v>
      </c>
      <c r="G8" s="222">
        <v>-421653.36</v>
      </c>
      <c r="H8" s="223">
        <f>F8+G8</f>
        <v>542414.45999999985</v>
      </c>
    </row>
    <row r="9" spans="1:8" ht="15.75">
      <c r="A9" s="116">
        <v>2</v>
      </c>
      <c r="B9" s="46" t="s">
        <v>98</v>
      </c>
      <c r="C9" s="224">
        <f>SUM(C10:C18)</f>
        <v>54390463.539999999</v>
      </c>
      <c r="D9" s="224">
        <f>SUM(D10:D18)</f>
        <v>27433467.119999997</v>
      </c>
      <c r="E9" s="215">
        <f t="shared" ref="E9:E67" si="0">C9+D9</f>
        <v>81823930.659999996</v>
      </c>
      <c r="F9" s="224">
        <f>SUM(F10:F18)</f>
        <v>37162237.469999999</v>
      </c>
      <c r="G9" s="224">
        <f>SUM(G10:G18)</f>
        <v>31097844.510000002</v>
      </c>
      <c r="H9" s="223">
        <f t="shared" ref="H9:H67" si="1">F9+G9</f>
        <v>68260081.980000004</v>
      </c>
    </row>
    <row r="10" spans="1:8" ht="15.75">
      <c r="A10" s="116">
        <v>2.1</v>
      </c>
      <c r="B10" s="47" t="s">
        <v>99</v>
      </c>
      <c r="C10" s="222">
        <v>0</v>
      </c>
      <c r="D10" s="222">
        <v>0</v>
      </c>
      <c r="E10" s="215">
        <f t="shared" si="0"/>
        <v>0</v>
      </c>
      <c r="F10" s="222">
        <v>0</v>
      </c>
      <c r="G10" s="222">
        <v>0</v>
      </c>
      <c r="H10" s="223">
        <f t="shared" si="1"/>
        <v>0</v>
      </c>
    </row>
    <row r="11" spans="1:8" ht="15.75">
      <c r="A11" s="116">
        <v>2.2000000000000002</v>
      </c>
      <c r="B11" s="47" t="s">
        <v>100</v>
      </c>
      <c r="C11" s="222">
        <v>13844358.199999999</v>
      </c>
      <c r="D11" s="222">
        <v>9200737.8099999987</v>
      </c>
      <c r="E11" s="215">
        <f t="shared" si="0"/>
        <v>23045096.009999998</v>
      </c>
      <c r="F11" s="222">
        <v>8441258.1899999995</v>
      </c>
      <c r="G11" s="222">
        <v>11298609.109999999</v>
      </c>
      <c r="H11" s="223">
        <f t="shared" si="1"/>
        <v>19739867.299999997</v>
      </c>
    </row>
    <row r="12" spans="1:8" ht="15.75">
      <c r="A12" s="116">
        <v>2.2999999999999998</v>
      </c>
      <c r="B12" s="47" t="s">
        <v>101</v>
      </c>
      <c r="C12" s="222">
        <v>0</v>
      </c>
      <c r="D12" s="222">
        <v>746971.26</v>
      </c>
      <c r="E12" s="215">
        <f t="shared" si="0"/>
        <v>746971.26</v>
      </c>
      <c r="F12" s="222">
        <v>0</v>
      </c>
      <c r="G12" s="222">
        <v>737796.42</v>
      </c>
      <c r="H12" s="223">
        <f t="shared" si="1"/>
        <v>737796.42</v>
      </c>
    </row>
    <row r="13" spans="1:8" ht="15.75">
      <c r="A13" s="116">
        <v>2.4</v>
      </c>
      <c r="B13" s="47" t="s">
        <v>102</v>
      </c>
      <c r="C13" s="222">
        <v>1202705.82</v>
      </c>
      <c r="D13" s="222">
        <v>164195.60999999999</v>
      </c>
      <c r="E13" s="215">
        <f t="shared" si="0"/>
        <v>1366901.4300000002</v>
      </c>
      <c r="F13" s="222">
        <v>541575.22</v>
      </c>
      <c r="G13" s="222">
        <v>87519.56</v>
      </c>
      <c r="H13" s="223">
        <f t="shared" si="1"/>
        <v>629094.78</v>
      </c>
    </row>
    <row r="14" spans="1:8" ht="15.75">
      <c r="A14" s="116">
        <v>2.5</v>
      </c>
      <c r="B14" s="47" t="s">
        <v>103</v>
      </c>
      <c r="C14" s="222">
        <v>931117.58</v>
      </c>
      <c r="D14" s="222">
        <v>5458500.6100000013</v>
      </c>
      <c r="E14" s="215">
        <f t="shared" si="0"/>
        <v>6389618.1900000013</v>
      </c>
      <c r="F14" s="222">
        <v>691747.75</v>
      </c>
      <c r="G14" s="222">
        <v>4595297.2299999995</v>
      </c>
      <c r="H14" s="223">
        <f t="shared" si="1"/>
        <v>5287044.9799999995</v>
      </c>
    </row>
    <row r="15" spans="1:8" ht="15.75">
      <c r="A15" s="116">
        <v>2.6</v>
      </c>
      <c r="B15" s="47" t="s">
        <v>104</v>
      </c>
      <c r="C15" s="222">
        <v>30301.32</v>
      </c>
      <c r="D15" s="222">
        <v>12672.85</v>
      </c>
      <c r="E15" s="215">
        <f t="shared" si="0"/>
        <v>42974.17</v>
      </c>
      <c r="F15" s="222">
        <v>16084.150000000001</v>
      </c>
      <c r="G15" s="222">
        <v>18259.03</v>
      </c>
      <c r="H15" s="223">
        <f t="shared" si="1"/>
        <v>34343.18</v>
      </c>
    </row>
    <row r="16" spans="1:8" ht="15.75">
      <c r="A16" s="116">
        <v>2.7</v>
      </c>
      <c r="B16" s="47" t="s">
        <v>105</v>
      </c>
      <c r="C16" s="222">
        <v>105888.38</v>
      </c>
      <c r="D16" s="222">
        <v>0</v>
      </c>
      <c r="E16" s="215">
        <f t="shared" si="0"/>
        <v>105888.38</v>
      </c>
      <c r="F16" s="222">
        <v>6996.27</v>
      </c>
      <c r="G16" s="222">
        <v>0</v>
      </c>
      <c r="H16" s="223">
        <f t="shared" si="1"/>
        <v>6996.27</v>
      </c>
    </row>
    <row r="17" spans="1:8" ht="15.75">
      <c r="A17" s="116">
        <v>2.8</v>
      </c>
      <c r="B17" s="47" t="s">
        <v>106</v>
      </c>
      <c r="C17" s="222">
        <v>33751062.029999994</v>
      </c>
      <c r="D17" s="222">
        <v>11214387.829999998</v>
      </c>
      <c r="E17" s="215">
        <f t="shared" si="0"/>
        <v>44965449.859999992</v>
      </c>
      <c r="F17" s="222">
        <v>23345851.450000003</v>
      </c>
      <c r="G17" s="222">
        <v>13490034.180000002</v>
      </c>
      <c r="H17" s="223">
        <f t="shared" si="1"/>
        <v>36835885.630000003</v>
      </c>
    </row>
    <row r="18" spans="1:8" ht="15.75">
      <c r="A18" s="116">
        <v>2.9</v>
      </c>
      <c r="B18" s="47" t="s">
        <v>107</v>
      </c>
      <c r="C18" s="222">
        <v>4525030.21</v>
      </c>
      <c r="D18" s="222">
        <v>636001.15000000014</v>
      </c>
      <c r="E18" s="215">
        <f t="shared" si="0"/>
        <v>5161031.3600000003</v>
      </c>
      <c r="F18" s="222">
        <v>4118724.4400000004</v>
      </c>
      <c r="G18" s="222">
        <v>870328.98</v>
      </c>
      <c r="H18" s="223">
        <f t="shared" si="1"/>
        <v>4989053.42</v>
      </c>
    </row>
    <row r="19" spans="1:8" ht="15.75">
      <c r="A19" s="116">
        <v>3</v>
      </c>
      <c r="B19" s="46" t="s">
        <v>108</v>
      </c>
      <c r="C19" s="222">
        <v>1161659.9099999995</v>
      </c>
      <c r="D19" s="222">
        <v>805374.72</v>
      </c>
      <c r="E19" s="215">
        <f t="shared" si="0"/>
        <v>1967034.6299999994</v>
      </c>
      <c r="F19" s="222">
        <v>846152.05000000016</v>
      </c>
      <c r="G19" s="222">
        <v>1279424.27</v>
      </c>
      <c r="H19" s="223">
        <f t="shared" si="1"/>
        <v>2125576.3200000003</v>
      </c>
    </row>
    <row r="20" spans="1:8" ht="15.75">
      <c r="A20" s="116">
        <v>4</v>
      </c>
      <c r="B20" s="46" t="s">
        <v>109</v>
      </c>
      <c r="C20" s="222">
        <v>10880542.1</v>
      </c>
      <c r="D20" s="222">
        <v>0</v>
      </c>
      <c r="E20" s="215">
        <f t="shared" si="0"/>
        <v>10880542.1</v>
      </c>
      <c r="F20" s="222">
        <v>6748656.2399999993</v>
      </c>
      <c r="G20" s="222">
        <v>0</v>
      </c>
      <c r="H20" s="223">
        <f t="shared" si="1"/>
        <v>6748656.2399999993</v>
      </c>
    </row>
    <row r="21" spans="1:8" ht="15.75">
      <c r="A21" s="116">
        <v>5</v>
      </c>
      <c r="B21" s="46" t="s">
        <v>110</v>
      </c>
      <c r="C21" s="222">
        <v>908863.65000000014</v>
      </c>
      <c r="D21" s="222">
        <v>313378.40000000002</v>
      </c>
      <c r="E21" s="215">
        <f t="shared" si="0"/>
        <v>1222242.0500000003</v>
      </c>
      <c r="F21" s="222">
        <v>600809.42999999993</v>
      </c>
      <c r="G21" s="222">
        <v>355463.77000000008</v>
      </c>
      <c r="H21" s="223">
        <f>F21+G21</f>
        <v>956273.2</v>
      </c>
    </row>
    <row r="22" spans="1:8" ht="15.75">
      <c r="A22" s="116">
        <v>6</v>
      </c>
      <c r="B22" s="48" t="s">
        <v>111</v>
      </c>
      <c r="C22" s="224">
        <f>C8+C9+C19+C20+C21</f>
        <v>68741834.829999998</v>
      </c>
      <c r="D22" s="224">
        <f>D8+D9+D19+D20+D21</f>
        <v>28416643.869999994</v>
      </c>
      <c r="E22" s="215">
        <f>C22+D22</f>
        <v>97158478.699999988</v>
      </c>
      <c r="F22" s="224">
        <f>F8+F9+F19+F20+F21</f>
        <v>46321923.009999998</v>
      </c>
      <c r="G22" s="224">
        <f>G8+G9+G19+G20+G21</f>
        <v>32311079.190000001</v>
      </c>
      <c r="H22" s="223">
        <f>F22+G22</f>
        <v>78633002.200000003</v>
      </c>
    </row>
    <row r="23" spans="1:8" ht="15.75">
      <c r="A23" s="116"/>
      <c r="B23" s="44" t="s">
        <v>90</v>
      </c>
      <c r="C23" s="222"/>
      <c r="D23" s="222"/>
      <c r="E23" s="214"/>
      <c r="F23" s="222"/>
      <c r="G23" s="222"/>
      <c r="H23" s="225"/>
    </row>
    <row r="24" spans="1:8" ht="15.75">
      <c r="A24" s="116">
        <v>7</v>
      </c>
      <c r="B24" s="46" t="s">
        <v>112</v>
      </c>
      <c r="C24" s="222">
        <v>9125451.5</v>
      </c>
      <c r="D24" s="222">
        <v>1416311.75</v>
      </c>
      <c r="E24" s="215">
        <f t="shared" si="0"/>
        <v>10541763.25</v>
      </c>
      <c r="F24" s="222">
        <v>5588378.8599999994</v>
      </c>
      <c r="G24" s="222">
        <v>2447720.5</v>
      </c>
      <c r="H24" s="223">
        <f t="shared" si="1"/>
        <v>8036099.3599999994</v>
      </c>
    </row>
    <row r="25" spans="1:8" ht="15.75">
      <c r="A25" s="116">
        <v>8</v>
      </c>
      <c r="B25" s="46" t="s">
        <v>113</v>
      </c>
      <c r="C25" s="222">
        <v>13491838.99</v>
      </c>
      <c r="D25" s="222">
        <v>5511853.3600000003</v>
      </c>
      <c r="E25" s="215">
        <f t="shared" si="0"/>
        <v>19003692.350000001</v>
      </c>
      <c r="F25" s="222">
        <v>11157355.870000001</v>
      </c>
      <c r="G25" s="222">
        <v>7174938.8999999994</v>
      </c>
      <c r="H25" s="223">
        <f t="shared" si="1"/>
        <v>18332294.77</v>
      </c>
    </row>
    <row r="26" spans="1:8" ht="15.75">
      <c r="A26" s="116">
        <v>9</v>
      </c>
      <c r="B26" s="46" t="s">
        <v>114</v>
      </c>
      <c r="C26" s="222">
        <v>91880.82</v>
      </c>
      <c r="D26" s="222">
        <v>14441.98</v>
      </c>
      <c r="E26" s="215">
        <f t="shared" si="0"/>
        <v>106322.8</v>
      </c>
      <c r="F26" s="222">
        <v>5782.19</v>
      </c>
      <c r="G26" s="222">
        <v>66537.5</v>
      </c>
      <c r="H26" s="223">
        <f t="shared" si="1"/>
        <v>72319.69</v>
      </c>
    </row>
    <row r="27" spans="1:8" ht="15.75">
      <c r="A27" s="116">
        <v>10</v>
      </c>
      <c r="B27" s="46" t="s">
        <v>115</v>
      </c>
      <c r="C27" s="222">
        <v>0</v>
      </c>
      <c r="D27" s="222">
        <v>0</v>
      </c>
      <c r="E27" s="215">
        <f t="shared" si="0"/>
        <v>0</v>
      </c>
      <c r="F27" s="222">
        <v>0</v>
      </c>
      <c r="G27" s="222">
        <v>0</v>
      </c>
      <c r="H27" s="223">
        <f t="shared" si="1"/>
        <v>0</v>
      </c>
    </row>
    <row r="28" spans="1:8" ht="15.75">
      <c r="A28" s="116">
        <v>11</v>
      </c>
      <c r="B28" s="46" t="s">
        <v>116</v>
      </c>
      <c r="C28" s="222">
        <v>18529112.82</v>
      </c>
      <c r="D28" s="222">
        <v>4815438.7299999995</v>
      </c>
      <c r="E28" s="215">
        <f t="shared" si="0"/>
        <v>23344551.550000001</v>
      </c>
      <c r="F28" s="222">
        <v>9881529.8600000013</v>
      </c>
      <c r="G28" s="222">
        <v>5236716.37</v>
      </c>
      <c r="H28" s="223">
        <f t="shared" si="1"/>
        <v>15118246.23</v>
      </c>
    </row>
    <row r="29" spans="1:8" ht="15.75">
      <c r="A29" s="116">
        <v>12</v>
      </c>
      <c r="B29" s="46" t="s">
        <v>117</v>
      </c>
      <c r="C29" s="222">
        <v>0</v>
      </c>
      <c r="D29" s="222">
        <v>0</v>
      </c>
      <c r="E29" s="215">
        <f t="shared" si="0"/>
        <v>0</v>
      </c>
      <c r="F29" s="222">
        <v>0</v>
      </c>
      <c r="G29" s="222">
        <v>0</v>
      </c>
      <c r="H29" s="223">
        <f t="shared" si="1"/>
        <v>0</v>
      </c>
    </row>
    <row r="30" spans="1:8" ht="15.75">
      <c r="A30" s="116">
        <v>13</v>
      </c>
      <c r="B30" s="49" t="s">
        <v>118</v>
      </c>
      <c r="C30" s="224">
        <f>SUM(C24:C29)</f>
        <v>41238284.130000003</v>
      </c>
      <c r="D30" s="224">
        <f>SUM(D24:D29)</f>
        <v>11758045.82</v>
      </c>
      <c r="E30" s="215">
        <f t="shared" si="0"/>
        <v>52996329.950000003</v>
      </c>
      <c r="F30" s="224">
        <f>SUM(F24:F29)</f>
        <v>26633046.780000001</v>
      </c>
      <c r="G30" s="224">
        <f>SUM(G24:G29)</f>
        <v>14925913.27</v>
      </c>
      <c r="H30" s="223">
        <f t="shared" si="1"/>
        <v>41558960.049999997</v>
      </c>
    </row>
    <row r="31" spans="1:8" ht="15.75">
      <c r="A31" s="116">
        <v>14</v>
      </c>
      <c r="B31" s="49" t="s">
        <v>119</v>
      </c>
      <c r="C31" s="224">
        <f>C22-C30</f>
        <v>27503550.699999996</v>
      </c>
      <c r="D31" s="224">
        <f>D22-D30</f>
        <v>16658598.049999993</v>
      </c>
      <c r="E31" s="215">
        <f t="shared" si="0"/>
        <v>44162148.749999985</v>
      </c>
      <c r="F31" s="224">
        <f>F22-F30</f>
        <v>19688876.229999997</v>
      </c>
      <c r="G31" s="224">
        <f>G22-G30</f>
        <v>17385165.920000002</v>
      </c>
      <c r="H31" s="223">
        <f t="shared" si="1"/>
        <v>37074042.149999999</v>
      </c>
    </row>
    <row r="32" spans="1:8">
      <c r="A32" s="116"/>
      <c r="B32" s="44"/>
      <c r="C32" s="226"/>
      <c r="D32" s="226"/>
      <c r="E32" s="226"/>
      <c r="F32" s="226"/>
      <c r="G32" s="226"/>
      <c r="H32" s="227"/>
    </row>
    <row r="33" spans="1:8" ht="15.75">
      <c r="A33" s="116"/>
      <c r="B33" s="44" t="s">
        <v>120</v>
      </c>
      <c r="C33" s="222"/>
      <c r="D33" s="222"/>
      <c r="E33" s="214"/>
      <c r="F33" s="222"/>
      <c r="G33" s="222"/>
      <c r="H33" s="225"/>
    </row>
    <row r="34" spans="1:8" ht="15.75">
      <c r="A34" s="116">
        <v>15</v>
      </c>
      <c r="B34" s="43" t="s">
        <v>91</v>
      </c>
      <c r="C34" s="224">
        <f>C35-C36</f>
        <v>2278214.2899999982</v>
      </c>
      <c r="D34" s="224">
        <f>D35-D36</f>
        <v>664583.56000000006</v>
      </c>
      <c r="E34" s="215">
        <f t="shared" si="0"/>
        <v>2942797.8499999982</v>
      </c>
      <c r="F34" s="224">
        <f>F35-F36</f>
        <v>1926304.1099999985</v>
      </c>
      <c r="G34" s="224">
        <f>G35-G36</f>
        <v>561012.79000000074</v>
      </c>
      <c r="H34" s="223">
        <f t="shared" si="1"/>
        <v>2487316.8999999994</v>
      </c>
    </row>
    <row r="35" spans="1:8" ht="15.75">
      <c r="A35" s="116">
        <v>15.1</v>
      </c>
      <c r="B35" s="47" t="s">
        <v>121</v>
      </c>
      <c r="C35" s="222">
        <v>4206137.5299999984</v>
      </c>
      <c r="D35" s="222">
        <v>1945155.5200000003</v>
      </c>
      <c r="E35" s="215">
        <f t="shared" si="0"/>
        <v>6151293.0499999989</v>
      </c>
      <c r="F35" s="222">
        <v>3625208.7799999989</v>
      </c>
      <c r="G35" s="222">
        <v>2023260.1100000008</v>
      </c>
      <c r="H35" s="223">
        <f t="shared" si="1"/>
        <v>5648468.8899999997</v>
      </c>
    </row>
    <row r="36" spans="1:8" ht="15.75">
      <c r="A36" s="116">
        <v>15.2</v>
      </c>
      <c r="B36" s="47" t="s">
        <v>122</v>
      </c>
      <c r="C36" s="222">
        <v>1927923.24</v>
      </c>
      <c r="D36" s="222">
        <v>1280571.9600000002</v>
      </c>
      <c r="E36" s="215">
        <f t="shared" si="0"/>
        <v>3208495.2</v>
      </c>
      <c r="F36" s="222">
        <v>1698904.6700000004</v>
      </c>
      <c r="G36" s="222">
        <v>1462247.32</v>
      </c>
      <c r="H36" s="223">
        <f t="shared" si="1"/>
        <v>3161151.99</v>
      </c>
    </row>
    <row r="37" spans="1:8" ht="15.75">
      <c r="A37" s="116">
        <v>16</v>
      </c>
      <c r="B37" s="46" t="s">
        <v>123</v>
      </c>
      <c r="C37" s="222">
        <v>0</v>
      </c>
      <c r="D37" s="222">
        <v>0</v>
      </c>
      <c r="E37" s="215">
        <f t="shared" si="0"/>
        <v>0</v>
      </c>
      <c r="F37" s="222">
        <v>0</v>
      </c>
      <c r="G37" s="222">
        <v>0</v>
      </c>
      <c r="H37" s="223">
        <f t="shared" si="1"/>
        <v>0</v>
      </c>
    </row>
    <row r="38" spans="1:8" ht="15.75">
      <c r="A38" s="116">
        <v>17</v>
      </c>
      <c r="B38" s="46" t="s">
        <v>124</v>
      </c>
      <c r="C38" s="222">
        <v>0</v>
      </c>
      <c r="D38" s="222">
        <v>0</v>
      </c>
      <c r="E38" s="215">
        <f t="shared" si="0"/>
        <v>0</v>
      </c>
      <c r="F38" s="222">
        <v>0</v>
      </c>
      <c r="G38" s="222">
        <v>0</v>
      </c>
      <c r="H38" s="223">
        <f t="shared" si="1"/>
        <v>0</v>
      </c>
    </row>
    <row r="39" spans="1:8" ht="15.75">
      <c r="A39" s="116">
        <v>18</v>
      </c>
      <c r="B39" s="46" t="s">
        <v>125</v>
      </c>
      <c r="C39" s="222">
        <v>0</v>
      </c>
      <c r="D39" s="222">
        <v>0</v>
      </c>
      <c r="E39" s="215">
        <f t="shared" si="0"/>
        <v>0</v>
      </c>
      <c r="F39" s="222">
        <v>0</v>
      </c>
      <c r="G39" s="222">
        <v>0</v>
      </c>
      <c r="H39" s="223">
        <f t="shared" si="1"/>
        <v>0</v>
      </c>
    </row>
    <row r="40" spans="1:8" ht="15.75">
      <c r="A40" s="116">
        <v>19</v>
      </c>
      <c r="B40" s="46" t="s">
        <v>126</v>
      </c>
      <c r="C40" s="222">
        <v>13658489.920000011</v>
      </c>
      <c r="D40" s="222">
        <v>0</v>
      </c>
      <c r="E40" s="215">
        <f t="shared" si="0"/>
        <v>13658489.920000011</v>
      </c>
      <c r="F40" s="222">
        <v>5914151.8399999971</v>
      </c>
      <c r="G40" s="222">
        <v>0</v>
      </c>
      <c r="H40" s="223">
        <f t="shared" si="1"/>
        <v>5914151.8399999971</v>
      </c>
    </row>
    <row r="41" spans="1:8" ht="15.75">
      <c r="A41" s="116">
        <v>20</v>
      </c>
      <c r="B41" s="46" t="s">
        <v>127</v>
      </c>
      <c r="C41" s="222">
        <v>-13986637.950000003</v>
      </c>
      <c r="D41" s="222">
        <v>0</v>
      </c>
      <c r="E41" s="215">
        <f t="shared" si="0"/>
        <v>-13986637.950000003</v>
      </c>
      <c r="F41" s="222">
        <v>-5029988.0399999954</v>
      </c>
      <c r="G41" s="222">
        <v>0</v>
      </c>
      <c r="H41" s="223">
        <f t="shared" si="1"/>
        <v>-5029988.0399999954</v>
      </c>
    </row>
    <row r="42" spans="1:8" ht="15.75">
      <c r="A42" s="116">
        <v>21</v>
      </c>
      <c r="B42" s="46" t="s">
        <v>128</v>
      </c>
      <c r="C42" s="222">
        <v>-14699.25</v>
      </c>
      <c r="D42" s="222">
        <v>0</v>
      </c>
      <c r="E42" s="215">
        <f t="shared" si="0"/>
        <v>-14699.25</v>
      </c>
      <c r="F42" s="222">
        <v>148538.63999999998</v>
      </c>
      <c r="G42" s="222">
        <v>0</v>
      </c>
      <c r="H42" s="223">
        <f t="shared" si="1"/>
        <v>148538.63999999998</v>
      </c>
    </row>
    <row r="43" spans="1:8" ht="15.75">
      <c r="A43" s="116">
        <v>22</v>
      </c>
      <c r="B43" s="46" t="s">
        <v>129</v>
      </c>
      <c r="C43" s="222">
        <v>0</v>
      </c>
      <c r="D43" s="222">
        <v>39769.42</v>
      </c>
      <c r="E43" s="215">
        <f t="shared" si="0"/>
        <v>39769.42</v>
      </c>
      <c r="F43" s="222">
        <v>418.4</v>
      </c>
      <c r="G43" s="222">
        <v>3715.8199999999997</v>
      </c>
      <c r="H43" s="223">
        <f t="shared" si="1"/>
        <v>4134.2199999999993</v>
      </c>
    </row>
    <row r="44" spans="1:8" ht="15.75">
      <c r="A44" s="116">
        <v>23</v>
      </c>
      <c r="B44" s="46" t="s">
        <v>130</v>
      </c>
      <c r="C44" s="222">
        <v>24072.969999999998</v>
      </c>
      <c r="D44" s="222">
        <v>87223.989999999991</v>
      </c>
      <c r="E44" s="215">
        <f t="shared" si="0"/>
        <v>111296.95999999999</v>
      </c>
      <c r="F44" s="222">
        <v>22596.360000000004</v>
      </c>
      <c r="G44" s="222">
        <v>70932.800000000003</v>
      </c>
      <c r="H44" s="223">
        <f t="shared" si="1"/>
        <v>93529.16</v>
      </c>
    </row>
    <row r="45" spans="1:8" ht="15.75">
      <c r="A45" s="116">
        <v>24</v>
      </c>
      <c r="B45" s="49" t="s">
        <v>131</v>
      </c>
      <c r="C45" s="224">
        <f>C34+C37+C38+C39+C40+C41+C42+C43+C44</f>
        <v>1959439.9800000053</v>
      </c>
      <c r="D45" s="224">
        <f>D34+D37+D38+D39+D40+D41+D42+D43+D44</f>
        <v>791576.97000000009</v>
      </c>
      <c r="E45" s="215">
        <f t="shared" si="0"/>
        <v>2751016.9500000053</v>
      </c>
      <c r="F45" s="224">
        <f>F34+F37+F38+F39+F40+F41+F42+F43+F44</f>
        <v>2982021.31</v>
      </c>
      <c r="G45" s="224">
        <f>G34+G37+G38+G39+G40+G41+G42+G43+G44</f>
        <v>635661.41000000073</v>
      </c>
      <c r="H45" s="223">
        <f t="shared" si="1"/>
        <v>3617682.7200000007</v>
      </c>
    </row>
    <row r="46" spans="1:8">
      <c r="A46" s="116"/>
      <c r="B46" s="44" t="s">
        <v>132</v>
      </c>
      <c r="C46" s="222"/>
      <c r="D46" s="222"/>
      <c r="E46" s="222"/>
      <c r="F46" s="222"/>
      <c r="G46" s="222"/>
      <c r="H46" s="228"/>
    </row>
    <row r="47" spans="1:8" ht="15.75">
      <c r="A47" s="116">
        <v>25</v>
      </c>
      <c r="B47" s="46" t="s">
        <v>133</v>
      </c>
      <c r="C47" s="222">
        <v>831461.35000000009</v>
      </c>
      <c r="D47" s="222">
        <v>317456.42</v>
      </c>
      <c r="E47" s="215">
        <f t="shared" si="0"/>
        <v>1148917.77</v>
      </c>
      <c r="F47" s="222">
        <v>635759.78999999992</v>
      </c>
      <c r="G47" s="222">
        <v>402091.09000000008</v>
      </c>
      <c r="H47" s="223">
        <f t="shared" si="1"/>
        <v>1037850.88</v>
      </c>
    </row>
    <row r="48" spans="1:8" ht="15.75">
      <c r="A48" s="116">
        <v>26</v>
      </c>
      <c r="B48" s="46" t="s">
        <v>134</v>
      </c>
      <c r="C48" s="222">
        <v>1447741.4300000002</v>
      </c>
      <c r="D48" s="222">
        <v>106775.56</v>
      </c>
      <c r="E48" s="215">
        <f t="shared" si="0"/>
        <v>1554516.9900000002</v>
      </c>
      <c r="F48" s="222">
        <v>960397.02999999991</v>
      </c>
      <c r="G48" s="222">
        <v>111493.93</v>
      </c>
      <c r="H48" s="223">
        <f t="shared" si="1"/>
        <v>1071890.96</v>
      </c>
    </row>
    <row r="49" spans="1:9" ht="15.75">
      <c r="A49" s="116">
        <v>27</v>
      </c>
      <c r="B49" s="46" t="s">
        <v>135</v>
      </c>
      <c r="C49" s="222">
        <v>12903570.670000004</v>
      </c>
      <c r="D49" s="222">
        <v>0</v>
      </c>
      <c r="E49" s="215">
        <f t="shared" si="0"/>
        <v>12903570.670000004</v>
      </c>
      <c r="F49" s="222">
        <v>9845518.6199999973</v>
      </c>
      <c r="G49" s="222">
        <v>0</v>
      </c>
      <c r="H49" s="223">
        <f t="shared" si="1"/>
        <v>9845518.6199999973</v>
      </c>
    </row>
    <row r="50" spans="1:9" ht="15.75">
      <c r="A50" s="116">
        <v>28</v>
      </c>
      <c r="B50" s="46" t="s">
        <v>271</v>
      </c>
      <c r="C50" s="222">
        <v>0</v>
      </c>
      <c r="D50" s="222">
        <v>0</v>
      </c>
      <c r="E50" s="215">
        <f t="shared" si="0"/>
        <v>0</v>
      </c>
      <c r="F50" s="222">
        <v>0</v>
      </c>
      <c r="G50" s="222">
        <v>0</v>
      </c>
      <c r="H50" s="223">
        <f t="shared" si="1"/>
        <v>0</v>
      </c>
    </row>
    <row r="51" spans="1:9" ht="15.75">
      <c r="A51" s="116">
        <v>29</v>
      </c>
      <c r="B51" s="46" t="s">
        <v>136</v>
      </c>
      <c r="C51" s="222">
        <v>4029026.9099999992</v>
      </c>
      <c r="D51" s="222">
        <v>0</v>
      </c>
      <c r="E51" s="215">
        <f t="shared" si="0"/>
        <v>4029026.9099999992</v>
      </c>
      <c r="F51" s="222">
        <v>3857993.1300000004</v>
      </c>
      <c r="G51" s="222">
        <v>0</v>
      </c>
      <c r="H51" s="223">
        <f t="shared" si="1"/>
        <v>3857993.1300000004</v>
      </c>
    </row>
    <row r="52" spans="1:9" ht="15.75">
      <c r="A52" s="116">
        <v>30</v>
      </c>
      <c r="B52" s="46" t="s">
        <v>137</v>
      </c>
      <c r="C52" s="222">
        <v>6914397.0899999952</v>
      </c>
      <c r="D52" s="222">
        <v>9089.36</v>
      </c>
      <c r="E52" s="215">
        <f t="shared" si="0"/>
        <v>6923486.4499999955</v>
      </c>
      <c r="F52" s="222">
        <v>5596865.1800000006</v>
      </c>
      <c r="G52" s="222">
        <v>12109.01</v>
      </c>
      <c r="H52" s="223">
        <f t="shared" si="1"/>
        <v>5608974.1900000004</v>
      </c>
    </row>
    <row r="53" spans="1:9" ht="15.75">
      <c r="A53" s="116">
        <v>31</v>
      </c>
      <c r="B53" s="49" t="s">
        <v>138</v>
      </c>
      <c r="C53" s="224">
        <f>C47+C48+C49+C50+C51+C52</f>
        <v>26126197.449999999</v>
      </c>
      <c r="D53" s="224">
        <f>D47+D48+D49+D50+D51+D52</f>
        <v>433321.33999999997</v>
      </c>
      <c r="E53" s="215">
        <f t="shared" si="0"/>
        <v>26559518.789999999</v>
      </c>
      <c r="F53" s="224">
        <f>F47+F48+F49+F50+F51+F52</f>
        <v>20896533.75</v>
      </c>
      <c r="G53" s="224">
        <f>G47+G48+G49+G50+G51+G52</f>
        <v>525694.03</v>
      </c>
      <c r="H53" s="223">
        <f t="shared" si="1"/>
        <v>21422227.780000001</v>
      </c>
    </row>
    <row r="54" spans="1:9" ht="15.75">
      <c r="A54" s="116">
        <v>32</v>
      </c>
      <c r="B54" s="49" t="s">
        <v>139</v>
      </c>
      <c r="C54" s="224">
        <f>C45-C53</f>
        <v>-24166757.469999995</v>
      </c>
      <c r="D54" s="224">
        <f>D45-D53</f>
        <v>358255.63000000012</v>
      </c>
      <c r="E54" s="215">
        <f t="shared" si="0"/>
        <v>-23808501.839999996</v>
      </c>
      <c r="F54" s="224">
        <f>F45-F53</f>
        <v>-17914512.440000001</v>
      </c>
      <c r="G54" s="224">
        <f>G45-G53</f>
        <v>109967.3800000007</v>
      </c>
      <c r="H54" s="223">
        <f t="shared" si="1"/>
        <v>-17804545.060000002</v>
      </c>
    </row>
    <row r="55" spans="1:9">
      <c r="A55" s="116"/>
      <c r="B55" s="44"/>
      <c r="C55" s="226"/>
      <c r="D55" s="226"/>
      <c r="E55" s="226"/>
      <c r="F55" s="226"/>
      <c r="G55" s="226"/>
      <c r="H55" s="227"/>
    </row>
    <row r="56" spans="1:9" ht="15.75">
      <c r="A56" s="116">
        <v>33</v>
      </c>
      <c r="B56" s="49" t="s">
        <v>140</v>
      </c>
      <c r="C56" s="224">
        <f>C31+C54</f>
        <v>3336793.2300000004</v>
      </c>
      <c r="D56" s="224">
        <f>D31+D54</f>
        <v>17016853.679999992</v>
      </c>
      <c r="E56" s="215">
        <f t="shared" si="0"/>
        <v>20353646.909999993</v>
      </c>
      <c r="F56" s="224">
        <f>F31+F54</f>
        <v>1774363.7899999954</v>
      </c>
      <c r="G56" s="224">
        <f>G31+G54</f>
        <v>17495133.300000001</v>
      </c>
      <c r="H56" s="223">
        <f t="shared" si="1"/>
        <v>19269497.089999996</v>
      </c>
    </row>
    <row r="57" spans="1:9">
      <c r="A57" s="116"/>
      <c r="B57" s="44"/>
      <c r="C57" s="226"/>
      <c r="D57" s="226"/>
      <c r="E57" s="226"/>
      <c r="F57" s="226"/>
      <c r="G57" s="226"/>
      <c r="H57" s="227"/>
    </row>
    <row r="58" spans="1:9" ht="15.75">
      <c r="A58" s="116">
        <v>34</v>
      </c>
      <c r="B58" s="46" t="s">
        <v>141</v>
      </c>
      <c r="C58" s="222">
        <v>-4252480.54</v>
      </c>
      <c r="D58" s="222" t="s">
        <v>743</v>
      </c>
      <c r="E58" s="526">
        <f>C58</f>
        <v>-4252480.54</v>
      </c>
      <c r="F58" s="222">
        <v>-1627576.1199999994</v>
      </c>
      <c r="G58" s="222" t="s">
        <v>743</v>
      </c>
      <c r="H58" s="527">
        <f>F58</f>
        <v>-1627576.1199999994</v>
      </c>
    </row>
    <row r="59" spans="1:9" s="190" customFormat="1" ht="15.75">
      <c r="A59" s="116">
        <v>35</v>
      </c>
      <c r="B59" s="43" t="s">
        <v>142</v>
      </c>
      <c r="C59" s="222">
        <v>0</v>
      </c>
      <c r="D59" s="222" t="s">
        <v>743</v>
      </c>
      <c r="E59" s="526">
        <f>C59</f>
        <v>0</v>
      </c>
      <c r="F59" s="222">
        <v>-27889</v>
      </c>
      <c r="G59" s="222" t="s">
        <v>743</v>
      </c>
      <c r="H59" s="527">
        <f>F59</f>
        <v>-27889</v>
      </c>
      <c r="I59" s="189"/>
    </row>
    <row r="60" spans="1:9" ht="15.75">
      <c r="A60" s="116">
        <v>36</v>
      </c>
      <c r="B60" s="46" t="s">
        <v>143</v>
      </c>
      <c r="C60" s="222">
        <v>-587844.43999999994</v>
      </c>
      <c r="D60" s="222" t="s">
        <v>743</v>
      </c>
      <c r="E60" s="526">
        <f>C60</f>
        <v>-587844.43999999994</v>
      </c>
      <c r="F60" s="222">
        <v>-2877036.6199999996</v>
      </c>
      <c r="G60" s="222" t="s">
        <v>743</v>
      </c>
      <c r="H60" s="527">
        <f>F60</f>
        <v>-2877036.6199999996</v>
      </c>
    </row>
    <row r="61" spans="1:9" ht="15.75">
      <c r="A61" s="116">
        <v>37</v>
      </c>
      <c r="B61" s="49" t="s">
        <v>144</v>
      </c>
      <c r="C61" s="224">
        <f>C58+C59+C60</f>
        <v>-4840324.9800000004</v>
      </c>
      <c r="D61" s="224">
        <v>0</v>
      </c>
      <c r="E61" s="526">
        <f>C61</f>
        <v>-4840324.9800000004</v>
      </c>
      <c r="F61" s="224">
        <f>F58+F59+F60</f>
        <v>-4532501.7399999993</v>
      </c>
      <c r="G61" s="528">
        <v>0</v>
      </c>
      <c r="H61" s="527">
        <f t="shared" ref="H61" si="2">F61+G61</f>
        <v>-4532501.7399999993</v>
      </c>
    </row>
    <row r="62" spans="1:9">
      <c r="A62" s="116"/>
      <c r="B62" s="50"/>
      <c r="C62" s="222"/>
      <c r="D62" s="222"/>
      <c r="E62" s="222"/>
      <c r="F62" s="222"/>
      <c r="G62" s="222"/>
      <c r="H62" s="228"/>
    </row>
    <row r="63" spans="1:9" ht="15.75">
      <c r="A63" s="116">
        <v>38</v>
      </c>
      <c r="B63" s="51" t="s">
        <v>272</v>
      </c>
      <c r="C63" s="224">
        <f>C56-C61</f>
        <v>8177118.2100000009</v>
      </c>
      <c r="D63" s="224">
        <f>D56-D61</f>
        <v>17016853.679999992</v>
      </c>
      <c r="E63" s="215">
        <f t="shared" si="0"/>
        <v>25193971.889999993</v>
      </c>
      <c r="F63" s="224">
        <f>F56-F61</f>
        <v>6306865.5299999947</v>
      </c>
      <c r="G63" s="224">
        <f>G56-G61</f>
        <v>17495133.300000001</v>
      </c>
      <c r="H63" s="223">
        <f t="shared" si="1"/>
        <v>23801998.829999994</v>
      </c>
    </row>
    <row r="64" spans="1:9" ht="15.75">
      <c r="A64" s="114">
        <v>39</v>
      </c>
      <c r="B64" s="46" t="s">
        <v>145</v>
      </c>
      <c r="C64" s="222">
        <v>0</v>
      </c>
      <c r="D64" s="222">
        <v>0</v>
      </c>
      <c r="E64" s="215">
        <f t="shared" si="0"/>
        <v>0</v>
      </c>
      <c r="F64" s="222">
        <v>0</v>
      </c>
      <c r="G64" s="222">
        <v>0</v>
      </c>
      <c r="H64" s="223">
        <f t="shared" si="1"/>
        <v>0</v>
      </c>
    </row>
    <row r="65" spans="1:8" ht="15.75">
      <c r="A65" s="116">
        <v>40</v>
      </c>
      <c r="B65" s="49" t="s">
        <v>146</v>
      </c>
      <c r="C65" s="224">
        <f>C63-C64</f>
        <v>8177118.2100000009</v>
      </c>
      <c r="D65" s="224">
        <f>D63-D64</f>
        <v>17016853.679999992</v>
      </c>
      <c r="E65" s="215">
        <f t="shared" si="0"/>
        <v>25193971.889999993</v>
      </c>
      <c r="F65" s="224">
        <f>F63-F64</f>
        <v>6306865.5299999947</v>
      </c>
      <c r="G65" s="224">
        <f>G63-G64</f>
        <v>17495133.300000001</v>
      </c>
      <c r="H65" s="223">
        <f t="shared" si="1"/>
        <v>23801998.829999994</v>
      </c>
    </row>
    <row r="66" spans="1:8" ht="15.75">
      <c r="A66" s="114">
        <v>41</v>
      </c>
      <c r="B66" s="46" t="s">
        <v>147</v>
      </c>
      <c r="C66" s="222">
        <v>0</v>
      </c>
      <c r="D66" s="222">
        <v>0</v>
      </c>
      <c r="E66" s="215">
        <f t="shared" si="0"/>
        <v>0</v>
      </c>
      <c r="F66" s="222">
        <v>0</v>
      </c>
      <c r="G66" s="222">
        <v>0</v>
      </c>
      <c r="H66" s="223">
        <f t="shared" si="1"/>
        <v>0</v>
      </c>
    </row>
    <row r="67" spans="1:8" ht="16.5" thickBot="1">
      <c r="A67" s="118">
        <v>42</v>
      </c>
      <c r="B67" s="119" t="s">
        <v>148</v>
      </c>
      <c r="C67" s="229">
        <f>C65+C66</f>
        <v>8177118.2100000009</v>
      </c>
      <c r="D67" s="229">
        <f>D65+D66</f>
        <v>17016853.679999992</v>
      </c>
      <c r="E67" s="220">
        <f t="shared" si="0"/>
        <v>25193971.889999993</v>
      </c>
      <c r="F67" s="229">
        <f>F65+F66</f>
        <v>6306865.5299999947</v>
      </c>
      <c r="G67" s="229">
        <f>G65+G66</f>
        <v>17495133.300000001</v>
      </c>
      <c r="H67" s="230">
        <f t="shared" si="1"/>
        <v>23801998.829999994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B1" sqref="B1"/>
    </sheetView>
  </sheetViews>
  <sheetFormatPr defaultRowHeight="15"/>
  <cols>
    <col min="1" max="1" width="9.5703125" bestFit="1" customWidth="1"/>
    <col min="2" max="2" width="72.28515625" customWidth="1"/>
    <col min="3" max="8" width="12.7109375" customWidth="1"/>
  </cols>
  <sheetData>
    <row r="1" spans="1:8">
      <c r="A1" s="1" t="s">
        <v>188</v>
      </c>
      <c r="B1" t="str">
        <f>Info!C2</f>
        <v>ს.ს. "ტერაბანკი"</v>
      </c>
    </row>
    <row r="2" spans="1:8">
      <c r="A2" s="1" t="s">
        <v>189</v>
      </c>
      <c r="B2" s="403">
        <f>'1. key ratios'!B2</f>
        <v>44834</v>
      </c>
    </row>
    <row r="3" spans="1:8">
      <c r="A3" s="1"/>
    </row>
    <row r="4" spans="1:8" ht="16.5" thickBot="1">
      <c r="A4" s="1" t="s">
        <v>331</v>
      </c>
      <c r="B4" s="1"/>
      <c r="C4" s="199"/>
      <c r="D4" s="199"/>
      <c r="E4" s="199"/>
      <c r="F4" s="199"/>
      <c r="G4" s="199"/>
      <c r="H4" s="200" t="s">
        <v>93</v>
      </c>
    </row>
    <row r="5" spans="1:8" ht="15.75">
      <c r="A5" s="631" t="s">
        <v>26</v>
      </c>
      <c r="B5" s="633" t="s">
        <v>245</v>
      </c>
      <c r="C5" s="635" t="s">
        <v>194</v>
      </c>
      <c r="D5" s="635"/>
      <c r="E5" s="635"/>
      <c r="F5" s="635" t="s">
        <v>195</v>
      </c>
      <c r="G5" s="635"/>
      <c r="H5" s="636"/>
    </row>
    <row r="6" spans="1:8">
      <c r="A6" s="632"/>
      <c r="B6" s="634"/>
      <c r="C6" s="32" t="s">
        <v>27</v>
      </c>
      <c r="D6" s="32" t="s">
        <v>94</v>
      </c>
      <c r="E6" s="32" t="s">
        <v>68</v>
      </c>
      <c r="F6" s="32" t="s">
        <v>27</v>
      </c>
      <c r="G6" s="32" t="s">
        <v>94</v>
      </c>
      <c r="H6" s="33" t="s">
        <v>68</v>
      </c>
    </row>
    <row r="7" spans="1:8" ht="15.75">
      <c r="A7" s="108">
        <v>1</v>
      </c>
      <c r="B7" s="201" t="s">
        <v>367</v>
      </c>
      <c r="C7" s="216">
        <v>57292232.900000013</v>
      </c>
      <c r="D7" s="216">
        <v>23749986.52</v>
      </c>
      <c r="E7" s="231">
        <f>C7+D7</f>
        <v>81042219.420000017</v>
      </c>
      <c r="F7" s="216">
        <v>50442845.059999965</v>
      </c>
      <c r="G7" s="216">
        <v>32178541.91</v>
      </c>
      <c r="H7" s="217">
        <f t="shared" ref="H7:H53" si="0">F7+G7</f>
        <v>82621386.969999969</v>
      </c>
    </row>
    <row r="8" spans="1:8" ht="15.75">
      <c r="A8" s="108">
        <v>1.1000000000000001</v>
      </c>
      <c r="B8" s="202" t="s">
        <v>276</v>
      </c>
      <c r="C8" s="216">
        <v>44137992.670000002</v>
      </c>
      <c r="D8" s="216">
        <v>3759998.1599999997</v>
      </c>
      <c r="E8" s="231">
        <f t="shared" ref="E8:E53" si="1">C8+D8</f>
        <v>47897990.829999998</v>
      </c>
      <c r="F8" s="216">
        <v>34549723.729999997</v>
      </c>
      <c r="G8" s="216">
        <v>20735040.050000001</v>
      </c>
      <c r="H8" s="217">
        <f t="shared" si="0"/>
        <v>55284763.780000001</v>
      </c>
    </row>
    <row r="9" spans="1:8" ht="15.75">
      <c r="A9" s="108">
        <v>1.2</v>
      </c>
      <c r="B9" s="202" t="s">
        <v>277</v>
      </c>
      <c r="C9" s="216">
        <v>0</v>
      </c>
      <c r="D9" s="216">
        <v>2415664.23</v>
      </c>
      <c r="E9" s="231">
        <f t="shared" si="1"/>
        <v>2415664.23</v>
      </c>
      <c r="F9" s="216">
        <v>0</v>
      </c>
      <c r="G9" s="216">
        <v>0</v>
      </c>
      <c r="H9" s="217">
        <f t="shared" si="0"/>
        <v>0</v>
      </c>
    </row>
    <row r="10" spans="1:8" ht="15.75">
      <c r="A10" s="108">
        <v>1.3</v>
      </c>
      <c r="B10" s="202" t="s">
        <v>278</v>
      </c>
      <c r="C10" s="216">
        <v>13154240.230000013</v>
      </c>
      <c r="D10" s="216">
        <v>15158659.9</v>
      </c>
      <c r="E10" s="231">
        <f t="shared" si="1"/>
        <v>28312900.130000014</v>
      </c>
      <c r="F10" s="216">
        <v>15893121.32999997</v>
      </c>
      <c r="G10" s="216">
        <v>11443501.859999999</v>
      </c>
      <c r="H10" s="217">
        <f t="shared" si="0"/>
        <v>27336623.189999968</v>
      </c>
    </row>
    <row r="11" spans="1:8" ht="15.75">
      <c r="A11" s="108">
        <v>1.4</v>
      </c>
      <c r="B11" s="202" t="s">
        <v>279</v>
      </c>
      <c r="C11" s="216">
        <v>0</v>
      </c>
      <c r="D11" s="216">
        <v>2415664.23</v>
      </c>
      <c r="E11" s="231">
        <f t="shared" si="1"/>
        <v>2415664.23</v>
      </c>
      <c r="F11" s="216">
        <v>0</v>
      </c>
      <c r="G11" s="216">
        <v>0</v>
      </c>
      <c r="H11" s="217">
        <f t="shared" si="0"/>
        <v>0</v>
      </c>
    </row>
    <row r="12" spans="1:8" ht="29.25" customHeight="1">
      <c r="A12" s="108">
        <v>2</v>
      </c>
      <c r="B12" s="201" t="s">
        <v>280</v>
      </c>
      <c r="C12" s="216">
        <v>0</v>
      </c>
      <c r="D12" s="216">
        <v>2415664.23</v>
      </c>
      <c r="E12" s="231">
        <f t="shared" si="1"/>
        <v>2415664.23</v>
      </c>
      <c r="F12" s="216">
        <v>0</v>
      </c>
      <c r="G12" s="216">
        <v>0</v>
      </c>
      <c r="H12" s="217">
        <f t="shared" si="0"/>
        <v>0</v>
      </c>
    </row>
    <row r="13" spans="1:8" ht="25.5">
      <c r="A13" s="108">
        <v>3</v>
      </c>
      <c r="B13" s="201" t="s">
        <v>281</v>
      </c>
      <c r="C13" s="216">
        <v>153990000</v>
      </c>
      <c r="D13" s="216">
        <v>0</v>
      </c>
      <c r="E13" s="231">
        <f t="shared" si="1"/>
        <v>153990000</v>
      </c>
      <c r="F13" s="216">
        <v>148112000</v>
      </c>
      <c r="G13" s="216">
        <v>0</v>
      </c>
      <c r="H13" s="217">
        <f t="shared" si="0"/>
        <v>148112000</v>
      </c>
    </row>
    <row r="14" spans="1:8" ht="15.75">
      <c r="A14" s="108">
        <v>3.1</v>
      </c>
      <c r="B14" s="202" t="s">
        <v>282</v>
      </c>
      <c r="C14" s="216">
        <v>153990000</v>
      </c>
      <c r="D14" s="216">
        <v>0</v>
      </c>
      <c r="E14" s="231">
        <f t="shared" si="1"/>
        <v>153990000</v>
      </c>
      <c r="F14" s="216">
        <v>148112000</v>
      </c>
      <c r="G14" s="216">
        <v>0</v>
      </c>
      <c r="H14" s="217">
        <f t="shared" si="0"/>
        <v>148112000</v>
      </c>
    </row>
    <row r="15" spans="1:8" ht="15.75">
      <c r="A15" s="108">
        <v>3.2</v>
      </c>
      <c r="B15" s="202" t="s">
        <v>283</v>
      </c>
      <c r="C15" s="216">
        <v>0</v>
      </c>
      <c r="D15" s="216">
        <v>0</v>
      </c>
      <c r="E15" s="231">
        <f t="shared" si="1"/>
        <v>0</v>
      </c>
      <c r="F15" s="216">
        <v>0</v>
      </c>
      <c r="G15" s="216">
        <v>0</v>
      </c>
      <c r="H15" s="217">
        <f t="shared" si="0"/>
        <v>0</v>
      </c>
    </row>
    <row r="16" spans="1:8" ht="15.75">
      <c r="A16" s="108">
        <v>4</v>
      </c>
      <c r="B16" s="201" t="s">
        <v>284</v>
      </c>
      <c r="C16" s="216">
        <v>279303736.29999971</v>
      </c>
      <c r="D16" s="216">
        <v>359127943.47999966</v>
      </c>
      <c r="E16" s="231">
        <f t="shared" si="1"/>
        <v>638431679.77999938</v>
      </c>
      <c r="F16" s="216">
        <v>254181976.46999967</v>
      </c>
      <c r="G16" s="216">
        <v>401893521.04000002</v>
      </c>
      <c r="H16" s="217">
        <f t="shared" si="0"/>
        <v>656075497.50999975</v>
      </c>
    </row>
    <row r="17" spans="1:8" ht="15.75">
      <c r="A17" s="108">
        <v>4.0999999999999996</v>
      </c>
      <c r="B17" s="202" t="s">
        <v>285</v>
      </c>
      <c r="C17" s="216">
        <v>256631393.72999972</v>
      </c>
      <c r="D17" s="216">
        <v>359127943.47999966</v>
      </c>
      <c r="E17" s="231">
        <f t="shared" si="1"/>
        <v>615759337.20999932</v>
      </c>
      <c r="F17" s="216">
        <v>247728851.90999967</v>
      </c>
      <c r="G17" s="216">
        <v>401893521.04000002</v>
      </c>
      <c r="H17" s="217">
        <f t="shared" si="0"/>
        <v>649622372.94999969</v>
      </c>
    </row>
    <row r="18" spans="1:8" ht="15.75">
      <c r="A18" s="108">
        <v>4.2</v>
      </c>
      <c r="B18" s="202" t="s">
        <v>286</v>
      </c>
      <c r="C18" s="216">
        <v>22672342.569999993</v>
      </c>
      <c r="D18" s="216">
        <v>0</v>
      </c>
      <c r="E18" s="231">
        <f t="shared" si="1"/>
        <v>22672342.569999993</v>
      </c>
      <c r="F18" s="216">
        <v>6453124.5599999977</v>
      </c>
      <c r="G18" s="216">
        <v>0</v>
      </c>
      <c r="H18" s="217">
        <f t="shared" si="0"/>
        <v>6453124.5599999977</v>
      </c>
    </row>
    <row r="19" spans="1:8" ht="25.5">
      <c r="A19" s="108">
        <v>5</v>
      </c>
      <c r="B19" s="201" t="s">
        <v>287</v>
      </c>
      <c r="C19" s="216">
        <v>1006526198.3399999</v>
      </c>
      <c r="D19" s="216">
        <v>994052936.3499999</v>
      </c>
      <c r="E19" s="231">
        <f t="shared" si="1"/>
        <v>2000579134.6899998</v>
      </c>
      <c r="F19" s="216">
        <v>827146030.32000041</v>
      </c>
      <c r="G19" s="216">
        <v>950794615.01000011</v>
      </c>
      <c r="H19" s="217">
        <f t="shared" si="0"/>
        <v>1777940645.3300004</v>
      </c>
    </row>
    <row r="20" spans="1:8" ht="15.75">
      <c r="A20" s="108">
        <v>5.0999999999999996</v>
      </c>
      <c r="B20" s="202" t="s">
        <v>288</v>
      </c>
      <c r="C20" s="216">
        <v>20372379.409999993</v>
      </c>
      <c r="D20" s="216">
        <v>26222363.599999994</v>
      </c>
      <c r="E20" s="231">
        <f t="shared" si="1"/>
        <v>46594743.00999999</v>
      </c>
      <c r="F20" s="216">
        <v>21949112.420000006</v>
      </c>
      <c r="G20" s="216">
        <v>39308305.160000004</v>
      </c>
      <c r="H20" s="217">
        <f t="shared" si="0"/>
        <v>61257417.580000013</v>
      </c>
    </row>
    <row r="21" spans="1:8" ht="15.75">
      <c r="A21" s="108">
        <v>5.2</v>
      </c>
      <c r="B21" s="202" t="s">
        <v>289</v>
      </c>
      <c r="C21" s="216">
        <v>31654344.82</v>
      </c>
      <c r="D21" s="216">
        <v>2996396.09</v>
      </c>
      <c r="E21" s="231">
        <f t="shared" si="1"/>
        <v>34650740.909999996</v>
      </c>
      <c r="F21" s="216">
        <v>10260079.789999999</v>
      </c>
      <c r="G21" s="216">
        <v>3995334.68</v>
      </c>
      <c r="H21" s="217">
        <f t="shared" si="0"/>
        <v>14255414.469999999</v>
      </c>
    </row>
    <row r="22" spans="1:8" ht="15.75">
      <c r="A22" s="108">
        <v>5.3</v>
      </c>
      <c r="B22" s="202" t="s">
        <v>290</v>
      </c>
      <c r="C22" s="216">
        <v>807763958.19999981</v>
      </c>
      <c r="D22" s="216">
        <v>941357715.94999993</v>
      </c>
      <c r="E22" s="231">
        <f t="shared" si="1"/>
        <v>1749121674.1499996</v>
      </c>
      <c r="F22" s="216">
        <v>694773781.11000037</v>
      </c>
      <c r="G22" s="216">
        <v>888211960.95000005</v>
      </c>
      <c r="H22" s="217">
        <f t="shared" si="0"/>
        <v>1582985742.0600004</v>
      </c>
    </row>
    <row r="23" spans="1:8" ht="15.75">
      <c r="A23" s="108" t="s">
        <v>291</v>
      </c>
      <c r="B23" s="203" t="s">
        <v>292</v>
      </c>
      <c r="C23" s="216">
        <v>406578052.82999986</v>
      </c>
      <c r="D23" s="216">
        <v>356954481.00999999</v>
      </c>
      <c r="E23" s="231">
        <f t="shared" si="1"/>
        <v>763532533.83999991</v>
      </c>
      <c r="F23" s="216">
        <v>389390245.83000034</v>
      </c>
      <c r="G23" s="216">
        <v>342902997.08999968</v>
      </c>
      <c r="H23" s="217">
        <f t="shared" si="0"/>
        <v>732293242.92000008</v>
      </c>
    </row>
    <row r="24" spans="1:8" ht="15.75">
      <c r="A24" s="108" t="s">
        <v>293</v>
      </c>
      <c r="B24" s="203" t="s">
        <v>294</v>
      </c>
      <c r="C24" s="216">
        <v>190661916.73999977</v>
      </c>
      <c r="D24" s="216">
        <v>338342410.38999987</v>
      </c>
      <c r="E24" s="231">
        <f t="shared" si="1"/>
        <v>529004327.12999964</v>
      </c>
      <c r="F24" s="216">
        <v>179844458.45999998</v>
      </c>
      <c r="G24" s="216">
        <v>313317374.36000007</v>
      </c>
      <c r="H24" s="217">
        <f t="shared" si="0"/>
        <v>493161832.82000005</v>
      </c>
    </row>
    <row r="25" spans="1:8" ht="15.75">
      <c r="A25" s="108" t="s">
        <v>295</v>
      </c>
      <c r="B25" s="204" t="s">
        <v>296</v>
      </c>
      <c r="C25" s="216">
        <v>29895547.489999995</v>
      </c>
      <c r="D25" s="216">
        <v>30173440.870000005</v>
      </c>
      <c r="E25" s="231">
        <f t="shared" si="1"/>
        <v>60068988.359999999</v>
      </c>
      <c r="F25" s="216">
        <v>14942020.750000002</v>
      </c>
      <c r="G25" s="216">
        <v>29936081.569999997</v>
      </c>
      <c r="H25" s="217">
        <f t="shared" si="0"/>
        <v>44878102.32</v>
      </c>
    </row>
    <row r="26" spans="1:8" ht="15.75">
      <c r="A26" s="108" t="s">
        <v>297</v>
      </c>
      <c r="B26" s="203" t="s">
        <v>298</v>
      </c>
      <c r="C26" s="216">
        <v>119182172.73000008</v>
      </c>
      <c r="D26" s="216">
        <v>111238118.19000006</v>
      </c>
      <c r="E26" s="231">
        <f t="shared" si="1"/>
        <v>230420290.92000014</v>
      </c>
      <c r="F26" s="216">
        <v>88396680.430000022</v>
      </c>
      <c r="G26" s="216">
        <v>98411774.530000061</v>
      </c>
      <c r="H26" s="217">
        <f t="shared" si="0"/>
        <v>186808454.9600001</v>
      </c>
    </row>
    <row r="27" spans="1:8" ht="15.75">
      <c r="A27" s="108" t="s">
        <v>299</v>
      </c>
      <c r="B27" s="203" t="s">
        <v>300</v>
      </c>
      <c r="C27" s="216">
        <v>61446268.410000026</v>
      </c>
      <c r="D27" s="216">
        <v>104649265.49000002</v>
      </c>
      <c r="E27" s="231">
        <f t="shared" si="1"/>
        <v>166095533.90000004</v>
      </c>
      <c r="F27" s="216">
        <v>22200375.640000019</v>
      </c>
      <c r="G27" s="216">
        <v>103643733.4000001</v>
      </c>
      <c r="H27" s="217">
        <f t="shared" si="0"/>
        <v>125844109.04000011</v>
      </c>
    </row>
    <row r="28" spans="1:8" ht="15.75">
      <c r="A28" s="108">
        <v>5.4</v>
      </c>
      <c r="B28" s="202" t="s">
        <v>301</v>
      </c>
      <c r="C28" s="216">
        <v>62110318.100000016</v>
      </c>
      <c r="D28" s="216">
        <v>13266186.549999984</v>
      </c>
      <c r="E28" s="231">
        <f t="shared" si="1"/>
        <v>75376504.650000006</v>
      </c>
      <c r="F28" s="216">
        <v>20939560.320000015</v>
      </c>
      <c r="G28" s="216">
        <v>9824391.1500000004</v>
      </c>
      <c r="H28" s="217">
        <f t="shared" si="0"/>
        <v>30763951.470000014</v>
      </c>
    </row>
    <row r="29" spans="1:8" ht="15.75">
      <c r="A29" s="108">
        <v>5.5</v>
      </c>
      <c r="B29" s="202" t="s">
        <v>302</v>
      </c>
      <c r="C29" s="216">
        <v>0</v>
      </c>
      <c r="D29" s="216">
        <v>0</v>
      </c>
      <c r="E29" s="231">
        <f t="shared" si="1"/>
        <v>0</v>
      </c>
      <c r="F29" s="216">
        <v>0</v>
      </c>
      <c r="G29" s="216">
        <v>0</v>
      </c>
      <c r="H29" s="217">
        <f t="shared" si="0"/>
        <v>0</v>
      </c>
    </row>
    <row r="30" spans="1:8" ht="15.75">
      <c r="A30" s="108">
        <v>5.6</v>
      </c>
      <c r="B30" s="202" t="s">
        <v>303</v>
      </c>
      <c r="C30" s="216">
        <v>0</v>
      </c>
      <c r="D30" s="216">
        <v>0</v>
      </c>
      <c r="E30" s="231">
        <f t="shared" si="1"/>
        <v>0</v>
      </c>
      <c r="F30" s="216">
        <v>0</v>
      </c>
      <c r="G30" s="216">
        <v>0</v>
      </c>
      <c r="H30" s="217">
        <f t="shared" si="0"/>
        <v>0</v>
      </c>
    </row>
    <row r="31" spans="1:8" ht="15.75">
      <c r="A31" s="108">
        <v>5.7</v>
      </c>
      <c r="B31" s="202" t="s">
        <v>304</v>
      </c>
      <c r="C31" s="216">
        <v>84625197.810000002</v>
      </c>
      <c r="D31" s="216">
        <v>10210274.16</v>
      </c>
      <c r="E31" s="231">
        <f t="shared" si="1"/>
        <v>94835471.969999999</v>
      </c>
      <c r="F31" s="216">
        <v>79223496.680000037</v>
      </c>
      <c r="G31" s="216">
        <v>9454623.0700000059</v>
      </c>
      <c r="H31" s="217">
        <f t="shared" si="0"/>
        <v>88678119.750000045</v>
      </c>
    </row>
    <row r="32" spans="1:8" ht="15.75">
      <c r="A32" s="108">
        <v>6</v>
      </c>
      <c r="B32" s="201" t="s">
        <v>305</v>
      </c>
      <c r="C32" s="216">
        <v>0</v>
      </c>
      <c r="D32" s="216">
        <v>102297914.91</v>
      </c>
      <c r="E32" s="231">
        <f t="shared" si="1"/>
        <v>102297914.91</v>
      </c>
      <c r="F32" s="216">
        <v>17547836.600000001</v>
      </c>
      <c r="G32" s="216">
        <v>155809753.25999999</v>
      </c>
      <c r="H32" s="217">
        <f t="shared" si="0"/>
        <v>173357589.85999998</v>
      </c>
    </row>
    <row r="33" spans="1:8" ht="25.5">
      <c r="A33" s="108">
        <v>6.1</v>
      </c>
      <c r="B33" s="202" t="s">
        <v>368</v>
      </c>
      <c r="C33" s="216">
        <v>0</v>
      </c>
      <c r="D33" s="216">
        <v>51456214.909999996</v>
      </c>
      <c r="E33" s="231">
        <f t="shared" si="1"/>
        <v>51456214.909999996</v>
      </c>
      <c r="F33" s="216">
        <v>17547836.600000001</v>
      </c>
      <c r="G33" s="216">
        <v>69557871.760000005</v>
      </c>
      <c r="H33" s="217">
        <f t="shared" si="0"/>
        <v>87105708.360000014</v>
      </c>
    </row>
    <row r="34" spans="1:8" ht="25.5">
      <c r="A34" s="108">
        <v>6.2</v>
      </c>
      <c r="B34" s="202" t="s">
        <v>306</v>
      </c>
      <c r="C34" s="216">
        <v>0</v>
      </c>
      <c r="D34" s="216">
        <v>50841700</v>
      </c>
      <c r="E34" s="231">
        <f t="shared" si="1"/>
        <v>50841700</v>
      </c>
      <c r="F34" s="216">
        <v>0</v>
      </c>
      <c r="G34" s="216">
        <v>86251881.5</v>
      </c>
      <c r="H34" s="217">
        <f t="shared" si="0"/>
        <v>86251881.5</v>
      </c>
    </row>
    <row r="35" spans="1:8" ht="25.5">
      <c r="A35" s="108">
        <v>6.3</v>
      </c>
      <c r="B35" s="202" t="s">
        <v>307</v>
      </c>
      <c r="C35" s="216">
        <v>0</v>
      </c>
      <c r="D35" s="216">
        <v>0</v>
      </c>
      <c r="E35" s="231">
        <f t="shared" si="1"/>
        <v>0</v>
      </c>
      <c r="F35" s="216">
        <v>0</v>
      </c>
      <c r="G35" s="216">
        <v>0</v>
      </c>
      <c r="H35" s="217">
        <f t="shared" si="0"/>
        <v>0</v>
      </c>
    </row>
    <row r="36" spans="1:8" ht="15.75">
      <c r="A36" s="108">
        <v>6.4</v>
      </c>
      <c r="B36" s="202" t="s">
        <v>308</v>
      </c>
      <c r="C36" s="216">
        <v>0</v>
      </c>
      <c r="D36" s="216">
        <v>0</v>
      </c>
      <c r="E36" s="231">
        <f t="shared" si="1"/>
        <v>0</v>
      </c>
      <c r="F36" s="216">
        <v>0</v>
      </c>
      <c r="G36" s="216">
        <v>0</v>
      </c>
      <c r="H36" s="217">
        <f t="shared" si="0"/>
        <v>0</v>
      </c>
    </row>
    <row r="37" spans="1:8" ht="15.75">
      <c r="A37" s="108">
        <v>6.5</v>
      </c>
      <c r="B37" s="202" t="s">
        <v>309</v>
      </c>
      <c r="C37" s="216">
        <v>0</v>
      </c>
      <c r="D37" s="216">
        <v>0</v>
      </c>
      <c r="E37" s="231">
        <f t="shared" si="1"/>
        <v>0</v>
      </c>
      <c r="F37" s="216">
        <v>0</v>
      </c>
      <c r="G37" s="216">
        <v>0</v>
      </c>
      <c r="H37" s="217">
        <f t="shared" si="0"/>
        <v>0</v>
      </c>
    </row>
    <row r="38" spans="1:8" ht="25.5">
      <c r="A38" s="108">
        <v>6.6</v>
      </c>
      <c r="B38" s="202" t="s">
        <v>310</v>
      </c>
      <c r="C38" s="216">
        <v>0</v>
      </c>
      <c r="D38" s="216">
        <v>0</v>
      </c>
      <c r="E38" s="231">
        <f t="shared" si="1"/>
        <v>0</v>
      </c>
      <c r="F38" s="216">
        <v>0</v>
      </c>
      <c r="G38" s="216">
        <v>0</v>
      </c>
      <c r="H38" s="217">
        <f t="shared" si="0"/>
        <v>0</v>
      </c>
    </row>
    <row r="39" spans="1:8" ht="25.5">
      <c r="A39" s="108">
        <v>6.7</v>
      </c>
      <c r="B39" s="202" t="s">
        <v>311</v>
      </c>
      <c r="C39" s="216">
        <v>0</v>
      </c>
      <c r="D39" s="216">
        <v>0</v>
      </c>
      <c r="E39" s="231">
        <f t="shared" si="1"/>
        <v>0</v>
      </c>
      <c r="F39" s="216">
        <v>0</v>
      </c>
      <c r="G39" s="216">
        <v>0</v>
      </c>
      <c r="H39" s="217">
        <f t="shared" si="0"/>
        <v>0</v>
      </c>
    </row>
    <row r="40" spans="1:8" ht="15.75">
      <c r="A40" s="108">
        <v>7</v>
      </c>
      <c r="B40" s="201" t="s">
        <v>312</v>
      </c>
      <c r="C40" s="216">
        <v>0</v>
      </c>
      <c r="D40" s="216">
        <v>0</v>
      </c>
      <c r="E40" s="231">
        <f t="shared" si="1"/>
        <v>0</v>
      </c>
      <c r="F40" s="216">
        <v>0</v>
      </c>
      <c r="G40" s="216">
        <v>0</v>
      </c>
      <c r="H40" s="217">
        <f t="shared" si="0"/>
        <v>0</v>
      </c>
    </row>
    <row r="41" spans="1:8" ht="25.5">
      <c r="A41" s="108">
        <v>7.1</v>
      </c>
      <c r="B41" s="202" t="s">
        <v>313</v>
      </c>
      <c r="C41" s="216">
        <v>379490.24000000011</v>
      </c>
      <c r="D41" s="216">
        <v>152787.28</v>
      </c>
      <c r="E41" s="231">
        <f t="shared" si="1"/>
        <v>532277.52000000014</v>
      </c>
      <c r="F41" s="216">
        <v>468079.69999999995</v>
      </c>
      <c r="G41" s="216">
        <v>963020.70000000007</v>
      </c>
      <c r="H41" s="217">
        <f t="shared" si="0"/>
        <v>1431100.4</v>
      </c>
    </row>
    <row r="42" spans="1:8" ht="25.5">
      <c r="A42" s="108">
        <v>7.2</v>
      </c>
      <c r="B42" s="202" t="s">
        <v>314</v>
      </c>
      <c r="C42" s="216">
        <v>1093678.8100000005</v>
      </c>
      <c r="D42" s="216">
        <v>1148919.8967999993</v>
      </c>
      <c r="E42" s="231">
        <f t="shared" si="1"/>
        <v>2242598.7067999998</v>
      </c>
      <c r="F42" s="216">
        <v>827735.29999999981</v>
      </c>
      <c r="G42" s="216">
        <v>975698.42000000016</v>
      </c>
      <c r="H42" s="217">
        <f t="shared" si="0"/>
        <v>1803433.72</v>
      </c>
    </row>
    <row r="43" spans="1:8" ht="25.5">
      <c r="A43" s="108">
        <v>7.3</v>
      </c>
      <c r="B43" s="202" t="s">
        <v>315</v>
      </c>
      <c r="C43" s="216">
        <v>6368462.7860000124</v>
      </c>
      <c r="D43" s="216">
        <v>14800403.090899996</v>
      </c>
      <c r="E43" s="231">
        <f t="shared" si="1"/>
        <v>21168865.87690001</v>
      </c>
      <c r="F43" s="216">
        <v>5611037.7400000161</v>
      </c>
      <c r="G43" s="216">
        <v>19534204.340000004</v>
      </c>
      <c r="H43" s="217">
        <f t="shared" si="0"/>
        <v>25145242.080000021</v>
      </c>
    </row>
    <row r="44" spans="1:8" ht="25.5">
      <c r="A44" s="108">
        <v>7.4</v>
      </c>
      <c r="B44" s="202" t="s">
        <v>316</v>
      </c>
      <c r="C44" s="216">
        <v>8954993.9600000046</v>
      </c>
      <c r="D44" s="216">
        <v>27138619.452299986</v>
      </c>
      <c r="E44" s="231">
        <f t="shared" si="1"/>
        <v>36093613.412299991</v>
      </c>
      <c r="F44" s="216">
        <v>9373298.6700000092</v>
      </c>
      <c r="G44" s="216">
        <v>47618315.399999991</v>
      </c>
      <c r="H44" s="217">
        <f t="shared" si="0"/>
        <v>56991614.07</v>
      </c>
    </row>
    <row r="45" spans="1:8" ht="15.75">
      <c r="A45" s="108">
        <v>8</v>
      </c>
      <c r="B45" s="201" t="s">
        <v>317</v>
      </c>
      <c r="C45" s="216">
        <v>0</v>
      </c>
      <c r="D45" s="216">
        <v>0</v>
      </c>
      <c r="E45" s="231">
        <f t="shared" si="1"/>
        <v>0</v>
      </c>
      <c r="F45" s="216">
        <v>0</v>
      </c>
      <c r="G45" s="216">
        <v>0</v>
      </c>
      <c r="H45" s="217">
        <f t="shared" si="0"/>
        <v>0</v>
      </c>
    </row>
    <row r="46" spans="1:8" ht="15.75">
      <c r="A46" s="108">
        <v>8.1</v>
      </c>
      <c r="B46" s="202" t="s">
        <v>318</v>
      </c>
      <c r="C46" s="216">
        <v>0</v>
      </c>
      <c r="D46" s="216">
        <v>0</v>
      </c>
      <c r="E46" s="231">
        <f t="shared" si="1"/>
        <v>0</v>
      </c>
      <c r="F46" s="216">
        <v>0</v>
      </c>
      <c r="G46" s="216">
        <v>0</v>
      </c>
      <c r="H46" s="217">
        <f t="shared" si="0"/>
        <v>0</v>
      </c>
    </row>
    <row r="47" spans="1:8" ht="15.75">
      <c r="A47" s="108">
        <v>8.1999999999999993</v>
      </c>
      <c r="B47" s="202" t="s">
        <v>319</v>
      </c>
      <c r="C47" s="216">
        <v>0</v>
      </c>
      <c r="D47" s="216">
        <v>0</v>
      </c>
      <c r="E47" s="231">
        <f t="shared" si="1"/>
        <v>0</v>
      </c>
      <c r="F47" s="216">
        <v>0</v>
      </c>
      <c r="G47" s="216">
        <v>0</v>
      </c>
      <c r="H47" s="217">
        <f t="shared" si="0"/>
        <v>0</v>
      </c>
    </row>
    <row r="48" spans="1:8" ht="15.75">
      <c r="A48" s="108">
        <v>8.3000000000000007</v>
      </c>
      <c r="B48" s="202" t="s">
        <v>320</v>
      </c>
      <c r="C48" s="216">
        <v>0</v>
      </c>
      <c r="D48" s="216">
        <v>0</v>
      </c>
      <c r="E48" s="231">
        <f t="shared" si="1"/>
        <v>0</v>
      </c>
      <c r="F48" s="216">
        <v>0</v>
      </c>
      <c r="G48" s="216">
        <v>0</v>
      </c>
      <c r="H48" s="217">
        <f t="shared" si="0"/>
        <v>0</v>
      </c>
    </row>
    <row r="49" spans="1:8" ht="15.75">
      <c r="A49" s="108">
        <v>8.4</v>
      </c>
      <c r="B49" s="202" t="s">
        <v>321</v>
      </c>
      <c r="C49" s="216">
        <v>0</v>
      </c>
      <c r="D49" s="216">
        <v>0</v>
      </c>
      <c r="E49" s="231">
        <f t="shared" si="1"/>
        <v>0</v>
      </c>
      <c r="F49" s="216">
        <v>0</v>
      </c>
      <c r="G49" s="216">
        <v>0</v>
      </c>
      <c r="H49" s="217">
        <f t="shared" si="0"/>
        <v>0</v>
      </c>
    </row>
    <row r="50" spans="1:8" ht="15.75">
      <c r="A50" s="108">
        <v>8.5</v>
      </c>
      <c r="B50" s="202" t="s">
        <v>322</v>
      </c>
      <c r="C50" s="216">
        <v>0</v>
      </c>
      <c r="D50" s="216">
        <v>0</v>
      </c>
      <c r="E50" s="231">
        <f t="shared" si="1"/>
        <v>0</v>
      </c>
      <c r="F50" s="216">
        <v>0</v>
      </c>
      <c r="G50" s="216">
        <v>0</v>
      </c>
      <c r="H50" s="217">
        <f t="shared" si="0"/>
        <v>0</v>
      </c>
    </row>
    <row r="51" spans="1:8" ht="15.75">
      <c r="A51" s="108">
        <v>8.6</v>
      </c>
      <c r="B51" s="202" t="s">
        <v>323</v>
      </c>
      <c r="C51" s="216">
        <v>0</v>
      </c>
      <c r="D51" s="216">
        <v>0</v>
      </c>
      <c r="E51" s="231">
        <f t="shared" si="1"/>
        <v>0</v>
      </c>
      <c r="F51" s="216">
        <v>0</v>
      </c>
      <c r="G51" s="216">
        <v>0</v>
      </c>
      <c r="H51" s="217">
        <f t="shared" si="0"/>
        <v>0</v>
      </c>
    </row>
    <row r="52" spans="1:8" ht="15.75">
      <c r="A52" s="108">
        <v>8.6999999999999993</v>
      </c>
      <c r="B52" s="202" t="s">
        <v>324</v>
      </c>
      <c r="C52" s="216">
        <v>0</v>
      </c>
      <c r="D52" s="216">
        <v>0</v>
      </c>
      <c r="E52" s="231">
        <f t="shared" si="1"/>
        <v>0</v>
      </c>
      <c r="F52" s="216">
        <v>0</v>
      </c>
      <c r="G52" s="216">
        <v>0</v>
      </c>
      <c r="H52" s="217">
        <f t="shared" si="0"/>
        <v>0</v>
      </c>
    </row>
    <row r="53" spans="1:8" ht="16.5" thickBot="1">
      <c r="A53" s="205">
        <v>9</v>
      </c>
      <c r="B53" s="206" t="s">
        <v>325</v>
      </c>
      <c r="C53" s="232">
        <v>0</v>
      </c>
      <c r="D53" s="232">
        <v>0</v>
      </c>
      <c r="E53" s="233">
        <f t="shared" si="1"/>
        <v>0</v>
      </c>
      <c r="F53" s="232">
        <v>0</v>
      </c>
      <c r="G53" s="232">
        <v>0</v>
      </c>
      <c r="H53" s="22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1" bestFit="1" customWidth="1"/>
    <col min="2" max="2" width="93.5703125" style="1" customWidth="1"/>
    <col min="3" max="4" width="12.7109375" style="1" customWidth="1"/>
    <col min="5" max="6" width="10.85546875" style="9" bestFit="1" customWidth="1"/>
    <col min="7" max="11" width="9.7109375" style="9" customWidth="1"/>
    <col min="12" max="16384" width="9.140625" style="9"/>
  </cols>
  <sheetData>
    <row r="1" spans="1:7" ht="15">
      <c r="A1" s="14" t="s">
        <v>188</v>
      </c>
      <c r="B1" s="13" t="str">
        <f>Info!C2</f>
        <v>ს.ს. "ტერაბანკი"</v>
      </c>
      <c r="C1" s="13"/>
    </row>
    <row r="2" spans="1:7" ht="15">
      <c r="A2" s="14" t="s">
        <v>189</v>
      </c>
      <c r="B2" s="390">
        <f>'1. key ratios'!B2</f>
        <v>44834</v>
      </c>
      <c r="C2" s="13"/>
    </row>
    <row r="3" spans="1:7" ht="15">
      <c r="A3" s="14"/>
      <c r="B3" s="13"/>
      <c r="C3" s="13"/>
    </row>
    <row r="4" spans="1:7" ht="15" customHeight="1" thickBot="1">
      <c r="A4" s="196" t="s">
        <v>332</v>
      </c>
      <c r="B4" s="197" t="s">
        <v>187</v>
      </c>
      <c r="C4" s="198" t="s">
        <v>93</v>
      </c>
    </row>
    <row r="5" spans="1:7" ht="15" customHeight="1">
      <c r="A5" s="194" t="s">
        <v>26</v>
      </c>
      <c r="B5" s="195"/>
      <c r="C5" s="391" t="str">
        <f>INT((MONTH($B$2))/3)&amp;"Q"&amp;"-"&amp;YEAR($B$2)</f>
        <v>3Q-2022</v>
      </c>
      <c r="D5" s="391" t="str">
        <f>IF(INT(MONTH($B$2))=3, "4"&amp;"Q"&amp;"-"&amp;YEAR($B$2)-1, IF(INT(MONTH($B$2))=6, "1"&amp;"Q"&amp;"-"&amp;YEAR($B$2), IF(INT(MONTH($B$2))=9, "2"&amp;"Q"&amp;"-"&amp;YEAR($B$2),IF(INT(MONTH($B$2))=12, "3"&amp;"Q"&amp;"-"&amp;YEAR($B$2), 0))))</f>
        <v>2Q-2022</v>
      </c>
      <c r="E5" s="391" t="str">
        <f>IF(INT(MONTH($B$2))=3, "3"&amp;"Q"&amp;"-"&amp;YEAR($B$2)-1, IF(INT(MONTH($B$2))=6, "4"&amp;"Q"&amp;"-"&amp;YEAR($B$2)-1, IF(INT(MONTH($B$2))=9, "1"&amp;"Q"&amp;"-"&amp;YEAR($B$2),IF(INT(MONTH($B$2))=12, "2"&amp;"Q"&amp;"-"&amp;YEAR($B$2), 0))))</f>
        <v>1Q-2022</v>
      </c>
      <c r="F5" s="391" t="str">
        <f>IF(INT(MONTH($B$2))=3, "2"&amp;"Q"&amp;"-"&amp;YEAR($B$2)-1, IF(INT(MONTH($B$2))=6, "3"&amp;"Q"&amp;"-"&amp;YEAR($B$2)-1, IF(INT(MONTH($B$2))=9, "4"&amp;"Q"&amp;"-"&amp;YEAR($B$2)-1,IF(INT(MONTH($B$2))=12, "1"&amp;"Q"&amp;"-"&amp;YEAR($B$2), 0))))</f>
        <v>4Q-2021</v>
      </c>
      <c r="G5" s="391" t="str">
        <f>IF(INT(MONTH($B$2))=3, "1"&amp;"Q"&amp;"-"&amp;YEAR($B$2)-1, IF(INT(MONTH($B$2))=6, "2"&amp;"Q"&amp;"-"&amp;YEAR($B$2)-1, IF(INT(MONTH($B$2))=9, "3"&amp;"Q"&amp;"-"&amp;YEAR($B$2)-1,IF(INT(MONTH($B$2))=12, "4"&amp;"Q"&amp;"-"&amp;YEAR($B$2)-1, 0))))</f>
        <v>3Q-2021</v>
      </c>
    </row>
    <row r="6" spans="1:7" ht="15" customHeight="1">
      <c r="A6" s="324">
        <v>1</v>
      </c>
      <c r="B6" s="376" t="s">
        <v>192</v>
      </c>
      <c r="C6" s="325">
        <f>C7+C9+C10</f>
        <v>1067769928.1667596</v>
      </c>
      <c r="D6" s="378">
        <f>D7+D9+D10</f>
        <v>1049203338.7283688</v>
      </c>
      <c r="E6" s="326">
        <f t="shared" ref="E6:G6" si="0">E7+E9+E10</f>
        <v>1032420386.6617638</v>
      </c>
      <c r="F6" s="325">
        <f t="shared" si="0"/>
        <v>1002728872.2713515</v>
      </c>
      <c r="G6" s="379">
        <f t="shared" si="0"/>
        <v>965651446.33749986</v>
      </c>
    </row>
    <row r="7" spans="1:7" ht="15" customHeight="1">
      <c r="A7" s="324">
        <v>1.1000000000000001</v>
      </c>
      <c r="B7" s="327" t="s">
        <v>478</v>
      </c>
      <c r="C7" s="328">
        <v>1034930346.6632596</v>
      </c>
      <c r="D7" s="380">
        <v>1008065502.2947187</v>
      </c>
      <c r="E7" s="328">
        <v>995364395.34226382</v>
      </c>
      <c r="F7" s="328">
        <v>970101006.45685148</v>
      </c>
      <c r="G7" s="381">
        <v>937814523.81499982</v>
      </c>
    </row>
    <row r="8" spans="1:7" ht="25.5">
      <c r="A8" s="324" t="s">
        <v>252</v>
      </c>
      <c r="B8" s="329" t="s">
        <v>326</v>
      </c>
      <c r="C8" s="328">
        <v>0</v>
      </c>
      <c r="D8" s="380">
        <v>0</v>
      </c>
      <c r="E8" s="328">
        <v>0</v>
      </c>
      <c r="F8" s="328">
        <v>0</v>
      </c>
      <c r="G8" s="381">
        <v>0</v>
      </c>
    </row>
    <row r="9" spans="1:7" ht="15" customHeight="1">
      <c r="A9" s="324">
        <v>1.2</v>
      </c>
      <c r="B9" s="327" t="s">
        <v>22</v>
      </c>
      <c r="C9" s="328">
        <v>31822747.503500003</v>
      </c>
      <c r="D9" s="380">
        <v>39824476.43925</v>
      </c>
      <c r="E9" s="328">
        <v>35860145.319500007</v>
      </c>
      <c r="F9" s="328">
        <v>31278533.144499991</v>
      </c>
      <c r="G9" s="381">
        <v>26111884.892499991</v>
      </c>
    </row>
    <row r="10" spans="1:7" ht="15" customHeight="1">
      <c r="A10" s="324">
        <v>1.3</v>
      </c>
      <c r="B10" s="377" t="s">
        <v>77</v>
      </c>
      <c r="C10" s="328">
        <v>1016834</v>
      </c>
      <c r="D10" s="380">
        <v>1313359.9944</v>
      </c>
      <c r="E10" s="328">
        <v>1195846</v>
      </c>
      <c r="F10" s="328">
        <v>1349332.67</v>
      </c>
      <c r="G10" s="381">
        <v>1725037.6300000001</v>
      </c>
    </row>
    <row r="11" spans="1:7" ht="15" customHeight="1">
      <c r="A11" s="324">
        <v>2</v>
      </c>
      <c r="B11" s="376" t="s">
        <v>193</v>
      </c>
      <c r="C11" s="328">
        <v>19648855.920000196</v>
      </c>
      <c r="D11" s="380">
        <v>22919644.720000107</v>
      </c>
      <c r="E11" s="328">
        <v>26979981.020000007</v>
      </c>
      <c r="F11" s="328">
        <v>29520683.129999924</v>
      </c>
      <c r="G11" s="381">
        <v>26498769.699999984</v>
      </c>
    </row>
    <row r="12" spans="1:7" ht="15" customHeight="1">
      <c r="A12" s="324">
        <v>3</v>
      </c>
      <c r="B12" s="376" t="s">
        <v>191</v>
      </c>
      <c r="C12" s="328">
        <v>100082740.24375002</v>
      </c>
      <c r="D12" s="380">
        <v>100082740.24375002</v>
      </c>
      <c r="E12" s="328">
        <v>100082740.24375002</v>
      </c>
      <c r="F12" s="328">
        <v>100082740.24375002</v>
      </c>
      <c r="G12" s="381">
        <v>99313156.550000012</v>
      </c>
    </row>
    <row r="13" spans="1:7" ht="15" customHeight="1" thickBot="1">
      <c r="A13" s="121">
        <v>4</v>
      </c>
      <c r="B13" s="384" t="s">
        <v>253</v>
      </c>
      <c r="C13" s="234">
        <f>C6+C11+C12</f>
        <v>1187501524.3305099</v>
      </c>
      <c r="D13" s="382">
        <f>D6+D11+D12</f>
        <v>1172205723.6921189</v>
      </c>
      <c r="E13" s="235">
        <f t="shared" ref="E13:G13" si="1">E6+E11+E12</f>
        <v>1159483107.9255137</v>
      </c>
      <c r="F13" s="234">
        <f t="shared" si="1"/>
        <v>1132332295.6451013</v>
      </c>
      <c r="G13" s="383">
        <f t="shared" si="1"/>
        <v>1091463372.5874999</v>
      </c>
    </row>
    <row r="14" spans="1:7">
      <c r="B14" s="18"/>
    </row>
    <row r="15" spans="1:7" ht="25.5">
      <c r="B15" s="18" t="s">
        <v>479</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35"/>
  <sheetViews>
    <sheetView showGridLines="0" zoomScaleNormal="100" workbookViewId="0">
      <pane xSplit="1" ySplit="4" topLeftCell="B5" activePane="bottomRight" state="frozen"/>
      <selection activeCell="C50" sqref="C50"/>
      <selection pane="topRight" activeCell="C50" sqref="C50"/>
      <selection pane="bottomLeft" activeCell="C50" sqref="C50"/>
      <selection pane="bottomRight" activeCell="C1" sqref="C1"/>
    </sheetView>
  </sheetViews>
  <sheetFormatPr defaultRowHeight="15"/>
  <cols>
    <col min="1" max="1" width="9.5703125" style="1" bestFit="1" customWidth="1"/>
    <col min="2" max="2" width="58.85546875" style="1" customWidth="1"/>
    <col min="3" max="3" width="34.28515625" style="1" customWidth="1"/>
  </cols>
  <sheetData>
    <row r="1" spans="1:3">
      <c r="A1" s="1" t="s">
        <v>188</v>
      </c>
      <c r="B1" s="1" t="str">
        <f>Info!C2</f>
        <v>ს.ს. "ტერაბანკი"</v>
      </c>
    </row>
    <row r="2" spans="1:3">
      <c r="A2" s="1" t="s">
        <v>189</v>
      </c>
      <c r="B2" s="403">
        <f>'1. key ratios'!B2</f>
        <v>44834</v>
      </c>
    </row>
    <row r="4" spans="1:3" ht="25.5" customHeight="1" thickBot="1">
      <c r="A4" s="207" t="s">
        <v>333</v>
      </c>
      <c r="B4" s="53" t="s">
        <v>149</v>
      </c>
      <c r="C4" s="10"/>
    </row>
    <row r="5" spans="1:3" ht="15.75">
      <c r="A5" s="8"/>
      <c r="B5" s="372" t="s">
        <v>150</v>
      </c>
      <c r="C5" s="388" t="s">
        <v>493</v>
      </c>
    </row>
    <row r="6" spans="1:3">
      <c r="A6" s="11">
        <v>1</v>
      </c>
      <c r="B6" s="54" t="s">
        <v>718</v>
      </c>
      <c r="C6" s="385" t="s">
        <v>744</v>
      </c>
    </row>
    <row r="7" spans="1:3">
      <c r="A7" s="11">
        <v>2</v>
      </c>
      <c r="B7" s="54" t="s">
        <v>745</v>
      </c>
      <c r="C7" s="385" t="s">
        <v>746</v>
      </c>
    </row>
    <row r="8" spans="1:3">
      <c r="A8" s="11">
        <v>3</v>
      </c>
      <c r="B8" s="54" t="s">
        <v>747</v>
      </c>
      <c r="C8" s="385" t="s">
        <v>746</v>
      </c>
    </row>
    <row r="9" spans="1:3">
      <c r="A9" s="11">
        <v>4</v>
      </c>
      <c r="B9" s="54" t="s">
        <v>748</v>
      </c>
      <c r="C9" s="385" t="s">
        <v>749</v>
      </c>
    </row>
    <row r="10" spans="1:3">
      <c r="A10" s="11">
        <v>5</v>
      </c>
      <c r="B10" s="54" t="s">
        <v>750</v>
      </c>
      <c r="C10" s="385" t="s">
        <v>749</v>
      </c>
    </row>
    <row r="11" spans="1:3">
      <c r="A11" s="11">
        <v>6</v>
      </c>
      <c r="B11" s="54" t="s">
        <v>751</v>
      </c>
      <c r="C11" s="385" t="s">
        <v>749</v>
      </c>
    </row>
    <row r="12" spans="1:3">
      <c r="A12" s="11"/>
      <c r="B12" s="54"/>
      <c r="C12" s="385"/>
    </row>
    <row r="13" spans="1:3">
      <c r="A13" s="11"/>
      <c r="B13" s="637"/>
      <c r="C13" s="638"/>
    </row>
    <row r="14" spans="1:3" ht="60">
      <c r="A14" s="11"/>
      <c r="B14" s="373" t="s">
        <v>151</v>
      </c>
      <c r="C14" s="389" t="s">
        <v>494</v>
      </c>
    </row>
    <row r="15" spans="1:3" ht="15.75">
      <c r="A15" s="11">
        <v>1</v>
      </c>
      <c r="B15" s="22" t="s">
        <v>752</v>
      </c>
      <c r="C15" s="387" t="s">
        <v>753</v>
      </c>
    </row>
    <row r="16" spans="1:3" ht="15.75">
      <c r="A16" s="11">
        <v>2</v>
      </c>
      <c r="B16" s="22" t="s">
        <v>754</v>
      </c>
      <c r="C16" s="387" t="s">
        <v>755</v>
      </c>
    </row>
    <row r="17" spans="1:3" ht="15.75">
      <c r="A17" s="11">
        <v>3</v>
      </c>
      <c r="B17" s="22" t="s">
        <v>756</v>
      </c>
      <c r="C17" s="387" t="s">
        <v>757</v>
      </c>
    </row>
    <row r="18" spans="1:3" ht="15.75">
      <c r="A18" s="11">
        <v>4</v>
      </c>
      <c r="B18" s="22" t="s">
        <v>758</v>
      </c>
      <c r="C18" s="387" t="s">
        <v>759</v>
      </c>
    </row>
    <row r="19" spans="1:3" ht="15.75">
      <c r="A19" s="11">
        <v>5</v>
      </c>
      <c r="B19" s="22" t="s">
        <v>760</v>
      </c>
      <c r="C19" s="387" t="s">
        <v>761</v>
      </c>
    </row>
    <row r="20" spans="1:3" ht="15.75" customHeight="1">
      <c r="A20" s="11"/>
      <c r="B20" s="22"/>
      <c r="C20" s="23"/>
    </row>
    <row r="21" spans="1:3" ht="30" customHeight="1">
      <c r="A21" s="11"/>
      <c r="B21" s="639" t="s">
        <v>152</v>
      </c>
      <c r="C21" s="640"/>
    </row>
    <row r="22" spans="1:3" ht="15.75">
      <c r="A22" s="11">
        <v>1</v>
      </c>
      <c r="B22" s="54" t="s">
        <v>718</v>
      </c>
      <c r="C22" s="531">
        <v>0.65</v>
      </c>
    </row>
    <row r="23" spans="1:3" ht="15.75">
      <c r="A23" s="529">
        <v>2</v>
      </c>
      <c r="B23" s="530" t="s">
        <v>762</v>
      </c>
      <c r="C23" s="531">
        <v>0.15</v>
      </c>
    </row>
    <row r="24" spans="1:3" ht="15.75">
      <c r="A24" s="529">
        <v>3</v>
      </c>
      <c r="B24" s="530" t="s">
        <v>763</v>
      </c>
      <c r="C24" s="531">
        <v>0.15</v>
      </c>
    </row>
    <row r="25" spans="1:3" ht="15.75">
      <c r="A25" s="529">
        <v>4</v>
      </c>
      <c r="B25" s="530" t="s">
        <v>764</v>
      </c>
      <c r="C25" s="531">
        <v>0.05</v>
      </c>
    </row>
    <row r="26" spans="1:3">
      <c r="A26" s="529"/>
      <c r="B26" s="530"/>
      <c r="C26" s="55"/>
    </row>
    <row r="27" spans="1:3" ht="15.75" customHeight="1">
      <c r="A27" s="11"/>
      <c r="B27" s="54"/>
      <c r="C27" s="55"/>
    </row>
    <row r="28" spans="1:3" ht="29.25" customHeight="1">
      <c r="A28" s="11"/>
      <c r="B28" s="639" t="s">
        <v>273</v>
      </c>
      <c r="C28" s="640"/>
    </row>
    <row r="29" spans="1:3" ht="15.75">
      <c r="A29" s="11">
        <v>1</v>
      </c>
      <c r="B29" s="54" t="s">
        <v>718</v>
      </c>
      <c r="C29" s="531">
        <v>0.65</v>
      </c>
    </row>
    <row r="30" spans="1:3" ht="15.75">
      <c r="A30" s="532">
        <v>2</v>
      </c>
      <c r="B30" s="533" t="s">
        <v>762</v>
      </c>
      <c r="C30" s="535">
        <v>0.15</v>
      </c>
    </row>
    <row r="31" spans="1:3" ht="15.75">
      <c r="A31" s="532">
        <v>3</v>
      </c>
      <c r="B31" s="533" t="s">
        <v>763</v>
      </c>
      <c r="C31" s="535">
        <v>0.15</v>
      </c>
    </row>
    <row r="32" spans="1:3" ht="15.75">
      <c r="A32" s="532">
        <v>4</v>
      </c>
      <c r="B32" s="533" t="s">
        <v>764</v>
      </c>
      <c r="C32" s="535">
        <v>0.05</v>
      </c>
    </row>
    <row r="33" spans="1:3">
      <c r="A33" s="532"/>
      <c r="B33" s="533"/>
      <c r="C33" s="534"/>
    </row>
    <row r="34" spans="1:3">
      <c r="A34" s="532"/>
      <c r="B34" s="533"/>
      <c r="C34" s="534"/>
    </row>
    <row r="35" spans="1:3" ht="16.5" thickBot="1">
      <c r="A35" s="12"/>
      <c r="B35" s="56"/>
      <c r="C35" s="386"/>
    </row>
  </sheetData>
  <mergeCells count="3">
    <mergeCell ref="B13:C13"/>
    <mergeCell ref="B28:C28"/>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0" sqref="E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4" t="s">
        <v>188</v>
      </c>
      <c r="B1" s="13" t="str">
        <f>Info!C2</f>
        <v>ს.ს. "ტერაბანკი"</v>
      </c>
    </row>
    <row r="2" spans="1:5" s="14" customFormat="1" ht="15.75" customHeight="1">
      <c r="A2" s="14" t="s">
        <v>189</v>
      </c>
      <c r="B2" s="403">
        <f>'1. key ratios'!B2</f>
        <v>44834</v>
      </c>
    </row>
    <row r="3" spans="1:5" s="14" customFormat="1" ht="15.75" customHeight="1"/>
    <row r="4" spans="1:5" s="14" customFormat="1" ht="15.75" customHeight="1" thickBot="1">
      <c r="A4" s="208" t="s">
        <v>334</v>
      </c>
      <c r="B4" s="209" t="s">
        <v>263</v>
      </c>
      <c r="C4" s="173"/>
      <c r="D4" s="173"/>
      <c r="E4" s="174" t="s">
        <v>93</v>
      </c>
    </row>
    <row r="5" spans="1:5" s="109" customFormat="1" ht="17.45" customHeight="1">
      <c r="A5" s="295"/>
      <c r="B5" s="296"/>
      <c r="C5" s="172" t="s">
        <v>0</v>
      </c>
      <c r="D5" s="172" t="s">
        <v>1</v>
      </c>
      <c r="E5" s="297" t="s">
        <v>2</v>
      </c>
    </row>
    <row r="6" spans="1:5" ht="14.45" customHeight="1">
      <c r="A6" s="298"/>
      <c r="B6" s="641" t="s">
        <v>231</v>
      </c>
      <c r="C6" s="641" t="s">
        <v>230</v>
      </c>
      <c r="D6" s="642" t="s">
        <v>229</v>
      </c>
      <c r="E6" s="643"/>
    </row>
    <row r="7" spans="1:5" ht="99.6" customHeight="1">
      <c r="A7" s="298"/>
      <c r="B7" s="641"/>
      <c r="C7" s="641"/>
      <c r="D7" s="293" t="s">
        <v>228</v>
      </c>
      <c r="E7" s="294" t="s">
        <v>396</v>
      </c>
    </row>
    <row r="8" spans="1:5">
      <c r="A8" s="299">
        <v>1</v>
      </c>
      <c r="B8" s="300" t="s">
        <v>154</v>
      </c>
      <c r="C8" s="301">
        <v>38240214.4298326</v>
      </c>
      <c r="D8" s="301">
        <v>0</v>
      </c>
      <c r="E8" s="302">
        <v>38240214.4298326</v>
      </c>
    </row>
    <row r="9" spans="1:5">
      <c r="A9" s="299">
        <v>2</v>
      </c>
      <c r="B9" s="300" t="s">
        <v>155</v>
      </c>
      <c r="C9" s="301">
        <v>116160978.19999999</v>
      </c>
      <c r="D9" s="301">
        <v>0</v>
      </c>
      <c r="E9" s="302">
        <v>116160978.19999999</v>
      </c>
    </row>
    <row r="10" spans="1:5">
      <c r="A10" s="299">
        <v>3</v>
      </c>
      <c r="B10" s="300" t="s">
        <v>227</v>
      </c>
      <c r="C10" s="301">
        <v>44618440.460000008</v>
      </c>
      <c r="D10" s="301">
        <v>0</v>
      </c>
      <c r="E10" s="302">
        <v>44618440.460000008</v>
      </c>
    </row>
    <row r="11" spans="1:5">
      <c r="A11" s="299">
        <v>4</v>
      </c>
      <c r="B11" s="300" t="s">
        <v>185</v>
      </c>
      <c r="C11" s="301">
        <v>0</v>
      </c>
      <c r="D11" s="301">
        <v>0</v>
      </c>
      <c r="E11" s="302">
        <v>0</v>
      </c>
    </row>
    <row r="12" spans="1:5">
      <c r="A12" s="299">
        <v>5</v>
      </c>
      <c r="B12" s="300" t="s">
        <v>157</v>
      </c>
      <c r="C12" s="301">
        <v>161124418.93000001</v>
      </c>
      <c r="D12" s="301">
        <v>0</v>
      </c>
      <c r="E12" s="302">
        <v>161124418.93000001</v>
      </c>
    </row>
    <row r="13" spans="1:5">
      <c r="A13" s="299">
        <v>6.1</v>
      </c>
      <c r="B13" s="300" t="s">
        <v>158</v>
      </c>
      <c r="C13" s="303">
        <v>1056036434.1899962</v>
      </c>
      <c r="D13" s="301">
        <v>0</v>
      </c>
      <c r="E13" s="302">
        <v>1056036434.1899962</v>
      </c>
    </row>
    <row r="14" spans="1:5">
      <c r="A14" s="299">
        <v>6.2</v>
      </c>
      <c r="B14" s="304" t="s">
        <v>159</v>
      </c>
      <c r="C14" s="303">
        <v>45060508.269999981</v>
      </c>
      <c r="D14" s="301">
        <v>0</v>
      </c>
      <c r="E14" s="302">
        <v>45060508.269999981</v>
      </c>
    </row>
    <row r="15" spans="1:5">
      <c r="A15" s="299">
        <v>6</v>
      </c>
      <c r="B15" s="300" t="s">
        <v>226</v>
      </c>
      <c r="C15" s="301">
        <v>1010975925.9199963</v>
      </c>
      <c r="D15" s="301">
        <v>0</v>
      </c>
      <c r="E15" s="302">
        <v>1010975925.9199963</v>
      </c>
    </row>
    <row r="16" spans="1:5">
      <c r="A16" s="299">
        <v>7</v>
      </c>
      <c r="B16" s="300" t="s">
        <v>161</v>
      </c>
      <c r="C16" s="301">
        <v>11331971.569999987</v>
      </c>
      <c r="D16" s="301">
        <v>0</v>
      </c>
      <c r="E16" s="302">
        <v>11331971.569999987</v>
      </c>
    </row>
    <row r="17" spans="1:7">
      <c r="A17" s="299">
        <v>8</v>
      </c>
      <c r="B17" s="300" t="s">
        <v>162</v>
      </c>
      <c r="C17" s="301">
        <v>6007958.9600000009</v>
      </c>
      <c r="D17" s="301">
        <v>0</v>
      </c>
      <c r="E17" s="302">
        <v>6007958.9600000009</v>
      </c>
      <c r="F17" s="3"/>
      <c r="G17" s="3"/>
    </row>
    <row r="18" spans="1:7">
      <c r="A18" s="299">
        <v>9</v>
      </c>
      <c r="B18" s="300" t="s">
        <v>163</v>
      </c>
      <c r="C18" s="301">
        <v>0</v>
      </c>
      <c r="D18" s="301">
        <v>0</v>
      </c>
      <c r="E18" s="302">
        <v>0</v>
      </c>
      <c r="G18" s="3"/>
    </row>
    <row r="19" spans="1:7" ht="25.5">
      <c r="A19" s="299">
        <v>10</v>
      </c>
      <c r="B19" s="300" t="s">
        <v>164</v>
      </c>
      <c r="C19" s="301">
        <v>46325390.210000031</v>
      </c>
      <c r="D19" s="301">
        <v>23660155</v>
      </c>
      <c r="E19" s="302">
        <v>22665235.210000031</v>
      </c>
      <c r="G19" s="3"/>
    </row>
    <row r="20" spans="1:7">
      <c r="A20" s="299">
        <v>11</v>
      </c>
      <c r="B20" s="300" t="s">
        <v>165</v>
      </c>
      <c r="C20" s="301">
        <v>13158854.138799999</v>
      </c>
      <c r="D20" s="301">
        <v>0</v>
      </c>
      <c r="E20" s="302">
        <v>13158854.138799999</v>
      </c>
    </row>
    <row r="21" spans="1:7" ht="39" thickBot="1">
      <c r="A21" s="305"/>
      <c r="B21" s="306" t="s">
        <v>369</v>
      </c>
      <c r="C21" s="262">
        <f>SUM(C8:C12, C15:C20)</f>
        <v>1447944152.8186288</v>
      </c>
      <c r="D21" s="262">
        <f>SUM(D8:D12, D15:D20)</f>
        <v>23660155</v>
      </c>
      <c r="E21" s="307">
        <f>SUM(E8:E12, E15:E20)</f>
        <v>1424283997.8186288</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"ტერაბანკი"</v>
      </c>
    </row>
    <row r="2" spans="1:6" s="14" customFormat="1" ht="15.75" customHeight="1">
      <c r="A2" s="14" t="s">
        <v>189</v>
      </c>
      <c r="B2" s="403">
        <f>'1. key ratios'!B2</f>
        <v>44834</v>
      </c>
      <c r="C2"/>
      <c r="D2"/>
      <c r="E2"/>
      <c r="F2"/>
    </row>
    <row r="3" spans="1:6" s="14" customFormat="1" ht="15.75" customHeight="1">
      <c r="C3"/>
      <c r="D3"/>
      <c r="E3"/>
      <c r="F3"/>
    </row>
    <row r="4" spans="1:6" s="14" customFormat="1" ht="26.25" thickBot="1">
      <c r="A4" s="14" t="s">
        <v>335</v>
      </c>
      <c r="B4" s="180" t="s">
        <v>266</v>
      </c>
      <c r="C4" s="174" t="s">
        <v>93</v>
      </c>
      <c r="D4"/>
      <c r="E4"/>
      <c r="F4"/>
    </row>
    <row r="5" spans="1:6" ht="26.25">
      <c r="A5" s="175">
        <v>1</v>
      </c>
      <c r="B5" s="176" t="s">
        <v>342</v>
      </c>
      <c r="C5" s="236">
        <f>'7. LI1'!E21</f>
        <v>1424283997.8186288</v>
      </c>
    </row>
    <row r="6" spans="1:6">
      <c r="A6" s="108">
        <v>2.1</v>
      </c>
      <c r="B6" s="182" t="s">
        <v>267</v>
      </c>
      <c r="C6" s="237">
        <v>80527046.019999951</v>
      </c>
    </row>
    <row r="7" spans="1:6" s="2" customFormat="1" ht="25.5" outlineLevel="1">
      <c r="A7" s="181">
        <v>2.2000000000000002</v>
      </c>
      <c r="B7" s="177" t="s">
        <v>268</v>
      </c>
      <c r="C7" s="238">
        <v>50841700</v>
      </c>
    </row>
    <row r="8" spans="1:6" s="2" customFormat="1" ht="26.25">
      <c r="A8" s="181">
        <v>3</v>
      </c>
      <c r="B8" s="178" t="s">
        <v>343</v>
      </c>
      <c r="C8" s="239">
        <f>SUM(C5:C7)</f>
        <v>1555652743.8386288</v>
      </c>
    </row>
    <row r="9" spans="1:6">
      <c r="A9" s="108">
        <v>4</v>
      </c>
      <c r="B9" s="185" t="s">
        <v>264</v>
      </c>
      <c r="C9" s="237">
        <v>18510620.570000019</v>
      </c>
    </row>
    <row r="10" spans="1:6" s="2" customFormat="1" ht="25.5" outlineLevel="1">
      <c r="A10" s="181">
        <v>5.0999999999999996</v>
      </c>
      <c r="B10" s="177" t="s">
        <v>274</v>
      </c>
      <c r="C10" s="238">
        <v>-36633234.283999994</v>
      </c>
    </row>
    <row r="11" spans="1:6" s="2" customFormat="1" ht="25.5" outlineLevel="1">
      <c r="A11" s="181">
        <v>5.2</v>
      </c>
      <c r="B11" s="177" t="s">
        <v>275</v>
      </c>
      <c r="C11" s="238">
        <v>-49824866</v>
      </c>
    </row>
    <row r="12" spans="1:6" s="2" customFormat="1">
      <c r="A12" s="181">
        <v>6</v>
      </c>
      <c r="B12" s="183" t="s">
        <v>480</v>
      </c>
      <c r="C12" s="238">
        <v>0</v>
      </c>
    </row>
    <row r="13" spans="1:6" s="2" customFormat="1" ht="15.75" thickBot="1">
      <c r="A13" s="184">
        <v>7</v>
      </c>
      <c r="B13" s="179" t="s">
        <v>265</v>
      </c>
      <c r="C13" s="240">
        <f>SUM(C8:C12)</f>
        <v>1487705264.1246288</v>
      </c>
    </row>
    <row r="15" spans="1:6" ht="26.25">
      <c r="B15" s="18" t="s">
        <v>481</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JRROrHM1apt/qIBKIwEx+qR4gJoWi8z/NdfWyLbIspI=</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tIewcJXdornF2EmQ8R1F0auUE2dHT3kuoG/FKuMGzJc=</DigestValue>
    </Reference>
  </SignedInfo>
  <SignatureValue>T4w2owRMRe3kgiOIlLyRGjih/GCW+A8zIgXu1qo3fn6AiHbfWVg6748BiWHC34W/Pz2DEwFXwbzZ
ZuNBDUJEPNFam4gXyhTJuDjaaot4Dt3xOsUP7aL/xVdmVp+ki4wZHOvwE2h3fwJuhkI/WW2oKL5o
4TMB1nHHM9cwBr7i8Ro75rV740ydYs/i1A9humgn1t9sSeFl+boPr+433hxRycQ4CgJQ7KSuNGKq
iZRffOPG5JLWcRrsf+OUmh3d6Y3JucfxT15xF/tspc5J4nYcbBbvL7LcxkpLFlTuJy53tpVG+uG6
rOuhp5MqpY+w/p6lASzxU+mJE+7t3TqK61ESTw==</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sZ/1XDuOr6TJX1LauLT2wPDaXNfC5u/5B802Kl7SIXg=</DigestValue>
      </Reference>
      <Reference URI="/xl/drawings/drawing1.xml?ContentType=application/vnd.openxmlformats-officedocument.drawing+xml">
        <DigestMethod Algorithm="http://www.w3.org/2001/04/xmlenc#sha256"/>
        <DigestValue>fOWfOZckJj+yvkeb48RL+4GFzVcLs3Of8wOubwHPg7A=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WB9+oThEjdmK6yU6fR0u9RHVuqZ5/je1qcm+Vomjlog=</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vTag//EquIVGz316BBp/20YbSyKKe9UtzaLCD9dOw68=</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1nTx7DqtIvf1kpyPmKEuOv/1Z3DnOu7jX3AmeH+hWJ0=</DigestValue>
      </Reference>
      <Reference URI="/xl/styles.xml?ContentType=application/vnd.openxmlformats-officedocument.spreadsheetml.styles+xml">
        <DigestMethod Algorithm="http://www.w3.org/2001/04/xmlenc#sha256"/>
        <DigestValue>69PuPY2VJxgSn+isfYHs9txGf+QemiZV/cMbYBd71hI=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e8/k6XkR+5f3WS20gMdgnOjG7N7oNCALLkLy3XVENiw=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y9++OvgyJiMivurExCyhu48s11Tyrh6msyDsetwSb/c=</DigestValue>
      </Reference>
      <Reference URI="/xl/worksheets/sheet10.xml?ContentType=application/vnd.openxmlformats-officedocument.spreadsheetml.worksheet+xml">
        <DigestMethod Algorithm="http://www.w3.org/2001/04/xmlenc#sha256"/>
        <DigestValue>oUtxfDhGMTiEa95OSSgJWFo38mww7b4b6V3whkUqAK4=</DigestValue>
      </Reference>
      <Reference URI="/xl/worksheets/sheet11.xml?ContentType=application/vnd.openxmlformats-officedocument.spreadsheetml.worksheet+xml">
        <DigestMethod Algorithm="http://www.w3.org/2001/04/xmlenc#sha256"/>
        <DigestValue>eRC9Vb3lbEZrU/FeTfegcEo5gAcueJylbzVoA0BNuH4=</DigestValue>
      </Reference>
      <Reference URI="/xl/worksheets/sheet12.xml?ContentType=application/vnd.openxmlformats-officedocument.spreadsheetml.worksheet+xml">
        <DigestMethod Algorithm="http://www.w3.org/2001/04/xmlenc#sha256"/>
        <DigestValue>8iKPKLW118v+XeYYUanrCWc9+xOk69Bz4FcVHYN2qLQ=</DigestValue>
      </Reference>
      <Reference URI="/xl/worksheets/sheet13.xml?ContentType=application/vnd.openxmlformats-officedocument.spreadsheetml.worksheet+xml">
        <DigestMethod Algorithm="http://www.w3.org/2001/04/xmlenc#sha256"/>
        <DigestValue>4Bp2oVIHb147yziMB/VSD73bvNDhi5SgQOgzIuC6zHo=</DigestValue>
      </Reference>
      <Reference URI="/xl/worksheets/sheet14.xml?ContentType=application/vnd.openxmlformats-officedocument.spreadsheetml.worksheet+xml">
        <DigestMethod Algorithm="http://www.w3.org/2001/04/xmlenc#sha256"/>
        <DigestValue>fXGUswwJL+1q0QvFx5yvFyUweR+3gCyWe+JU2JBLH9Y=</DigestValue>
      </Reference>
      <Reference URI="/xl/worksheets/sheet15.xml?ContentType=application/vnd.openxmlformats-officedocument.spreadsheetml.worksheet+xml">
        <DigestMethod Algorithm="http://www.w3.org/2001/04/xmlenc#sha256"/>
        <DigestValue>BH0bmGPuBXzW0brCxo6RkEXIQ2IHmRh1RBudao5NIjc=</DigestValue>
      </Reference>
      <Reference URI="/xl/worksheets/sheet16.xml?ContentType=application/vnd.openxmlformats-officedocument.spreadsheetml.worksheet+xml">
        <DigestMethod Algorithm="http://www.w3.org/2001/04/xmlenc#sha256"/>
        <DigestValue>ogNr+fcNf98zKspCuzunfXtwZRweu39nXScNhy0PwC4=</DigestValue>
      </Reference>
      <Reference URI="/xl/worksheets/sheet17.xml?ContentType=application/vnd.openxmlformats-officedocument.spreadsheetml.worksheet+xml">
        <DigestMethod Algorithm="http://www.w3.org/2001/04/xmlenc#sha256"/>
        <DigestValue>gN5DQtlgfDGm2Q1jjkOJwOKHpFtxN4JrNNQU4+g59xw=</DigestValue>
      </Reference>
      <Reference URI="/xl/worksheets/sheet18.xml?ContentType=application/vnd.openxmlformats-officedocument.spreadsheetml.worksheet+xml">
        <DigestMethod Algorithm="http://www.w3.org/2001/04/xmlenc#sha256"/>
        <DigestValue>WrKc2WD+C0XVGV6IKu81uAFkX9t4sc+eCa1JIwqbZgI=</DigestValue>
      </Reference>
      <Reference URI="/xl/worksheets/sheet19.xml?ContentType=application/vnd.openxmlformats-officedocument.spreadsheetml.worksheet+xml">
        <DigestMethod Algorithm="http://www.w3.org/2001/04/xmlenc#sha256"/>
        <DigestValue>vx/ToTy+G4IGC/5DECkQIxce60TZhAFk8L8G5nMzDl8=</DigestValue>
      </Reference>
      <Reference URI="/xl/worksheets/sheet2.xml?ContentType=application/vnd.openxmlformats-officedocument.spreadsheetml.worksheet+xml">
        <DigestMethod Algorithm="http://www.w3.org/2001/04/xmlenc#sha256"/>
        <DigestValue>IqjdhstEmlQUCCfD04fbr/Dmx2nNCDDoxNUBhBem6pc=</DigestValue>
      </Reference>
      <Reference URI="/xl/worksheets/sheet20.xml?ContentType=application/vnd.openxmlformats-officedocument.spreadsheetml.worksheet+xml">
        <DigestMethod Algorithm="http://www.w3.org/2001/04/xmlenc#sha256"/>
        <DigestValue>FdWEPJriZfxNuSB3rFb+gmGTOBPb3T/NZ4rcZZby96I=</DigestValue>
      </Reference>
      <Reference URI="/xl/worksheets/sheet21.xml?ContentType=application/vnd.openxmlformats-officedocument.spreadsheetml.worksheet+xml">
        <DigestMethod Algorithm="http://www.w3.org/2001/04/xmlenc#sha256"/>
        <DigestValue>Q0mNYO7xZ4fOnN0nUf0ZyX92465BJ78LGIJkTrdDcjk=</DigestValue>
      </Reference>
      <Reference URI="/xl/worksheets/sheet22.xml?ContentType=application/vnd.openxmlformats-officedocument.spreadsheetml.worksheet+xml">
        <DigestMethod Algorithm="http://www.w3.org/2001/04/xmlenc#sha256"/>
        <DigestValue>6IuZz6g/R0zZ4BvmVFiE+95z34ojSpJ/K4RTZzxCAyk=</DigestValue>
      </Reference>
      <Reference URI="/xl/worksheets/sheet23.xml?ContentType=application/vnd.openxmlformats-officedocument.spreadsheetml.worksheet+xml">
        <DigestMethod Algorithm="http://www.w3.org/2001/04/xmlenc#sha256"/>
        <DigestValue>1p6ZSGkH5vV0b4V1iutGWwQCk/fm9/vXSD9VzppbJ40=</DigestValue>
      </Reference>
      <Reference URI="/xl/worksheets/sheet24.xml?ContentType=application/vnd.openxmlformats-officedocument.spreadsheetml.worksheet+xml">
        <DigestMethod Algorithm="http://www.w3.org/2001/04/xmlenc#sha256"/>
        <DigestValue>K3mtZxEV+UzbbhEzAnkJCarLTdI5LarPEX5cOthFxgE=</DigestValue>
      </Reference>
      <Reference URI="/xl/worksheets/sheet25.xml?ContentType=application/vnd.openxmlformats-officedocument.spreadsheetml.worksheet+xml">
        <DigestMethod Algorithm="http://www.w3.org/2001/04/xmlenc#sha256"/>
        <DigestValue>G3VB29Nf9w0aw+S1n++Pmh80wOLRMR1qAbKDZ5Spmys=</DigestValue>
      </Reference>
      <Reference URI="/xl/worksheets/sheet26.xml?ContentType=application/vnd.openxmlformats-officedocument.spreadsheetml.worksheet+xml">
        <DigestMethod Algorithm="http://www.w3.org/2001/04/xmlenc#sha256"/>
        <DigestValue>c1bpYEG4F6PscDaCaBiSOMOGwvPATdAWFULdV6SSJzA=</DigestValue>
      </Reference>
      <Reference URI="/xl/worksheets/sheet27.xml?ContentType=application/vnd.openxmlformats-officedocument.spreadsheetml.worksheet+xml">
        <DigestMethod Algorithm="http://www.w3.org/2001/04/xmlenc#sha256"/>
        <DigestValue>3aZrrNwRr49RCcdybcOxnSkLaJjrF3SCMcnukgW1PFw=</DigestValue>
      </Reference>
      <Reference URI="/xl/worksheets/sheet28.xml?ContentType=application/vnd.openxmlformats-officedocument.spreadsheetml.worksheet+xml">
        <DigestMethod Algorithm="http://www.w3.org/2001/04/xmlenc#sha256"/>
        <DigestValue>Kh0i2ngNA7bNGbnVAk1w59+ua/hL1kju34Wcge8DgQ4=</DigestValue>
      </Reference>
      <Reference URI="/xl/worksheets/sheet29.xml?ContentType=application/vnd.openxmlformats-officedocument.spreadsheetml.worksheet+xml">
        <DigestMethod Algorithm="http://www.w3.org/2001/04/xmlenc#sha256"/>
        <DigestValue>hrYLUjwk/yLN+xSYTpeysNwIdY7LPXvDF+0oAUMkY/o=</DigestValue>
      </Reference>
      <Reference URI="/xl/worksheets/sheet3.xml?ContentType=application/vnd.openxmlformats-officedocument.spreadsheetml.worksheet+xml">
        <DigestMethod Algorithm="http://www.w3.org/2001/04/xmlenc#sha256"/>
        <DigestValue>yeUuGypQLq1CqT+n7aMG6ruc/xs40N/9QyhGsIQXGcA=</DigestValue>
      </Reference>
      <Reference URI="/xl/worksheets/sheet4.xml?ContentType=application/vnd.openxmlformats-officedocument.spreadsheetml.worksheet+xml">
        <DigestMethod Algorithm="http://www.w3.org/2001/04/xmlenc#sha256"/>
        <DigestValue>5DB64X0rHd/wagdig0pfY5mJztyhnc/vkLrVhmarKyc=</DigestValue>
      </Reference>
      <Reference URI="/xl/worksheets/sheet5.xml?ContentType=application/vnd.openxmlformats-officedocument.spreadsheetml.worksheet+xml">
        <DigestMethod Algorithm="http://www.w3.org/2001/04/xmlenc#sha256"/>
        <DigestValue>uHNyUGtbGouqtXE2WT3QDyNIfKmFu0pyeeowAjFPr6o=</DigestValue>
      </Reference>
      <Reference URI="/xl/worksheets/sheet6.xml?ContentType=application/vnd.openxmlformats-officedocument.spreadsheetml.worksheet+xml">
        <DigestMethod Algorithm="http://www.w3.org/2001/04/xmlenc#sha256"/>
        <DigestValue>0hZqhXEUNmbQWRq26619oyYes20fHgnAOMpEPdshkCw=</DigestValue>
      </Reference>
      <Reference URI="/xl/worksheets/sheet7.xml?ContentType=application/vnd.openxmlformats-officedocument.spreadsheetml.worksheet+xml">
        <DigestMethod Algorithm="http://www.w3.org/2001/04/xmlenc#sha256"/>
        <DigestValue>jcvoFJ8cGrcoIK05NpnBimMT3PsZB7Na5fww9P9rtlM=</DigestValue>
      </Reference>
      <Reference URI="/xl/worksheets/sheet8.xml?ContentType=application/vnd.openxmlformats-officedocument.spreadsheetml.worksheet+xml">
        <DigestMethod Algorithm="http://www.w3.org/2001/04/xmlenc#sha256"/>
        <DigestValue>v2uu7hWXe1uGCSLwLxGoTCks8aN7IhvqQIbxnNHOrzc=</DigestValue>
      </Reference>
      <Reference URI="/xl/worksheets/sheet9.xml?ContentType=application/vnd.openxmlformats-officedocument.spreadsheetml.worksheet+xml">
        <DigestMethod Algorithm="http://www.w3.org/2001/04/xmlenc#sha256"/>
        <DigestValue>NtX2moarf5bZpL2QQpPq2N2no0btcvyaYKkjY+jpn2I=</DigestValue>
      </Reference>
    </Manifest>
    <SignatureProperties>
      <SignatureProperty Id="idSignatureTime" Target="#idPackageSignature">
        <mdssi:SignatureTime xmlns:mdssi="http://schemas.openxmlformats.org/package/2006/digital-signature">
          <mdssi:Format>YYYY-MM-DDThh:mm:ssTZD</mdssi:Format>
          <mdssi:Value>2023-03-02T10:29:28Z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2023-03-02T10:29:28Z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pPAaM4/PjOLJs7oih1dsGjcoApLxy19T/IGQ2gx6JCA=</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MvP5xPoD4iFJvoXHv+BEXvEV9QKT5Trq8gG3/MVWhww=</DigestValue>
    </Reference>
  </SignedInfo>
  <SignatureValue>BosNdQ+6CLAN9HxZqGyYfEzBMlPp7MAmKUkgwRmGwGaQt274W1/EocVQwT1eBq7MqZBuJPSHxPOt
uCoMOWd4zkqaALm2z6C/BPfl3T3/7A617axhA0mIlK2LixqTnbPvP+pOJObXLsikdAT8rZdNmH1y
K6SEWgyAqZXMqvO4yb8zfVjvxRdnOw+ONivq+L5WQ4VM4oHEiQH3MdQPnrVHopFKgWkgf3Roszxv
ai1KjjRA/5lia/95yNUC/5yA1Bompg+LNRQKjbK/Zf3zVN5rPIaNg4Ir9vz3mHS3BVvt/Vu2RvPZ
hNjWUgccCqkLwStBC5/WQyHssH5Xia2iCb5Yfw==</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sZ/1XDuOr6TJX1LauLT2wPDaXNfC5u/5B802Kl7SIXg=</DigestValue>
      </Reference>
      <Reference URI="/xl/drawings/drawing1.xml?ContentType=application/vnd.openxmlformats-officedocument.drawing+xml">
        <DigestMethod Algorithm="http://www.w3.org/2001/04/xmlenc#sha256"/>
        <DigestValue>fOWfOZckJj+yvkeb48RL+4GFzVcLs3Of8wOubwHPg7A=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WB9+oThEjdmK6yU6fR0u9RHVuqZ5/je1qcm+Vomjlog=</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vTag//EquIVGz316BBp/20YbSyKKe9UtzaLCD9dOw68=</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1nTx7DqtIvf1kpyPmKEuOv/1Z3DnOu7jX3AmeH+hWJ0=</DigestValue>
      </Reference>
      <Reference URI="/xl/styles.xml?ContentType=application/vnd.openxmlformats-officedocument.spreadsheetml.styles+xml">
        <DigestMethod Algorithm="http://www.w3.org/2001/04/xmlenc#sha256"/>
        <DigestValue>69PuPY2VJxgSn+isfYHs9txGf+QemiZV/cMbYBd71hI=</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e8/k6XkR+5f3WS20gMdgnOjG7N7oNCALLkLy3XVENiw=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y9++OvgyJiMivurExCyhu48s11Tyrh6msyDsetwSb/c=</DigestValue>
      </Reference>
      <Reference URI="/xl/worksheets/sheet10.xml?ContentType=application/vnd.openxmlformats-officedocument.spreadsheetml.worksheet+xml">
        <DigestMethod Algorithm="http://www.w3.org/2001/04/xmlenc#sha256"/>
        <DigestValue>oUtxfDhGMTiEa95OSSgJWFo38mww7b4b6V3whkUqAK4=</DigestValue>
      </Reference>
      <Reference URI="/xl/worksheets/sheet11.xml?ContentType=application/vnd.openxmlformats-officedocument.spreadsheetml.worksheet+xml">
        <DigestMethod Algorithm="http://www.w3.org/2001/04/xmlenc#sha256"/>
        <DigestValue>eRC9Vb3lbEZrU/FeTfegcEo5gAcueJylbzVoA0BNuH4=</DigestValue>
      </Reference>
      <Reference URI="/xl/worksheets/sheet12.xml?ContentType=application/vnd.openxmlformats-officedocument.spreadsheetml.worksheet+xml">
        <DigestMethod Algorithm="http://www.w3.org/2001/04/xmlenc#sha256"/>
        <DigestValue>8iKPKLW118v+XeYYUanrCWc9+xOk69Bz4FcVHYN2qLQ=</DigestValue>
      </Reference>
      <Reference URI="/xl/worksheets/sheet13.xml?ContentType=application/vnd.openxmlformats-officedocument.spreadsheetml.worksheet+xml">
        <DigestMethod Algorithm="http://www.w3.org/2001/04/xmlenc#sha256"/>
        <DigestValue>4Bp2oVIHb147yziMB/VSD73bvNDhi5SgQOgzIuC6zHo=</DigestValue>
      </Reference>
      <Reference URI="/xl/worksheets/sheet14.xml?ContentType=application/vnd.openxmlformats-officedocument.spreadsheetml.worksheet+xml">
        <DigestMethod Algorithm="http://www.w3.org/2001/04/xmlenc#sha256"/>
        <DigestValue>fXGUswwJL+1q0QvFx5yvFyUweR+3gCyWe+JU2JBLH9Y=</DigestValue>
      </Reference>
      <Reference URI="/xl/worksheets/sheet15.xml?ContentType=application/vnd.openxmlformats-officedocument.spreadsheetml.worksheet+xml">
        <DigestMethod Algorithm="http://www.w3.org/2001/04/xmlenc#sha256"/>
        <DigestValue>BH0bmGPuBXzW0brCxo6RkEXIQ2IHmRh1RBudao5NIjc=</DigestValue>
      </Reference>
      <Reference URI="/xl/worksheets/sheet16.xml?ContentType=application/vnd.openxmlformats-officedocument.spreadsheetml.worksheet+xml">
        <DigestMethod Algorithm="http://www.w3.org/2001/04/xmlenc#sha256"/>
        <DigestValue>ogNr+fcNf98zKspCuzunfXtwZRweu39nXScNhy0PwC4=</DigestValue>
      </Reference>
      <Reference URI="/xl/worksheets/sheet17.xml?ContentType=application/vnd.openxmlformats-officedocument.spreadsheetml.worksheet+xml">
        <DigestMethod Algorithm="http://www.w3.org/2001/04/xmlenc#sha256"/>
        <DigestValue>gN5DQtlgfDGm2Q1jjkOJwOKHpFtxN4JrNNQU4+g59xw=</DigestValue>
      </Reference>
      <Reference URI="/xl/worksheets/sheet18.xml?ContentType=application/vnd.openxmlformats-officedocument.spreadsheetml.worksheet+xml">
        <DigestMethod Algorithm="http://www.w3.org/2001/04/xmlenc#sha256"/>
        <DigestValue>WrKc2WD+C0XVGV6IKu81uAFkX9t4sc+eCa1JIwqbZgI=</DigestValue>
      </Reference>
      <Reference URI="/xl/worksheets/sheet19.xml?ContentType=application/vnd.openxmlformats-officedocument.spreadsheetml.worksheet+xml">
        <DigestMethod Algorithm="http://www.w3.org/2001/04/xmlenc#sha256"/>
        <DigestValue>vx/ToTy+G4IGC/5DECkQIxce60TZhAFk8L8G5nMzDl8=</DigestValue>
      </Reference>
      <Reference URI="/xl/worksheets/sheet2.xml?ContentType=application/vnd.openxmlformats-officedocument.spreadsheetml.worksheet+xml">
        <DigestMethod Algorithm="http://www.w3.org/2001/04/xmlenc#sha256"/>
        <DigestValue>IqjdhstEmlQUCCfD04fbr/Dmx2nNCDDoxNUBhBem6pc=</DigestValue>
      </Reference>
      <Reference URI="/xl/worksheets/sheet20.xml?ContentType=application/vnd.openxmlformats-officedocument.spreadsheetml.worksheet+xml">
        <DigestMethod Algorithm="http://www.w3.org/2001/04/xmlenc#sha256"/>
        <DigestValue>FdWEPJriZfxNuSB3rFb+gmGTOBPb3T/NZ4rcZZby96I=</DigestValue>
      </Reference>
      <Reference URI="/xl/worksheets/sheet21.xml?ContentType=application/vnd.openxmlformats-officedocument.spreadsheetml.worksheet+xml">
        <DigestMethod Algorithm="http://www.w3.org/2001/04/xmlenc#sha256"/>
        <DigestValue>Q0mNYO7xZ4fOnN0nUf0ZyX92465BJ78LGIJkTrdDcjk=</DigestValue>
      </Reference>
      <Reference URI="/xl/worksheets/sheet22.xml?ContentType=application/vnd.openxmlformats-officedocument.spreadsheetml.worksheet+xml">
        <DigestMethod Algorithm="http://www.w3.org/2001/04/xmlenc#sha256"/>
        <DigestValue>6IuZz6g/R0zZ4BvmVFiE+95z34ojSpJ/K4RTZzxCAyk=</DigestValue>
      </Reference>
      <Reference URI="/xl/worksheets/sheet23.xml?ContentType=application/vnd.openxmlformats-officedocument.spreadsheetml.worksheet+xml">
        <DigestMethod Algorithm="http://www.w3.org/2001/04/xmlenc#sha256"/>
        <DigestValue>1p6ZSGkH5vV0b4V1iutGWwQCk/fm9/vXSD9VzppbJ40=</DigestValue>
      </Reference>
      <Reference URI="/xl/worksheets/sheet24.xml?ContentType=application/vnd.openxmlformats-officedocument.spreadsheetml.worksheet+xml">
        <DigestMethod Algorithm="http://www.w3.org/2001/04/xmlenc#sha256"/>
        <DigestValue>K3mtZxEV+UzbbhEzAnkJCarLTdI5LarPEX5cOthFxgE=</DigestValue>
      </Reference>
      <Reference URI="/xl/worksheets/sheet25.xml?ContentType=application/vnd.openxmlformats-officedocument.spreadsheetml.worksheet+xml">
        <DigestMethod Algorithm="http://www.w3.org/2001/04/xmlenc#sha256"/>
        <DigestValue>G3VB29Nf9w0aw+S1n++Pmh80wOLRMR1qAbKDZ5Spmys=</DigestValue>
      </Reference>
      <Reference URI="/xl/worksheets/sheet26.xml?ContentType=application/vnd.openxmlformats-officedocument.spreadsheetml.worksheet+xml">
        <DigestMethod Algorithm="http://www.w3.org/2001/04/xmlenc#sha256"/>
        <DigestValue>c1bpYEG4F6PscDaCaBiSOMOGwvPATdAWFULdV6SSJzA=</DigestValue>
      </Reference>
      <Reference URI="/xl/worksheets/sheet27.xml?ContentType=application/vnd.openxmlformats-officedocument.spreadsheetml.worksheet+xml">
        <DigestMethod Algorithm="http://www.w3.org/2001/04/xmlenc#sha256"/>
        <DigestValue>3aZrrNwRr49RCcdybcOxnSkLaJjrF3SCMcnukgW1PFw=</DigestValue>
      </Reference>
      <Reference URI="/xl/worksheets/sheet28.xml?ContentType=application/vnd.openxmlformats-officedocument.spreadsheetml.worksheet+xml">
        <DigestMethod Algorithm="http://www.w3.org/2001/04/xmlenc#sha256"/>
        <DigestValue>Kh0i2ngNA7bNGbnVAk1w59+ua/hL1kju34Wcge8DgQ4=</DigestValue>
      </Reference>
      <Reference URI="/xl/worksheets/sheet29.xml?ContentType=application/vnd.openxmlformats-officedocument.spreadsheetml.worksheet+xml">
        <DigestMethod Algorithm="http://www.w3.org/2001/04/xmlenc#sha256"/>
        <DigestValue>hrYLUjwk/yLN+xSYTpeysNwIdY7LPXvDF+0oAUMkY/o=</DigestValue>
      </Reference>
      <Reference URI="/xl/worksheets/sheet3.xml?ContentType=application/vnd.openxmlformats-officedocument.spreadsheetml.worksheet+xml">
        <DigestMethod Algorithm="http://www.w3.org/2001/04/xmlenc#sha256"/>
        <DigestValue>yeUuGypQLq1CqT+n7aMG6ruc/xs40N/9QyhGsIQXGcA=</DigestValue>
      </Reference>
      <Reference URI="/xl/worksheets/sheet4.xml?ContentType=application/vnd.openxmlformats-officedocument.spreadsheetml.worksheet+xml">
        <DigestMethod Algorithm="http://www.w3.org/2001/04/xmlenc#sha256"/>
        <DigestValue>5DB64X0rHd/wagdig0pfY5mJztyhnc/vkLrVhmarKyc=</DigestValue>
      </Reference>
      <Reference URI="/xl/worksheets/sheet5.xml?ContentType=application/vnd.openxmlformats-officedocument.spreadsheetml.worksheet+xml">
        <DigestMethod Algorithm="http://www.w3.org/2001/04/xmlenc#sha256"/>
        <DigestValue>uHNyUGtbGouqtXE2WT3QDyNIfKmFu0pyeeowAjFPr6o=</DigestValue>
      </Reference>
      <Reference URI="/xl/worksheets/sheet6.xml?ContentType=application/vnd.openxmlformats-officedocument.spreadsheetml.worksheet+xml">
        <DigestMethod Algorithm="http://www.w3.org/2001/04/xmlenc#sha256"/>
        <DigestValue>0hZqhXEUNmbQWRq26619oyYes20fHgnAOMpEPdshkCw=</DigestValue>
      </Reference>
      <Reference URI="/xl/worksheets/sheet7.xml?ContentType=application/vnd.openxmlformats-officedocument.spreadsheetml.worksheet+xml">
        <DigestMethod Algorithm="http://www.w3.org/2001/04/xmlenc#sha256"/>
        <DigestValue>jcvoFJ8cGrcoIK05NpnBimMT3PsZB7Na5fww9P9rtlM=</DigestValue>
      </Reference>
      <Reference URI="/xl/worksheets/sheet8.xml?ContentType=application/vnd.openxmlformats-officedocument.spreadsheetml.worksheet+xml">
        <DigestMethod Algorithm="http://www.w3.org/2001/04/xmlenc#sha256"/>
        <DigestValue>v2uu7hWXe1uGCSLwLxGoTCks8aN7IhvqQIbxnNHOrzc=</DigestValue>
      </Reference>
      <Reference URI="/xl/worksheets/sheet9.xml?ContentType=application/vnd.openxmlformats-officedocument.spreadsheetml.worksheet+xml">
        <DigestMethod Algorithm="http://www.w3.org/2001/04/xmlenc#sha256"/>
        <DigestValue>NtX2moarf5bZpL2QQpPq2N2no0btcvyaYKkjY+jpn2I=</DigestValue>
      </Reference>
    </Manifest>
    <SignatureProperties>
      <SignatureProperty Id="idSignatureTime" Target="#idPackageSignature">
        <mdssi:SignatureTime xmlns:mdssi="http://schemas.openxmlformats.org/package/2006/digital-signature">
          <mdssi:Format>YYYY-MM-DDThh:mm:ssTZD</mdssi:Format>
          <mdssi:Value>2023-03-02T10:30:00Z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2023-03-02T10:30:00Z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2023-02-27T12:37:00Z</dcterms:modified>
</cp:coreProperties>
</file>