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201_{E8D3EA02-358D-41F5-A49B-F38954DC80B3}" xr6:coauthVersionLast="47" xr6:coauthVersionMax="47" xr10:uidLastSave="{00000000-0000-0000-0000-000000000000}"/>
  <bookViews>
    <workbookView xWindow="-120" yWindow="-120" windowWidth="29040" windowHeight="15840" tabRatio="910" firstSheet="15"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86" l="1"/>
  <c r="C15" i="86"/>
  <c r="G48" i="6" l="1"/>
  <c r="F48" i="6"/>
  <c r="E48" i="6"/>
  <c r="D48" i="6"/>
  <c r="C48" i="6"/>
  <c r="C37" i="69"/>
  <c r="B2" i="71"/>
  <c r="B2" i="91"/>
  <c r="B1" i="52" l="1"/>
  <c r="B3" i="89" l="1"/>
  <c r="B3" i="88"/>
  <c r="B3" i="87"/>
  <c r="B3" i="86"/>
  <c r="B3" i="85"/>
  <c r="B3" i="84"/>
  <c r="B3" i="83"/>
  <c r="B3" i="82"/>
  <c r="B3" i="81"/>
  <c r="C10" i="85" l="1"/>
  <c r="D12" i="84"/>
  <c r="D7" i="84"/>
  <c r="I19" i="82"/>
  <c r="I18" i="82"/>
  <c r="I11" i="82"/>
  <c r="I10" i="82"/>
  <c r="I9" i="82"/>
  <c r="I8" i="82"/>
  <c r="H20" i="81"/>
  <c r="H19" i="81"/>
  <c r="H12" i="81"/>
  <c r="H11" i="81"/>
  <c r="H10" i="81"/>
  <c r="H9" i="81"/>
  <c r="B2" i="80" l="1"/>
  <c r="B1" i="80"/>
  <c r="G33" i="80"/>
  <c r="F33" i="80"/>
  <c r="E33" i="80"/>
  <c r="D33" i="80"/>
  <c r="C33"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B2" i="79"/>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71"/>
  <c r="B1" i="75"/>
  <c r="B1" i="53"/>
  <c r="B1" i="62"/>
  <c r="B1" i="6"/>
  <c r="B1" i="91" l="1"/>
  <c r="B1" i="81"/>
  <c r="B1" i="82"/>
  <c r="B1" i="83"/>
  <c r="B1" i="89"/>
  <c r="B1" i="84"/>
  <c r="B1" i="85"/>
  <c r="B1" i="86"/>
  <c r="B1" i="87"/>
  <c r="B1" i="88"/>
  <c r="C26" i="79"/>
  <c r="D22" i="35" l="1"/>
  <c r="F22" i="35"/>
  <c r="J22" i="35"/>
  <c r="P22" i="35"/>
  <c r="R22" i="35"/>
  <c r="E53" i="75" l="1"/>
  <c r="E52" i="75"/>
  <c r="E51" i="75"/>
  <c r="E50" i="75"/>
  <c r="E49" i="75"/>
  <c r="E48" i="75"/>
  <c r="E47" i="75"/>
  <c r="E46" i="75"/>
  <c r="E45" i="75"/>
  <c r="E44" i="75"/>
  <c r="E42" i="75"/>
  <c r="E41" i="75"/>
  <c r="E40" i="75"/>
  <c r="E39" i="75"/>
  <c r="E38" i="75"/>
  <c r="E37" i="75"/>
  <c r="E36" i="75"/>
  <c r="E15" i="75"/>
  <c r="M21" i="64" l="1"/>
  <c r="N21" i="64"/>
  <c r="O21" i="64"/>
  <c r="P21" i="64"/>
  <c r="Q21" i="64"/>
  <c r="R21" i="64"/>
  <c r="S21" i="64"/>
  <c r="H13" i="62" l="1"/>
  <c r="F21" i="82" l="1"/>
  <c r="C21" i="82"/>
  <c r="E21" i="82"/>
  <c r="I7" i="82"/>
  <c r="I20" i="82"/>
  <c r="I12" i="82" l="1"/>
  <c r="D21" i="82"/>
  <c r="H17" i="81"/>
  <c r="H8" i="81" l="1"/>
  <c r="H21" i="81" l="1"/>
  <c r="H13" i="81" l="1"/>
  <c r="C22" i="81"/>
  <c r="D6" i="71" l="1"/>
  <c r="D13" i="71" s="1"/>
  <c r="E9" i="75" l="1"/>
  <c r="E29" i="75" l="1"/>
  <c r="E35" i="75" l="1"/>
  <c r="H19" i="62" l="1"/>
  <c r="H17" i="62"/>
  <c r="H15" i="62"/>
  <c r="H11" i="62"/>
  <c r="H9" i="62"/>
  <c r="H7" i="62"/>
  <c r="G14" i="62" l="1"/>
  <c r="G20" i="62" s="1"/>
  <c r="H8" i="62"/>
  <c r="H10" i="62"/>
  <c r="H16" i="62"/>
  <c r="H18" i="62"/>
  <c r="C19" i="85"/>
  <c r="F14" i="62" l="1"/>
  <c r="H12" i="62"/>
  <c r="D19" i="84"/>
  <c r="F20" i="62" l="1"/>
  <c r="H20" i="62" s="1"/>
  <c r="H14" i="62"/>
  <c r="I16" i="82" l="1"/>
  <c r="E19" i="37" l="1"/>
  <c r="E18" i="37"/>
  <c r="E17" i="37"/>
  <c r="E16" i="37"/>
  <c r="E12" i="37"/>
  <c r="E11" i="37"/>
  <c r="E10" i="37"/>
  <c r="E9" i="37"/>
  <c r="E6" i="71" l="1"/>
  <c r="J7" i="37"/>
  <c r="N9" i="37"/>
  <c r="N13" i="37"/>
  <c r="I14" i="37"/>
  <c r="M14" i="37"/>
  <c r="N18" i="37"/>
  <c r="C31" i="28"/>
  <c r="C30" i="28" s="1"/>
  <c r="E13" i="71"/>
  <c r="F7" i="37"/>
  <c r="E15" i="37"/>
  <c r="E14" i="37" s="1"/>
  <c r="C14" i="37"/>
  <c r="G7" i="37"/>
  <c r="L7" i="37"/>
  <c r="N10" i="37"/>
  <c r="N15" i="37"/>
  <c r="F14" i="37"/>
  <c r="J14" i="37"/>
  <c r="J21" i="37" s="1"/>
  <c r="N19" i="37"/>
  <c r="G6" i="71"/>
  <c r="G13" i="71" s="1"/>
  <c r="H7" i="37"/>
  <c r="M7" i="37"/>
  <c r="N11" i="37"/>
  <c r="G14" i="37"/>
  <c r="K14" i="37"/>
  <c r="N16" i="37"/>
  <c r="N20" i="37"/>
  <c r="F6" i="71"/>
  <c r="F13" i="71" s="1"/>
  <c r="S9" i="35"/>
  <c r="S10" i="35"/>
  <c r="S11" i="35"/>
  <c r="S12" i="35"/>
  <c r="S19" i="35"/>
  <c r="S20" i="35"/>
  <c r="I7" i="37"/>
  <c r="N12" i="37"/>
  <c r="H14" i="37"/>
  <c r="L14" i="37"/>
  <c r="N17" i="37"/>
  <c r="M21" i="37" l="1"/>
  <c r="I21" i="37"/>
  <c r="E10" i="75"/>
  <c r="H21" i="37"/>
  <c r="G21" i="37"/>
  <c r="N14" i="37"/>
  <c r="F21" i="37"/>
  <c r="L21" i="37"/>
  <c r="H66" i="53"/>
  <c r="H64" i="53"/>
  <c r="H52" i="53"/>
  <c r="H50" i="53"/>
  <c r="H48" i="53"/>
  <c r="H44" i="53"/>
  <c r="H42" i="53"/>
  <c r="H40" i="53"/>
  <c r="H38" i="53"/>
  <c r="H36" i="53"/>
  <c r="H29" i="53"/>
  <c r="H27" i="53"/>
  <c r="H25" i="53"/>
  <c r="H21" i="53"/>
  <c r="H20" i="53"/>
  <c r="H19" i="53"/>
  <c r="H18" i="53"/>
  <c r="H17" i="53"/>
  <c r="H16" i="53"/>
  <c r="H15" i="53"/>
  <c r="H14" i="53"/>
  <c r="H13" i="53"/>
  <c r="H11" i="53"/>
  <c r="H8" i="53"/>
  <c r="E66" i="53"/>
  <c r="H40" i="62"/>
  <c r="H39" i="62"/>
  <c r="H38" i="62"/>
  <c r="H37" i="62"/>
  <c r="H36" i="62"/>
  <c r="H35" i="62"/>
  <c r="H34" i="62"/>
  <c r="H33" i="62"/>
  <c r="H26" i="53" l="1"/>
  <c r="H28" i="53"/>
  <c r="H37" i="53"/>
  <c r="H39" i="53"/>
  <c r="H41" i="53"/>
  <c r="H43" i="53"/>
  <c r="H49" i="53"/>
  <c r="H51" i="53"/>
  <c r="G31" i="62"/>
  <c r="G41" i="62" s="1"/>
  <c r="H12" i="53"/>
  <c r="E26" i="62"/>
  <c r="H23" i="62"/>
  <c r="H25" i="62"/>
  <c r="H27" i="62"/>
  <c r="H29" i="62"/>
  <c r="E27" i="53"/>
  <c r="E37" i="53"/>
  <c r="E39" i="53"/>
  <c r="F9" i="53"/>
  <c r="H10" i="53"/>
  <c r="F30" i="53"/>
  <c r="H24" i="53"/>
  <c r="F34" i="53"/>
  <c r="H35" i="53"/>
  <c r="F53" i="53"/>
  <c r="H47" i="53"/>
  <c r="F61" i="53"/>
  <c r="H61" i="53" s="1"/>
  <c r="F31" i="62"/>
  <c r="H22" i="62"/>
  <c r="H24" i="62"/>
  <c r="H26" i="62"/>
  <c r="H28" i="62"/>
  <c r="H30" i="62"/>
  <c r="E29" i="53"/>
  <c r="E38" i="53"/>
  <c r="G9" i="53"/>
  <c r="G22" i="53" s="1"/>
  <c r="G30" i="53"/>
  <c r="G34" i="53"/>
  <c r="G45" i="53" s="1"/>
  <c r="G53" i="53"/>
  <c r="G54" i="53" l="1"/>
  <c r="H53" i="53"/>
  <c r="H30" i="53"/>
  <c r="G31" i="53"/>
  <c r="G56" i="53" s="1"/>
  <c r="G63" i="53" s="1"/>
  <c r="G65" i="53" s="1"/>
  <c r="G67" i="53" s="1"/>
  <c r="F41" i="62"/>
  <c r="H41" i="62" s="1"/>
  <c r="H31" i="62"/>
  <c r="F45" i="53"/>
  <c r="H34" i="53"/>
  <c r="F22" i="53"/>
  <c r="H9" i="53"/>
  <c r="H22" i="53" l="1"/>
  <c r="F31" i="53"/>
  <c r="F54" i="53"/>
  <c r="H54" i="53" s="1"/>
  <c r="H45" i="53"/>
  <c r="S8" i="35" l="1"/>
  <c r="F56" i="53"/>
  <c r="H31" i="53"/>
  <c r="S13" i="35"/>
  <c r="F63" i="53" l="1"/>
  <c r="H56" i="53"/>
  <c r="E22" i="35"/>
  <c r="Q22" i="35"/>
  <c r="S21" i="35" l="1"/>
  <c r="C22" i="35"/>
  <c r="F65" i="53"/>
  <c r="H63" i="53"/>
  <c r="F67" i="53" l="1"/>
  <c r="H67" i="53" s="1"/>
  <c r="H65" i="53"/>
  <c r="C6" i="28" l="1"/>
  <c r="E51" i="53"/>
  <c r="E49" i="53"/>
  <c r="E43" i="53"/>
  <c r="E18" i="53"/>
  <c r="E16" i="53"/>
  <c r="E14" i="53"/>
  <c r="E12" i="53"/>
  <c r="D30" i="53" l="1"/>
  <c r="D34" i="53"/>
  <c r="D45" i="53" s="1"/>
  <c r="D53" i="53"/>
  <c r="C35" i="28"/>
  <c r="C41" i="28" s="1"/>
  <c r="D9" i="53"/>
  <c r="D22" i="53" s="1"/>
  <c r="D31" i="53" s="1"/>
  <c r="E11" i="53"/>
  <c r="E13" i="53"/>
  <c r="E15" i="53"/>
  <c r="E17" i="53"/>
  <c r="E19" i="53"/>
  <c r="E21" i="53"/>
  <c r="E25" i="53"/>
  <c r="E28" i="53"/>
  <c r="E36" i="53"/>
  <c r="E44" i="53"/>
  <c r="E48" i="53"/>
  <c r="E50" i="53"/>
  <c r="E52" i="53"/>
  <c r="C47" i="28"/>
  <c r="E20" i="53"/>
  <c r="C30" i="53"/>
  <c r="E30" i="53" s="1"/>
  <c r="E24" i="53"/>
  <c r="E26" i="53"/>
  <c r="C34" i="53"/>
  <c r="E35" i="53"/>
  <c r="C53" i="53"/>
  <c r="E47" i="53"/>
  <c r="C9" i="53"/>
  <c r="E10" i="53"/>
  <c r="E8" i="53"/>
  <c r="E18" i="62"/>
  <c r="E40" i="53"/>
  <c r="E41" i="53"/>
  <c r="E42" i="53"/>
  <c r="E64" i="53"/>
  <c r="E34" i="62"/>
  <c r="E39" i="62"/>
  <c r="E21" i="64"/>
  <c r="F21" i="64"/>
  <c r="G21" i="64"/>
  <c r="H21" i="64"/>
  <c r="I21" i="64"/>
  <c r="J21" i="64"/>
  <c r="K21" i="64"/>
  <c r="L21" i="64"/>
  <c r="E9" i="53" l="1"/>
  <c r="C61" i="53"/>
  <c r="E61" i="53" s="1"/>
  <c r="C22" i="53"/>
  <c r="E53" i="53"/>
  <c r="D54" i="53"/>
  <c r="D56" i="53" s="1"/>
  <c r="D63" i="53" s="1"/>
  <c r="D65" i="53" s="1"/>
  <c r="D67" i="53" s="1"/>
  <c r="C21" i="64"/>
  <c r="C31" i="53"/>
  <c r="E22" i="53"/>
  <c r="E34" i="53"/>
  <c r="C45" i="53"/>
  <c r="E37" i="62"/>
  <c r="E35" i="62"/>
  <c r="E36" i="62"/>
  <c r="E17" i="62"/>
  <c r="E28" i="62" l="1"/>
  <c r="E8" i="62"/>
  <c r="C54" i="53"/>
  <c r="E54" i="53" s="1"/>
  <c r="E45" i="53"/>
  <c r="E15" i="62"/>
  <c r="E31" i="53"/>
  <c r="E19" i="62"/>
  <c r="E16" i="62"/>
  <c r="E30" i="62"/>
  <c r="C56" i="53" l="1"/>
  <c r="C63" i="53"/>
  <c r="E56" i="53"/>
  <c r="E7" i="62"/>
  <c r="E23" i="62"/>
  <c r="E24" i="62"/>
  <c r="E10" i="62"/>
  <c r="E25" i="62"/>
  <c r="E22" i="62" l="1"/>
  <c r="C65" i="53"/>
  <c r="E63" i="53"/>
  <c r="E11" i="62"/>
  <c r="C12" i="28"/>
  <c r="C28" i="28" s="1"/>
  <c r="C67" i="53" l="1"/>
  <c r="E67" i="53" s="1"/>
  <c r="E65" i="53"/>
  <c r="C35" i="79" l="1"/>
  <c r="E27" i="62" l="1"/>
  <c r="U21" i="64" l="1"/>
  <c r="D21" i="72" l="1"/>
  <c r="V18" i="64" l="1"/>
  <c r="V8" i="64"/>
  <c r="V19" i="64"/>
  <c r="V12" i="64"/>
  <c r="V11" i="64"/>
  <c r="V10" i="64"/>
  <c r="V15" i="64"/>
  <c r="V9" i="64"/>
  <c r="V7" i="64" l="1"/>
  <c r="H13" i="74"/>
  <c r="V20" i="64"/>
  <c r="H21" i="74" l="1"/>
  <c r="H8" i="74" l="1"/>
  <c r="E33" i="75" l="1"/>
  <c r="E34" i="75"/>
  <c r="E32" i="75" l="1"/>
  <c r="E13" i="75" l="1"/>
  <c r="E8" i="75" l="1"/>
  <c r="E21" i="75"/>
  <c r="E27" i="75"/>
  <c r="E30" i="75"/>
  <c r="E20" i="75"/>
  <c r="E23" i="75"/>
  <c r="E25" i="75"/>
  <c r="E24" i="75"/>
  <c r="E28" i="75"/>
  <c r="E31" i="75"/>
  <c r="E11" i="75" l="1"/>
  <c r="E14" i="75"/>
  <c r="E12" i="75"/>
  <c r="E8" i="37"/>
  <c r="E7" i="37" s="1"/>
  <c r="E21" i="37" s="1"/>
  <c r="C12" i="79" s="1"/>
  <c r="C18" i="79" s="1"/>
  <c r="C7" i="37"/>
  <c r="C21" i="37" s="1"/>
  <c r="E7" i="75" l="1"/>
  <c r="K7" i="37"/>
  <c r="K21" i="37" s="1"/>
  <c r="N8" i="37"/>
  <c r="N7" i="37" s="1"/>
  <c r="N21" i="37" s="1"/>
  <c r="E22" i="75" l="1"/>
  <c r="E26" i="75"/>
  <c r="E19" i="75"/>
  <c r="E18" i="75" l="1"/>
  <c r="E17" i="75" l="1"/>
  <c r="I22" i="35" l="1"/>
  <c r="K22" i="35"/>
  <c r="G22" i="35"/>
  <c r="S17" i="35" l="1"/>
  <c r="D22" i="74"/>
  <c r="N22" i="35"/>
  <c r="L22" i="35" l="1"/>
  <c r="S15" i="35"/>
  <c r="O22" i="35"/>
  <c r="S18" i="35"/>
  <c r="H22" i="35"/>
  <c r="S16" i="35"/>
  <c r="C30" i="79" l="1"/>
  <c r="H16" i="74"/>
  <c r="E22" i="74" l="1"/>
  <c r="T21" i="64" l="1"/>
  <c r="V16" i="64"/>
  <c r="V14" i="64"/>
  <c r="V17" i="64"/>
  <c r="V13" i="64" l="1"/>
  <c r="V21" i="64" s="1"/>
  <c r="D21" i="64"/>
  <c r="H18" i="74"/>
  <c r="H15" i="74"/>
  <c r="H17" i="74"/>
  <c r="E9" i="62" l="1"/>
  <c r="E16" i="75" l="1"/>
  <c r="D31" i="62" l="1"/>
  <c r="D41" i="62" s="1"/>
  <c r="E12" i="62" l="1"/>
  <c r="E29" i="62"/>
  <c r="C31" i="62"/>
  <c r="E31" i="62" l="1"/>
  <c r="D14" i="62"/>
  <c r="D20" i="62" s="1"/>
  <c r="S14" i="35" l="1"/>
  <c r="S22" i="35" s="1"/>
  <c r="M22" i="35"/>
  <c r="E13" i="62" l="1"/>
  <c r="C14" i="62"/>
  <c r="C22" i="74"/>
  <c r="F22" i="74"/>
  <c r="C8" i="79"/>
  <c r="C36" i="79" s="1"/>
  <c r="C38" i="79" s="1"/>
  <c r="H14" i="74" l="1"/>
  <c r="E14" i="62"/>
  <c r="C20" i="62"/>
  <c r="E20" i="62" s="1"/>
  <c r="C21" i="72"/>
  <c r="C6" i="71"/>
  <c r="E21" i="72" l="1"/>
  <c r="C5" i="73" s="1"/>
  <c r="C8" i="73" s="1"/>
  <c r="C13" i="73" s="1"/>
  <c r="C25" i="69" l="1"/>
  <c r="C43" i="28"/>
  <c r="C52" i="28" s="1"/>
  <c r="C13" i="71" l="1"/>
  <c r="D7" i="77" l="1"/>
  <c r="D13" i="77"/>
  <c r="D11" i="77"/>
  <c r="D12" i="77"/>
  <c r="D9" i="77"/>
  <c r="D8" i="77"/>
  <c r="C21" i="77" l="1"/>
  <c r="D21" i="77" s="1"/>
  <c r="D17" i="77"/>
  <c r="D15" i="77" l="1"/>
  <c r="C19" i="77"/>
  <c r="D19" i="77" s="1"/>
  <c r="C20" i="77"/>
  <c r="D20" i="77" s="1"/>
  <c r="D16" i="77"/>
  <c r="G24" i="80" l="1"/>
  <c r="G37" i="80" s="1"/>
  <c r="G39" i="80" s="1"/>
  <c r="C12" i="84" l="1"/>
  <c r="H21" i="82" l="1"/>
  <c r="E43" i="75"/>
  <c r="E38" i="62" l="1"/>
  <c r="E33" i="62" l="1"/>
  <c r="C45" i="69" l="1"/>
  <c r="E40" i="62" l="1"/>
  <c r="C41" i="62"/>
  <c r="E41" i="62" s="1"/>
  <c r="C7" i="84" l="1"/>
  <c r="C19" i="84" s="1"/>
  <c r="G22" i="81" l="1"/>
  <c r="D22" i="81" l="1"/>
  <c r="H14" i="81" l="1"/>
  <c r="H15" i="81"/>
  <c r="H16" i="81"/>
  <c r="F22" i="81"/>
  <c r="E22" i="81" l="1"/>
  <c r="H18" i="81"/>
  <c r="H22" i="81" s="1"/>
  <c r="H9" i="75" l="1"/>
  <c r="H52" i="75"/>
  <c r="H51" i="75"/>
  <c r="H49" i="75"/>
  <c r="H48" i="75"/>
  <c r="H45" i="75"/>
  <c r="H44" i="75"/>
  <c r="H43" i="75"/>
  <c r="H42" i="75"/>
  <c r="H41" i="75"/>
  <c r="H40" i="75"/>
  <c r="H39" i="75"/>
  <c r="H37" i="75"/>
  <c r="H36" i="75"/>
  <c r="H35" i="75"/>
  <c r="H34" i="75"/>
  <c r="H33" i="75"/>
  <c r="H32" i="75"/>
  <c r="H31" i="75"/>
  <c r="H29" i="75"/>
  <c r="H28" i="75"/>
  <c r="H27" i="75"/>
  <c r="H26" i="75"/>
  <c r="H25" i="75"/>
  <c r="H24" i="75"/>
  <c r="H23" i="75"/>
  <c r="H21" i="75"/>
  <c r="H20" i="75"/>
  <c r="H19" i="75"/>
  <c r="H18" i="75"/>
  <c r="H17" i="75"/>
  <c r="H16" i="75"/>
  <c r="H15" i="75"/>
  <c r="H13" i="75"/>
  <c r="H12" i="75"/>
  <c r="H11" i="75"/>
  <c r="H10" i="75"/>
  <c r="H8" i="75"/>
  <c r="H7" i="75"/>
  <c r="H47" i="75" l="1"/>
  <c r="H50" i="75"/>
  <c r="H14" i="75"/>
  <c r="H22" i="75"/>
  <c r="H30" i="75"/>
  <c r="H38" i="75"/>
  <c r="H46" i="75"/>
  <c r="H53" i="75"/>
  <c r="G22" i="74" l="1"/>
  <c r="H22" i="74" s="1"/>
  <c r="I23" i="82" l="1"/>
  <c r="I14" i="82" l="1"/>
  <c r="I13" i="82" l="1"/>
  <c r="I17" i="82"/>
  <c r="I15" i="82"/>
  <c r="I21" i="82"/>
  <c r="I22" i="82" l="1"/>
</calcChain>
</file>

<file path=xl/sharedStrings.xml><?xml version="1.0" encoding="utf-8"?>
<sst xmlns="http://schemas.openxmlformats.org/spreadsheetml/2006/main" count="1173" uniqueCount="769">
  <si>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</si>
  <si>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</si>
  <si>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</si>
  <si>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</si>
  <si>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</si>
  <si>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</si>
  <si>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</si>
  <si>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</si>
  <si>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</si>
  <si>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</si>
  <si>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</si>
  <si>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</si>
  <si>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</si>
  <si>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</si>
  <si>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</si>
  <si>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</si>
  <si>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</si>
  <si>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</si>
  <si>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</si>
  <si>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</si>
  <si>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</si>
  <si>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</si>
  <si>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</si>
  <si>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</si>
  <si>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</si>
  <si>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</si>
  <si>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</si>
  <si>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</si>
  <si>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</si>
  <si>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</si>
  <si>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</si>
  <si>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</si>
  <si>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</si>
  <si>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</si>
  <si>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</si>
  <si>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</si>
  <si>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</si>
  <si>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</si>
  <si>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</si>
  <si>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</si>
  <si>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</si>
  <si>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</si>
  <si>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</si>
  <si>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</si>
  <si>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</si>
  <si>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</si>
  <si>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</si>
  <si>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</si>
  <si>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</si>
  <si>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</si>
  <si>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</si>
  <si>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</si>
  <si>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</si>
  <si>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</si>
  <si>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</si>
  <si>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</si>
  <si>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</si>
  <si>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</si>
  <si>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</si>
  <si>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</si>
  <si>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</si>
  <si>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</si>
  <si>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</si>
  <si>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</si>
  <si>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</si>
  <si>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</si>
  <si>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</si>
  <si>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</si>
  <si>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</si>
  <si>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</si>
  <si>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</si>
  <si>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</si>
  <si>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</si>
  <si>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</si>
  <si>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</si>
  <si>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</si>
  <si>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</si>
  <si>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</si>
  <si>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</si>
  <si>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</si>
  <si>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</si>
  <si>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</si>
  <si>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</si>
  <si>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</si>
  <si>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</si>
  <si>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</si>
  <si>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</si>
  <si>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</si>
  <si>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</si>
  <si>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</si>
  <si>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</si>
  <si>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</si>
  <si>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</si>
  <si>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</si>
  <si>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</si>
  <si>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</si>
  <si>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</si>
  <si>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</si>
  <si>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</si>
  <si>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</si>
  <si>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</si>
  <si>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</si>
  <si>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</si>
  <si>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</si>
  <si>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</si>
  <si>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</si>
  <si>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</si>
  <si>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</si>
  <si>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</si>
  <si>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</si>
  <si>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</si>
  <si>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</si>
  <si>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</si>
  <si>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</si>
  <si>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</si>
  <si>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</si>
  <si>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</si>
  <si>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</si>
  <si>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</si>
  <si>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</si>
  <si>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</si>
  <si>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</si>
  <si>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</si>
  <si>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</si>
  <si>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</si>
  <si>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</si>
  <si>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</si>
  <si>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</si>
  <si>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</si>
  <si>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</si>
  <si>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</si>
  <si>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</si>
  <si>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</si>
  <si>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</si>
  <si>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</si>
  <si>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</si>
  <si>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</si>
  <si>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</si>
  <si>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</si>
  <si>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</si>
  <si>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</si>
  <si>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</si>
  <si>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</si>
  <si>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</si>
  <si>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</si>
  <si>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</si>
  <si>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</si>
  <si>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</si>
  <si>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</si>
  <si>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</si>
  <si>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</si>
  <si>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</si>
  <si>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</si>
  <si>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</si>
  <si>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</si>
  <si>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</si>
  <si>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</si>
  <si>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</si>
  <si>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</si>
  <si>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</si>
  <si>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</si>
  <si>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</si>
  <si>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</si>
  <si>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</si>
  <si>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</si>
  <si>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</si>
  <si>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</si>
  <si>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</si>
  <si>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</si>
  <si>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</si>
  <si>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</si>
  <si>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</si>
  <si>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</si>
  <si>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</si>
  <si>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</si>
  <si>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</si>
  <si>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</si>
  <si>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</si>
  <si>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</si>
  <si>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</si>
  <si>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</si>
  <si>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</si>
  <si>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</si>
  <si>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</si>
  <si>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</si>
  <si>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</si>
  <si>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</si>
  <si>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</si>
  <si>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</si>
  <si>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</si>
  <si>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</si>
  <si>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</si>
  <si>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</si>
  <si>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</si>
  <si>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</si>
  <si>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</si>
  <si>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</si>
  <si>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</si>
  <si>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</si>
  <si>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</si>
  <si>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</si>
  <si>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</si>
  <si>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</si>
  <si>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</si>
  <si>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</si>
  <si>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</si>
  <si>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</si>
  <si>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</si>
  <si>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</si>
  <si>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</si>
  <si>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</si>
  <si>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</si>
  <si>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</si>
  <si>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</si>
  <si>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</si>
  <si>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</si>
  <si>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</si>
  <si>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</si>
  <si>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</si>
  <si>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</si>
  <si>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</si>
  <si>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</si>
  <si>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</si>
  <si>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</si>
  <si>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</si>
  <si>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</si>
  <si>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</si>
  <si>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</si>
  <si>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</si>
  <si>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</si>
  <si>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</si>
  <si>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</si>
  <si>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</si>
  <si>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</si>
  <si>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</si>
  <si>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</si>
  <si>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</si>
  <si>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</si>
  <si>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</si>
  <si>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</si>
  <si>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</si>
  <si>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</si>
  <si>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</si>
  <si>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</si>
  <si>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</si>
  <si>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</si>
  <si>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</si>
  <si>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</si>
  <si>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</si>
  <si>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</si>
  <si>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</si>
  <si>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</si>
  <si>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</si>
  <si>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</si>
  <si>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</si>
  <si>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</si>
  <si>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</si>
  <si>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</si>
  <si>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</si>
  <si>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</si>
  <si>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</si>
  <si>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</si>
  <si>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</si>
  <si>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</si>
  <si>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</si>
  <si>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</si>
  <si>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</si>
  <si>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</si>
  <si>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</si>
  <si>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</si>
  <si>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</si>
  <si>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</si>
  <si>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</si>
  <si>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</si>
  <si>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</si>
  <si>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</si>
  <si>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</si>
  <si>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</si>
  <si>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</si>
  <si>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</si>
  <si>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</si>
  <si>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</si>
  <si>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</si>
  <si>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</si>
  <si>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</si>
  <si>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</si>
  <si>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</si>
  <si>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</si>
  <si>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</si>
  <si>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</si>
  <si>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</si>
  <si>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</si>
  <si>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</si>
  <si>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</si>
  <si>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</si>
  <si>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</si>
  <si>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</si>
  <si>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</si>
  <si>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</si>
  <si>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</si>
  <si>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</si>
  <si>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</si>
  <si>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</si>
  <si>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</si>
  <si>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</si>
  <si>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</si>
  <si>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</si>
  <si>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</si>
  <si>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</si>
  <si>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</si>
  <si>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</si>
  <si>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</si>
  <si>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</si>
  <si>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</si>
  <si>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</si>
  <si>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</si>
  <si>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</si>
  <si>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</si>
  <si>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</si>
  <si>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</si>
  <si>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</si>
  <si>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</si>
  <si>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</si>
  <si>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</si>
  <si>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</si>
  <si>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</si>
  <si>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</si>
  <si>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</si>
  <si>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</si>
  <si>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</si>
  <si>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</si>
  <si>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</si>
  <si>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</si>
  <si>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</si>
  <si>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</si>
  <si>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</si>
  <si>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</si>
  <si>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</si>
  <si>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</si>
  <si>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</si>
  <si>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</si>
  <si>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</si>
  <si>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</si>
  <si>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</si>
  <si>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</si>
  <si>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</si>
  <si>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</si>
  <si>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</si>
  <si>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</si>
  <si>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</si>
  <si>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</si>
  <si>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</si>
  <si>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</si>
  <si>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</si>
  <si>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</si>
  <si>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</si>
  <si>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</si>
  <si>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</si>
  <si>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</si>
  <si>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</si>
  <si>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</si>
  <si>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</si>
  <si>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</si>
  <si>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</si>
  <si>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</si>
  <si>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</si>
  <si>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</si>
  <si>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</si>
  <si>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</si>
  <si>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</si>
  <si>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</si>
  <si>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</si>
  <si>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</si>
  <si>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</si>
  <si>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</si>
  <si>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</si>
  <si>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</si>
  <si>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</si>
  <si>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</si>
  <si>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</si>
  <si>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</si>
  <si>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</si>
  <si>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</si>
  <si>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</si>
  <si>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</si>
  <si>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</si>
  <si>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</si>
  <si>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</si>
  <si>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</si>
  <si>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</si>
  <si>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</si>
  <si>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</si>
  <si>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</si>
  <si>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</si>
  <si>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</si>
  <si>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</si>
  <si>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</si>
  <si>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</si>
  <si>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</si>
  <si>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</si>
  <si>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</si>
  <si>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</si>
  <si>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</si>
  <si>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</si>
  <si>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</si>
  <si>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</si>
  <si>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</si>
  <si>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</si>
  <si>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</si>
  <si>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</si>
  <si>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</si>
  <si>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</si>
  <si>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</si>
  <si>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</si>
  <si>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</si>
  <si>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</si>
  <si>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</si>
  <si>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</si>
  <si>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</si>
  <si>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</si>
  <si>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</si>
  <si>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</si>
  <si>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</si>
  <si>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</si>
  <si>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</si>
  <si>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</si>
  <si>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</si>
  <si>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</si>
  <si>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</si>
  <si>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</si>
  <si>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</si>
  <si>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</si>
  <si>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</si>
  <si>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</si>
  <si>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</si>
  <si>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</si>
  <si>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</si>
  <si>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</si>
  <si>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</si>
  <si>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</si>
  <si>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</si>
  <si>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</si>
  <si>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</si>
  <si>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</si>
  <si>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</si>
  <si>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</si>
  <si>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</si>
  <si>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</si>
  <si>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</si>
  <si>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</si>
  <si>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</si>
  <si>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</si>
  <si>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</si>
  <si>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</si>
  <si>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</si>
  <si>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</si>
  <si>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</si>
  <si>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</si>
  <si>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</si>
  <si>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</si>
  <si>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</si>
  <si>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</si>
  <si>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</si>
  <si>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</si>
  <si>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</si>
  <si>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</si>
  <si>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</si>
  <si>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</si>
  <si>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</si>
  <si>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</si>
  <si>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</si>
  <si>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</si>
  <si>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</si>
  <si>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</si>
  <si>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</si>
  <si>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</si>
  <si>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</si>
  <si>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</si>
  <si>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</si>
  <si>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</si>
  <si>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</si>
  <si>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</si>
  <si>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</si>
  <si>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</si>
  <si>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</si>
  <si>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</si>
  <si>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</si>
  <si>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</si>
  <si>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</si>
  <si>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</si>
  <si>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</si>
  <si>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</si>
  <si>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</si>
  <si>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</si>
  <si>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</si>
  <si>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</si>
  <si>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</si>
  <si>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</si>
  <si>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</si>
  <si>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</si>
  <si>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</si>
  <si>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</si>
  <si>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</si>
  <si>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</si>
  <si>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</si>
  <si>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</si>
  <si>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</si>
  <si>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</si>
  <si>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</si>
  <si>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</si>
  <si>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</si>
  <si>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</si>
  <si>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</si>
  <si>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</si>
  <si>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</si>
  <si>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</si>
  <si>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</si>
  <si>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</si>
  <si>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</si>
  <si>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</si>
  <si>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</si>
  <si>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</si>
  <si>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</si>
  <si>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</si>
  <si>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</si>
  <si>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</si>
  <si>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</si>
  <si>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</si>
  <si>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</si>
  <si>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</si>
  <si>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</si>
  <si>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</si>
  <si>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</si>
  <si>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</si>
  <si>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</si>
  <si>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</si>
  <si>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</si>
  <si>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</si>
  <si>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</si>
  <si>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</si>
  <si>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</si>
  <si>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</si>
  <si>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</si>
  <si>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</si>
  <si>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</si>
  <si>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</si>
  <si>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</si>
  <si>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</si>
  <si>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</si>
  <si>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</si>
  <si>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</si>
  <si>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</si>
  <si>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</si>
  <si>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</si>
  <si>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</si>
  <si>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</si>
  <si>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</si>
  <si>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</si>
  <si>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</si>
  <si>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</si>
  <si>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</si>
  <si>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</si>
  <si>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</si>
  <si>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</si>
  <si>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</si>
  <si>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</si>
  <si>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</si>
  <si>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</si>
  <si>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</si>
  <si>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</si>
  <si>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</si>
  <si>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</si>
  <si>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</si>
  <si>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</si>
  <si>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</si>
  <si>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</si>
  <si>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</si>
  <si>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</si>
  <si>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</si>
  <si>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</si>
  <si>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</si>
  <si>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</si>
  <si>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</si>
  <si>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</si>
  <si>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</si>
  <si>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</si>
  <si>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</si>
  <si>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</si>
  <si>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</si>
  <si>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</si>
  <si>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</si>
  <si>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</si>
  <si>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</si>
  <si>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</si>
  <si>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</si>
  <si>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</si>
  <si>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</si>
  <si>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</si>
  <si>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</si>
  <si>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</si>
  <si>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</si>
  <si>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</si>
  <si>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</si>
  <si>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</si>
  <si>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</si>
  <si>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</si>
  <si>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</si>
  <si>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</si>
  <si>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</si>
  <si>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</si>
  <si>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</si>
  <si>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</si>
  <si>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</si>
  <si>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</si>
  <si>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</si>
  <si>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</si>
  <si>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</si>
  <si>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</si>
  <si>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</si>
  <si>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</si>
  <si>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</si>
  <si>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</si>
  <si>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</si>
  <si>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</si>
  <si>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</si>
  <si>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</si>
  <si>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</si>
  <si>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</si>
  <si>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</si>
  <si>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</si>
  <si>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</si>
  <si>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</si>
  <si>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</si>
  <si>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</si>
  <si>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</si>
  <si>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</si>
  <si>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</si>
  <si>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</si>
  <si>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</si>
  <si>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</si>
  <si>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</si>
  <si>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</si>
  <si>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</si>
  <si>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</si>
  <si>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</si>
  <si>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</si>
  <si>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</si>
  <si>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</si>
  <si>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</si>
  <si>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</si>
  <si>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</si>
  <si>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</si>
  <si>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</si>
  <si>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</si>
  <si>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</si>
  <si>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</si>
  <si>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</si>
  <si>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</si>
  <si>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</si>
  <si>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</si>
  <si>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</si>
  <si>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</si>
  <si>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</si>
  <si>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</si>
  <si>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</si>
  <si>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</si>
  <si>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</si>
  <si>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</si>
  <si>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</si>
  <si>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</si>
  <si>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</si>
  <si>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</si>
  <si>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</si>
  <si>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</si>
  <si>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</si>
  <si>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</si>
  <si>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</si>
  <si>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</si>
  <si>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</si>
  <si>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</si>
  <si>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</si>
  <si>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</si>
  <si>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</si>
  <si>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</si>
  <si>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</si>
  <si>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</si>
  <si>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</si>
  <si>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</si>
  <si>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</si>
  <si>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</si>
  <si>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</si>
  <si>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</si>
  <si>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</si>
  <si>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</si>
  <si>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</si>
  <si>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</si>
  <si>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</si>
  <si>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</si>
  <si>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</si>
  <si>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</si>
  <si>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</si>
  <si>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</si>
  <si>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</si>
  <si>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</si>
  <si>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</si>
  <si>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</si>
  <si>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</si>
  <si>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</si>
  <si>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</si>
  <si>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</si>
  <si>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</si>
  <si>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</si>
  <si>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</si>
  <si>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</si>
  <si>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</si>
  <si>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</si>
  <si>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</si>
  <si>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</si>
  <si>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</si>
  <si>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</si>
  <si>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</si>
  <si>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</si>
  <si>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</si>
  <si>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</si>
  <si>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</si>
  <si>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</si>
  <si>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</si>
  <si>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</si>
  <si>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</si>
  <si>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</si>
  <si>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</si>
  <si>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</si>
  <si>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</si>
  <si>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</si>
  <si>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</si>
  <si>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</si>
  <si>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</si>
  <si>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</si>
  <si>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</si>
  <si>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ცხრილი 9 (Capital), N37</t>
  </si>
  <si>
    <t>ცხრილი 9 (Capital), N2</t>
  </si>
  <si>
    <t>ცხრილი 9 (Capital), N6</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</si>
  <si>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</si>
  <si>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</si>
  <si>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</si>
  <si>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</si>
  <si>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</si>
  <si>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</si>
  <si>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</si>
  <si>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</si>
  <si>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აბჰიჯით ჩოუდური</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</si>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</sst>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
      <b/>
      <sz val="10"/>
      <color theme="1"/>
      <name val="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27">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0" xfId="20" applyBorder="1"/>
    <xf numFmtId="0" fontId="4" fillId="0" borderId="7" xfId="0" applyFont="1" applyBorder="1" applyAlignment="1">
      <alignment vertical="center"/>
    </xf>
    <xf numFmtId="0" fontId="4" fillId="0" borderId="87" xfId="0" applyFont="1" applyBorder="1" applyAlignment="1">
      <alignment vertical="center"/>
    </xf>
    <xf numFmtId="0" fontId="6" fillId="0" borderId="87"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95" xfId="0" applyFont="1" applyBorder="1" applyAlignment="1">
      <alignment horizontal="center" vertical="center"/>
    </xf>
    <xf numFmtId="0" fontId="4" fillId="0" borderId="96" xfId="0" applyFont="1" applyBorder="1" applyAlignment="1">
      <alignment vertical="center"/>
    </xf>
    <xf numFmtId="0" fontId="4" fillId="0" borderId="97" xfId="0" applyFont="1" applyBorder="1" applyAlignment="1">
      <alignment horizontal="center" vertical="center"/>
    </xf>
    <xf numFmtId="169" fontId="28" fillId="37" borderId="34" xfId="20" applyBorder="1"/>
    <xf numFmtId="169" fontId="28" fillId="37" borderId="99"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0" borderId="77" xfId="0" applyFont="1" applyBorder="1" applyAlignment="1">
      <alignment horizontal="center" vertical="center"/>
    </xf>
    <xf numFmtId="0" fontId="4" fillId="3" borderId="85" xfId="0" applyFont="1" applyFill="1" applyBorder="1" applyAlignment="1">
      <alignment vertical="center"/>
    </xf>
    <xf numFmtId="0" fontId="14" fillId="3" borderId="100" xfId="0" applyFont="1" applyFill="1" applyBorder="1" applyAlignment="1">
      <alignment horizontal="left"/>
    </xf>
    <xf numFmtId="0" fontId="14" fillId="3" borderId="101" xfId="0" applyFont="1" applyFill="1" applyBorder="1" applyAlignment="1">
      <alignment horizontal="left"/>
    </xf>
    <xf numFmtId="0" fontId="4" fillId="0" borderId="87" xfId="0" applyFont="1" applyBorder="1" applyAlignment="1">
      <alignment horizontal="center" vertical="center" wrapText="1"/>
    </xf>
    <xf numFmtId="0" fontId="4" fillId="0" borderId="102" xfId="0" applyFont="1" applyBorder="1" applyAlignment="1">
      <alignment horizontal="center" vertical="center" wrapText="1"/>
    </xf>
    <xf numFmtId="0" fontId="6" fillId="3" borderId="103" xfId="0" applyFont="1" applyFill="1" applyBorder="1" applyAlignment="1">
      <alignment vertical="center"/>
    </xf>
    <xf numFmtId="0" fontId="4" fillId="0" borderId="104"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4" xfId="0" applyBorder="1"/>
    <xf numFmtId="0" fontId="0" fillId="0" borderId="104"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2"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5"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4"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2" xfId="0" applyFont="1" applyFill="1" applyBorder="1" applyAlignment="1">
      <alignment horizontal="left" vertical="center" wrapText="1"/>
    </xf>
    <xf numFmtId="0" fontId="4" fillId="0" borderId="104" xfId="0" applyFont="1" applyBorder="1" applyAlignment="1">
      <alignment horizontal="right" vertical="center" wrapText="1"/>
    </xf>
    <xf numFmtId="0" fontId="4" fillId="0" borderId="87" xfId="0" applyFont="1" applyBorder="1" applyAlignment="1">
      <alignment horizontal="left" vertical="center" wrapText="1"/>
    </xf>
    <xf numFmtId="0" fontId="108" fillId="0" borderId="104" xfId="0" applyFont="1" applyBorder="1" applyAlignment="1">
      <alignment horizontal="right" vertical="center" wrapText="1"/>
    </xf>
    <xf numFmtId="0" fontId="108" fillId="0" borderId="87" xfId="0" applyFont="1" applyBorder="1" applyAlignment="1">
      <alignment horizontal="left" vertical="center" wrapText="1"/>
    </xf>
    <xf numFmtId="0" fontId="6" fillId="0" borderId="10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4"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2"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0" fontId="11" fillId="0" borderId="87" xfId="17" applyFill="1" applyBorder="1" applyAlignment="1" applyProtection="1"/>
    <xf numFmtId="49" fontId="108" fillId="0" borderId="104" xfId="0" applyNumberFormat="1" applyFont="1" applyBorder="1" applyAlignment="1">
      <alignment horizontal="right" vertical="center" wrapText="1"/>
    </xf>
    <xf numFmtId="0" fontId="7" fillId="3" borderId="87" xfId="20960" applyFont="1" applyFill="1" applyBorder="1"/>
    <xf numFmtId="0" fontId="105" fillId="0" borderId="87" xfId="20960" applyFont="1" applyBorder="1" applyAlignment="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Protection="1">
      <alignment vertical="center"/>
      <protection locked="0"/>
    </xf>
    <xf numFmtId="0" fontId="112" fillId="0" borderId="86" xfId="21412" applyFont="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4" fillId="0" borderId="102" xfId="0" applyNumberFormat="1" applyFont="1" applyBorder="1" applyAlignment="1">
      <alignment horizontal="right" vertical="center" wrapText="1"/>
    </xf>
    <xf numFmtId="1" fontId="6" fillId="36" borderId="102" xfId="0" applyNumberFormat="1" applyFont="1" applyFill="1" applyBorder="1" applyAlignment="1">
      <alignment horizontal="right" vertical="center" wrapText="1"/>
    </xf>
    <xf numFmtId="1" fontId="108" fillId="0" borderId="102" xfId="0" applyNumberFormat="1" applyFont="1" applyBorder="1" applyAlignment="1">
      <alignment horizontal="right" vertical="center" wrapText="1"/>
    </xf>
    <xf numFmtId="1" fontId="6" fillId="36" borderId="102"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4" xfId="0" applyFont="1" applyBorder="1" applyAlignment="1">
      <alignment horizontal="right" vertical="center" wrapText="1"/>
    </xf>
    <xf numFmtId="0" fontId="7" fillId="0" borderId="87" xfId="0" applyFont="1" applyBorder="1" applyAlignment="1">
      <alignment vertical="center" wrapText="1"/>
    </xf>
    <xf numFmtId="0" fontId="4" fillId="0" borderId="87" xfId="0" applyFont="1" applyBorder="1" applyAlignment="1">
      <alignment vertical="center" wrapText="1"/>
    </xf>
    <xf numFmtId="0" fontId="4" fillId="0" borderId="87" xfId="0" applyFont="1" applyBorder="1" applyAlignment="1">
      <alignment horizontal="left" vertical="center" wrapText="1" indent="2"/>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2" xfId="0" applyFont="1" applyBorder="1"/>
    <xf numFmtId="0" fontId="4" fillId="0" borderId="27" xfId="0" applyFont="1" applyBorder="1"/>
    <xf numFmtId="0" fontId="9" fillId="0" borderId="102" xfId="0" applyFont="1" applyBorder="1"/>
    <xf numFmtId="0" fontId="9" fillId="0" borderId="102" xfId="0" applyFont="1" applyBorder="1" applyAlignment="1">
      <alignment wrapText="1"/>
    </xf>
    <xf numFmtId="0" fontId="10" fillId="0" borderId="21" xfId="0" applyFont="1" applyBorder="1" applyAlignment="1">
      <alignment horizontal="center"/>
    </xf>
    <xf numFmtId="0" fontId="10" fillId="0" borderId="102"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4" xfId="0" applyFont="1" applyBorder="1" applyAlignment="1">
      <alignment horizontal="center" vertical="center" wrapText="1"/>
    </xf>
    <xf numFmtId="0" fontId="15" fillId="0" borderId="87" xfId="0" applyFont="1" applyBorder="1" applyAlignment="1">
      <alignment horizontal="center" vertical="center" wrapText="1"/>
    </xf>
    <xf numFmtId="0" fontId="16" fillId="0" borderId="87" xfId="0" applyFont="1" applyBorder="1" applyAlignment="1">
      <alignment horizontal="left" vertical="center" wrapText="1"/>
    </xf>
    <xf numFmtId="193" fontId="7" fillId="0" borderId="87" xfId="0" applyNumberFormat="1" applyFont="1" applyBorder="1" applyAlignment="1" applyProtection="1">
      <alignment vertical="center" wrapText="1"/>
      <protection locked="0"/>
    </xf>
    <xf numFmtId="193" fontId="4" fillId="0" borderId="87" xfId="0" applyNumberFormat="1" applyFont="1" applyBorder="1" applyAlignment="1" applyProtection="1">
      <alignment vertical="center" wrapText="1"/>
      <protection locked="0"/>
    </xf>
    <xf numFmtId="193" fontId="4" fillId="0" borderId="102" xfId="0" applyNumberFormat="1" applyFont="1" applyBorder="1" applyAlignment="1" applyProtection="1">
      <alignment vertical="center" wrapText="1"/>
      <protection locked="0"/>
    </xf>
    <xf numFmtId="193" fontId="7" fillId="0" borderId="87" xfId="0" applyNumberFormat="1" applyFont="1" applyBorder="1" applyAlignment="1" applyProtection="1">
      <alignment horizontal="right" vertical="center" wrapText="1"/>
      <protection locked="0"/>
    </xf>
    <xf numFmtId="0" fontId="9" fillId="2" borderId="104"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193" fontId="9" fillId="2" borderId="102" xfId="0" applyNumberFormat="1" applyFont="1" applyFill="1" applyBorder="1" applyAlignment="1" applyProtection="1">
      <alignment vertical="center"/>
      <protection locked="0"/>
    </xf>
    <xf numFmtId="0" fontId="15" fillId="0" borderId="104" xfId="0" applyFont="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10" fontId="4" fillId="0" borderId="102" xfId="20961" applyNumberFormat="1" applyFont="1" applyBorder="1" applyAlignment="1" applyProtection="1">
      <alignment vertical="center" wrapText="1"/>
      <protection locked="0"/>
    </xf>
    <xf numFmtId="0" fontId="4" fillId="3" borderId="60" xfId="0" applyFont="1" applyFill="1" applyBorder="1"/>
    <xf numFmtId="0" fontId="4" fillId="3" borderId="107" xfId="0" applyFont="1" applyFill="1" applyBorder="1" applyAlignment="1">
      <alignment wrapText="1"/>
    </xf>
    <xf numFmtId="0" fontId="4" fillId="3" borderId="108" xfId="0" applyFont="1" applyFill="1" applyBorder="1"/>
    <xf numFmtId="0" fontId="6" fillId="3" borderId="11" xfId="0" applyFont="1" applyFill="1" applyBorder="1" applyAlignment="1">
      <alignment horizontal="center" wrapText="1"/>
    </xf>
    <xf numFmtId="0" fontId="4" fillId="0" borderId="8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0" xfId="0" applyFont="1" applyFill="1" applyBorder="1" applyAlignment="1">
      <alignment horizontal="center" vertical="center" wrapText="1"/>
    </xf>
    <xf numFmtId="0" fontId="4" fillId="0" borderId="104" xfId="0" applyFont="1" applyBorder="1"/>
    <xf numFmtId="0" fontId="4" fillId="0" borderId="87" xfId="0" applyFont="1" applyBorder="1" applyAlignment="1">
      <alignment wrapText="1"/>
    </xf>
    <xf numFmtId="164" fontId="4" fillId="0" borderId="87" xfId="7" applyNumberFormat="1" applyFont="1" applyBorder="1"/>
    <xf numFmtId="164" fontId="4" fillId="0" borderId="102" xfId="7" applyNumberFormat="1" applyFont="1" applyBorder="1"/>
    <xf numFmtId="0" fontId="14" fillId="0" borderId="87" xfId="0" applyFont="1" applyBorder="1" applyAlignment="1">
      <alignment horizontal="left" wrapText="1" indent="2"/>
    </xf>
    <xf numFmtId="164" fontId="4" fillId="0" borderId="87" xfId="7" applyNumberFormat="1" applyFont="1" applyBorder="1" applyAlignment="1">
      <alignment vertical="center"/>
    </xf>
    <xf numFmtId="0" fontId="6" fillId="0" borderId="104" xfId="0" applyFont="1" applyBorder="1"/>
    <xf numFmtId="0" fontId="6" fillId="0" borderId="87" xfId="0" applyFont="1" applyBorder="1" applyAlignment="1">
      <alignment wrapText="1"/>
    </xf>
    <xf numFmtId="164" fontId="6" fillId="0" borderId="10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Alignment="1">
      <alignment wrapText="1"/>
    </xf>
    <xf numFmtId="0" fontId="6" fillId="0" borderId="25" xfId="0" applyFont="1" applyBorder="1"/>
    <xf numFmtId="0" fontId="6" fillId="0" borderId="26" xfId="0" applyFont="1" applyBorder="1" applyAlignment="1">
      <alignment wrapText="1"/>
    </xf>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193" fontId="17" fillId="2" borderId="96" xfId="0" applyNumberFormat="1" applyFont="1" applyFill="1" applyBorder="1" applyAlignment="1" applyProtection="1">
      <alignment vertical="center"/>
      <protection locked="0"/>
    </xf>
    <xf numFmtId="0" fontId="9" fillId="0" borderId="87"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7" xfId="0" applyFont="1" applyBorder="1" applyAlignment="1">
      <alignment horizontal="center" vertical="center" wrapText="1"/>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Border="1" applyAlignment="1" applyProtection="1">
      <alignment horizontal="left" vertical="center" wrapText="1"/>
      <protection locked="0"/>
    </xf>
    <xf numFmtId="49" fontId="120" fillId="0" borderId="87" xfId="5" applyNumberFormat="1" applyFont="1" applyBorder="1" applyAlignment="1" applyProtection="1">
      <alignment horizontal="right" vertical="center"/>
      <protection locked="0"/>
    </xf>
    <xf numFmtId="49" fontId="121" fillId="0" borderId="87"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166" fontId="115" fillId="36" borderId="87" xfId="21413" applyFont="1" applyFill="1" applyBorder="1"/>
    <xf numFmtId="49" fontId="120" fillId="0" borderId="87" xfId="5" applyNumberFormat="1" applyFont="1" applyBorder="1" applyAlignment="1" applyProtection="1">
      <alignment horizontal="right" vertical="center" wrapText="1"/>
      <protection locked="0"/>
    </xf>
    <xf numFmtId="49" fontId="121" fillId="0" borderId="87" xfId="5" applyNumberFormat="1" applyFont="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5" fillId="0" borderId="87" xfId="0" applyFont="1" applyBorder="1" applyAlignment="1">
      <alignment horizontal="left" vertical="center" wrapText="1"/>
    </xf>
    <xf numFmtId="0" fontId="116" fillId="0" borderId="0" xfId="0" applyFont="1" applyAlignment="1">
      <alignment horizontal="left"/>
    </xf>
    <xf numFmtId="0" fontId="118" fillId="0" borderId="87" xfId="0" applyFont="1" applyBorder="1" applyAlignment="1">
      <alignment horizontal="left" indent="1"/>
    </xf>
    <xf numFmtId="0" fontId="118" fillId="0" borderId="87" xfId="0" applyFont="1" applyBorder="1" applyAlignment="1">
      <alignment horizontal="left" wrapText="1" indent="1"/>
    </xf>
    <xf numFmtId="0" fontId="115" fillId="0" borderId="87" xfId="0" applyFont="1" applyBorder="1" applyAlignment="1">
      <alignment horizontal="left" indent="1"/>
    </xf>
    <xf numFmtId="0" fontId="115" fillId="0" borderId="87" xfId="0" applyFont="1" applyBorder="1" applyAlignment="1">
      <alignment horizontal="left" wrapText="1" indent="2"/>
    </xf>
    <xf numFmtId="0" fontId="118" fillId="0" borderId="87" xfId="0" applyFont="1" applyBorder="1" applyAlignment="1">
      <alignment horizontal="left" vertical="center" indent="1"/>
    </xf>
    <xf numFmtId="0" fontId="116" fillId="79" borderId="87" xfId="0" applyFont="1" applyFill="1" applyBorder="1"/>
    <xf numFmtId="0" fontId="116" fillId="0" borderId="87" xfId="0" applyFont="1" applyBorder="1" applyAlignment="1">
      <alignment horizontal="left" wrapText="1"/>
    </xf>
    <xf numFmtId="0" fontId="116" fillId="0" borderId="87" xfId="0" applyFont="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Border="1" applyAlignment="1">
      <alignment horizontal="left" vertical="top" wrapText="1" indent="2"/>
    </xf>
    <xf numFmtId="49" fontId="116" fillId="0" borderId="87" xfId="0" applyNumberFormat="1" applyFont="1" applyBorder="1" applyAlignment="1">
      <alignment horizontal="left" wrapText="1" indent="3"/>
    </xf>
    <xf numFmtId="0" fontId="116" fillId="0" borderId="87" xfId="0" applyFont="1" applyBorder="1" applyAlignment="1">
      <alignment horizontal="left" wrapText="1" indent="1"/>
    </xf>
    <xf numFmtId="0" fontId="118" fillId="0" borderId="118" xfId="0" applyFont="1" applyBorder="1" applyAlignment="1">
      <alignment horizontal="left"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8" fillId="0" borderId="87"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7" xfId="17" applyFill="1" applyBorder="1" applyAlignment="1" applyProtection="1">
      <alignment wrapText="1"/>
    </xf>
    <xf numFmtId="49" fontId="116" fillId="0" borderId="87" xfId="0" applyNumberFormat="1" applyFont="1" applyBorder="1" applyAlignment="1">
      <alignment horizontal="left" wrapText="1" indent="1"/>
    </xf>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0" fontId="17" fillId="2" borderId="102" xfId="20961" applyNumberFormat="1" applyFont="1" applyFill="1" applyBorder="1" applyAlignment="1" applyProtection="1">
      <alignment vertical="center"/>
      <protection locked="0"/>
    </xf>
    <xf numFmtId="10" fontId="9" fillId="2" borderId="102" xfId="20961" applyNumberFormat="1" applyFont="1" applyFill="1" applyBorder="1" applyAlignment="1" applyProtection="1">
      <alignment vertical="center"/>
      <protection locked="0"/>
    </xf>
    <xf numFmtId="0" fontId="9" fillId="0" borderId="104" xfId="0" applyFont="1" applyBorder="1" applyAlignment="1">
      <alignment vertical="center"/>
    </xf>
    <xf numFmtId="0" fontId="13" fillId="0" borderId="88" xfId="0" applyFont="1" applyBorder="1" applyAlignment="1">
      <alignment wrapText="1"/>
    </xf>
    <xf numFmtId="0" fontId="9" fillId="0" borderId="95" xfId="0" applyFont="1" applyBorder="1" applyAlignment="1">
      <alignment vertical="center"/>
    </xf>
    <xf numFmtId="0" fontId="13" fillId="0" borderId="83" xfId="0" applyFont="1" applyBorder="1" applyAlignment="1">
      <alignment wrapText="1"/>
    </xf>
    <xf numFmtId="0" fontId="4" fillId="0" borderId="96" xfId="0" applyFont="1" applyBorder="1"/>
    <xf numFmtId="9" fontId="4" fillId="0" borderId="24" xfId="20961" applyFont="1" applyBorder="1" applyAlignment="1"/>
    <xf numFmtId="9" fontId="4" fillId="0" borderId="102" xfId="20961" applyFont="1" applyBorder="1" applyAlignment="1"/>
    <xf numFmtId="9" fontId="4" fillId="0" borderId="96" xfId="20961" applyFont="1" applyBorder="1" applyAlignment="1"/>
    <xf numFmtId="43" fontId="108" fillId="0" borderId="102" xfId="7" applyFont="1" applyFill="1" applyBorder="1" applyAlignment="1">
      <alignment horizontal="right" vertical="center" wrapText="1"/>
    </xf>
    <xf numFmtId="43" fontId="4" fillId="0" borderId="3" xfId="7" applyFont="1" applyBorder="1" applyAlignment="1"/>
    <xf numFmtId="164" fontId="4" fillId="0" borderId="3" xfId="7" applyNumberFormat="1" applyFont="1" applyBorder="1" applyAlignment="1"/>
    <xf numFmtId="164" fontId="4" fillId="0" borderId="8" xfId="7" applyNumberFormat="1" applyFont="1" applyBorder="1" applyAlignment="1"/>
    <xf numFmtId="43" fontId="4" fillId="0" borderId="22" xfId="7" applyFont="1" applyBorder="1" applyAlignment="1"/>
    <xf numFmtId="43" fontId="4" fillId="0" borderId="23" xfId="7" applyFont="1" applyBorder="1" applyAlignment="1"/>
    <xf numFmtId="43" fontId="4" fillId="0" borderId="24" xfId="7" applyFont="1" applyBorder="1" applyAlignment="1">
      <alignment wrapText="1"/>
    </xf>
    <xf numFmtId="43" fontId="4" fillId="0" borderId="24" xfId="7"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36" borderId="26" xfId="7" applyNumberFormat="1" applyFont="1" applyFill="1" applyBorder="1"/>
    <xf numFmtId="164" fontId="4" fillId="3" borderId="85" xfId="7" applyNumberFormat="1" applyFont="1" applyFill="1" applyBorder="1" applyAlignment="1">
      <alignment vertical="center"/>
    </xf>
    <xf numFmtId="164" fontId="4" fillId="3" borderId="24"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88"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4" fillId="0" borderId="81" xfId="20961" applyNumberFormat="1" applyFont="1" applyFill="1" applyBorder="1" applyAlignment="1">
      <alignment vertical="center"/>
    </xf>
    <xf numFmtId="9" fontId="4" fillId="0" borderId="81" xfId="20961" applyFont="1" applyFill="1" applyBorder="1" applyAlignment="1">
      <alignment vertical="center"/>
    </xf>
    <xf numFmtId="9" fontId="4" fillId="0" borderId="98" xfId="20961" applyFont="1" applyFill="1" applyBorder="1" applyAlignment="1">
      <alignment vertical="center"/>
    </xf>
    <xf numFmtId="43" fontId="9" fillId="36" borderId="3" xfId="7" applyFont="1" applyFill="1" applyBorder="1" applyProtection="1">
      <protection locked="0"/>
    </xf>
    <xf numFmtId="43" fontId="9" fillId="3" borderId="3" xfId="7" applyFont="1" applyFill="1" applyBorder="1" applyProtection="1">
      <protection locked="0"/>
    </xf>
    <xf numFmtId="164" fontId="9" fillId="36" borderId="3" xfId="7" applyNumberFormat="1" applyFont="1" applyFill="1" applyBorder="1" applyProtection="1">
      <protection locked="0"/>
    </xf>
    <xf numFmtId="164" fontId="9" fillId="36" borderId="23" xfId="7" applyNumberFormat="1" applyFont="1" applyFill="1" applyBorder="1" applyProtection="1">
      <protection locked="0"/>
    </xf>
    <xf numFmtId="164" fontId="9" fillId="3" borderId="3" xfId="7" applyNumberFormat="1" applyFont="1" applyFill="1" applyBorder="1" applyProtection="1">
      <protection locked="0"/>
    </xf>
    <xf numFmtId="164" fontId="9" fillId="0"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10" fillId="36" borderId="27" xfId="7" applyNumberFormat="1" applyFont="1" applyFill="1" applyBorder="1" applyAlignment="1" applyProtection="1">
      <protection locked="0"/>
    </xf>
    <xf numFmtId="10" fontId="112" fillId="78" borderId="87" xfId="20961" applyNumberFormat="1" applyFont="1" applyFill="1" applyBorder="1" applyAlignment="1" applyProtection="1">
      <alignment horizontal="right" vertical="center"/>
    </xf>
    <xf numFmtId="164" fontId="4" fillId="0" borderId="23" xfId="7" applyNumberFormat="1" applyFont="1" applyBorder="1" applyAlignment="1"/>
    <xf numFmtId="164" fontId="4" fillId="36" borderId="27" xfId="7" applyNumberFormat="1" applyFont="1" applyFill="1" applyBorder="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87" xfId="7" applyNumberFormat="1" applyFont="1" applyBorder="1" applyAlignment="1">
      <alignment horizontal="left" indent="1"/>
    </xf>
    <xf numFmtId="164" fontId="116" fillId="80" borderId="87" xfId="7" applyNumberFormat="1" applyFont="1" applyFill="1" applyBorder="1"/>
    <xf numFmtId="164" fontId="119" fillId="0" borderId="7" xfId="7" applyNumberFormat="1" applyFont="1" applyBorder="1"/>
    <xf numFmtId="164" fontId="116" fillId="0" borderId="87" xfId="7" applyNumberFormat="1" applyFont="1" applyBorder="1" applyAlignment="1">
      <alignment horizontal="left" indent="2"/>
    </xf>
    <xf numFmtId="164" fontId="116" fillId="0" borderId="87" xfId="7" applyNumberFormat="1" applyFont="1" applyFill="1" applyBorder="1" applyAlignment="1">
      <alignment horizontal="left" indent="3"/>
    </xf>
    <xf numFmtId="164" fontId="116" fillId="0" borderId="87" xfId="7" applyNumberFormat="1" applyFont="1" applyFill="1" applyBorder="1" applyAlignment="1">
      <alignment horizontal="left" indent="1"/>
    </xf>
    <xf numFmtId="164" fontId="116" fillId="81" borderId="87" xfId="7" applyNumberFormat="1" applyFont="1" applyFill="1" applyBorder="1"/>
    <xf numFmtId="164" fontId="116" fillId="0" borderId="87" xfId="7" applyNumberFormat="1" applyFont="1" applyFill="1" applyBorder="1" applyAlignment="1">
      <alignment horizontal="left" vertical="top" wrapText="1" indent="2"/>
    </xf>
    <xf numFmtId="164" fontId="116" fillId="0" borderId="87" xfId="7" applyNumberFormat="1" applyFont="1" applyFill="1" applyBorder="1" applyAlignment="1">
      <alignment horizontal="left" wrapText="1" indent="3"/>
    </xf>
    <xf numFmtId="164" fontId="116" fillId="0" borderId="87" xfId="7" applyNumberFormat="1" applyFont="1" applyFill="1" applyBorder="1" applyAlignment="1">
      <alignment horizontal="left" wrapText="1" indent="2"/>
    </xf>
    <xf numFmtId="164" fontId="116" fillId="0" borderId="87" xfId="7" applyNumberFormat="1" applyFont="1" applyFill="1" applyBorder="1" applyAlignment="1">
      <alignment horizontal="left" wrapText="1" indent="1"/>
    </xf>
    <xf numFmtId="49" fontId="116" fillId="0" borderId="87" xfId="0" applyNumberFormat="1" applyFont="1" applyBorder="1" applyAlignment="1">
      <alignment horizontal="center" vertical="center" wrapText="1"/>
    </xf>
    <xf numFmtId="0" fontId="116" fillId="0" borderId="7" xfId="0" applyFont="1" applyBorder="1" applyAlignment="1">
      <alignment wrapText="1"/>
    </xf>
    <xf numFmtId="0" fontId="122" fillId="0" borderId="87" xfId="13" applyFont="1" applyBorder="1" applyAlignment="1" applyProtection="1">
      <alignment horizontal="left" vertical="center" wrapText="1"/>
      <protection locked="0"/>
    </xf>
    <xf numFmtId="0" fontId="116" fillId="0" borderId="0" xfId="0" applyFont="1" applyAlignment="1">
      <alignment horizontal="left" vertical="top" wrapText="1"/>
    </xf>
    <xf numFmtId="164" fontId="115" fillId="0" borderId="87" xfId="7" applyNumberFormat="1" applyFont="1" applyFill="1" applyBorder="1" applyAlignment="1">
      <alignment horizontal="left" vertical="center" wrapText="1"/>
    </xf>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7" applyNumberFormat="1" applyFont="1" applyFill="1" applyBorder="1" applyAlignment="1">
      <alignment horizontal="left" vertical="center" wrapText="1"/>
    </xf>
    <xf numFmtId="0" fontId="0" fillId="0" borderId="7" xfId="0" applyBorder="1"/>
    <xf numFmtId="0" fontId="124" fillId="0" borderId="87" xfId="0" applyFont="1" applyBorder="1" applyAlignment="1">
      <alignment horizontal="left" indent="2"/>
    </xf>
    <xf numFmtId="0" fontId="126" fillId="0" borderId="122" xfId="0" applyFont="1" applyBorder="1" applyAlignment="1">
      <alignment vertical="center" wrapText="1" readingOrder="1"/>
    </xf>
    <xf numFmtId="0" fontId="126" fillId="0" borderId="123" xfId="0" applyFont="1" applyBorder="1" applyAlignment="1">
      <alignment vertical="center" wrapText="1" readingOrder="1"/>
    </xf>
    <xf numFmtId="0" fontId="126" fillId="0" borderId="123" xfId="0" applyFont="1" applyBorder="1" applyAlignment="1">
      <alignment horizontal="left" vertical="center" wrapText="1" indent="1" readingOrder="1"/>
    </xf>
    <xf numFmtId="0" fontId="124" fillId="0" borderId="82" xfId="0" applyFont="1" applyBorder="1" applyAlignment="1">
      <alignment horizontal="left" indent="2"/>
    </xf>
    <xf numFmtId="0" fontId="126" fillId="0" borderId="124" xfId="0" applyFont="1" applyBorder="1" applyAlignment="1">
      <alignment vertical="center" wrapText="1" readingOrder="1"/>
    </xf>
    <xf numFmtId="0" fontId="127" fillId="0" borderId="87" xfId="0" applyFont="1" applyBorder="1" applyAlignment="1">
      <alignment vertical="center" wrapText="1" readingOrder="1"/>
    </xf>
    <xf numFmtId="0" fontId="124" fillId="0" borderId="87" xfId="0" applyFont="1" applyBorder="1" applyAlignment="1">
      <alignment horizontal="left" indent="3"/>
    </xf>
    <xf numFmtId="164" fontId="124" fillId="0" borderId="87" xfId="7" applyNumberFormat="1" applyFont="1" applyBorder="1"/>
    <xf numFmtId="164" fontId="128" fillId="0" borderId="87" xfId="7" applyNumberFormat="1" applyFont="1" applyBorder="1"/>
    <xf numFmtId="165" fontId="124" fillId="0" borderId="87" xfId="20961" applyNumberFormat="1" applyFont="1" applyBorder="1"/>
    <xf numFmtId="165" fontId="128" fillId="0" borderId="87" xfId="20961" applyNumberFormat="1" applyFont="1" applyBorder="1"/>
    <xf numFmtId="43" fontId="116" fillId="0" borderId="0" xfId="0" applyNumberFormat="1" applyFont="1"/>
    <xf numFmtId="167" fontId="129" fillId="36" borderId="125" xfId="0" applyNumberFormat="1" applyFont="1" applyFill="1" applyBorder="1" applyAlignment="1">
      <alignment horizontal="center"/>
    </xf>
    <xf numFmtId="164" fontId="28" fillId="37" borderId="87" xfId="7" applyNumberFormat="1" applyFont="1" applyFill="1" applyBorder="1"/>
    <xf numFmtId="164" fontId="28" fillId="37" borderId="28" xfId="7" applyNumberFormat="1" applyFont="1" applyFill="1" applyBorder="1"/>
    <xf numFmtId="164" fontId="28" fillId="37" borderId="99" xfId="7" applyNumberFormat="1" applyFont="1" applyFill="1" applyBorder="1"/>
    <xf numFmtId="164" fontId="28" fillId="37" borderId="105" xfId="7" applyNumberFormat="1" applyFont="1" applyFill="1" applyBorder="1"/>
    <xf numFmtId="10" fontId="6" fillId="0" borderId="27" xfId="20961" applyNumberFormat="1" applyFont="1" applyBorder="1"/>
    <xf numFmtId="10" fontId="17" fillId="0" borderId="27" xfId="20961" applyNumberFormat="1" applyFont="1" applyFill="1" applyBorder="1" applyAlignment="1" applyProtection="1">
      <alignment vertical="center"/>
      <protection locked="0"/>
    </xf>
    <xf numFmtId="164" fontId="116" fillId="0" borderId="0" xfId="0" applyNumberFormat="1" applyFont="1" applyAlignment="1">
      <alignment horizontal="left"/>
    </xf>
    <xf numFmtId="164" fontId="116" fillId="0" borderId="0" xfId="0" applyNumberFormat="1" applyFont="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xf>
    <xf numFmtId="0" fontId="4" fillId="0" borderId="24" xfId="0" applyFont="1" applyBorder="1" applyAlignment="1">
      <alignment horizontal="center"/>
    </xf>
    <xf numFmtId="0" fontId="6" fillId="36" borderId="10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2" xfId="0" applyFont="1" applyBorder="1" applyAlignment="1">
      <alignment horizontal="center" vertical="center" wrapText="1"/>
    </xf>
    <xf numFmtId="0" fontId="118" fillId="0" borderId="109" xfId="0" applyFont="1" applyBorder="1" applyAlignment="1">
      <alignment horizontal="left" vertical="center" wrapText="1"/>
    </xf>
    <xf numFmtId="0" fontId="118" fillId="0" borderId="110" xfId="0" applyFont="1" applyBorder="1" applyAlignment="1">
      <alignment horizontal="left" vertical="center" wrapText="1"/>
    </xf>
    <xf numFmtId="0" fontId="118" fillId="0" borderId="112"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5" xfId="0" applyFont="1" applyBorder="1" applyAlignment="1">
      <alignment horizontal="left" vertical="center" wrapText="1"/>
    </xf>
    <xf numFmtId="0" fontId="118" fillId="0" borderId="116" xfId="0" applyFont="1" applyBorder="1" applyAlignment="1">
      <alignment horizontal="left" vertical="center" wrapText="1"/>
    </xf>
    <xf numFmtId="0" fontId="119" fillId="0" borderId="83" xfId="0" applyFont="1" applyBorder="1" applyAlignment="1">
      <alignment horizontal="center" vertical="center" wrapText="1"/>
    </xf>
    <xf numFmtId="0" fontId="119" fillId="0" borderId="101" xfId="0" applyFont="1" applyBorder="1" applyAlignment="1">
      <alignment horizontal="center" vertical="center" wrapText="1"/>
    </xf>
    <xf numFmtId="0" fontId="119" fillId="0" borderId="111"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4"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Border="1" applyAlignment="1">
      <alignment horizontal="center" vertical="center"/>
    </xf>
    <xf numFmtId="0" fontId="123" fillId="0" borderId="83" xfId="0" applyFont="1" applyBorder="1" applyAlignment="1">
      <alignment horizontal="center" vertical="center"/>
    </xf>
    <xf numFmtId="0" fontId="123" fillId="0" borderId="111"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7"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118" xfId="0" applyFont="1" applyBorder="1" applyAlignment="1">
      <alignment horizontal="center" vertical="center" wrapText="1"/>
    </xf>
    <xf numFmtId="0" fontId="116" fillId="0" borderId="8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86" xfId="0" applyFont="1" applyBorder="1" applyAlignment="1">
      <alignment horizontal="center" vertical="center" wrapText="1"/>
    </xf>
    <xf numFmtId="0" fontId="119" fillId="0" borderId="11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19"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0" xfId="0" applyFont="1" applyAlignment="1">
      <alignment horizontal="center" vertical="center" wrapText="1"/>
    </xf>
    <xf numFmtId="0" fontId="116" fillId="0" borderId="118"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Font="1" applyBorder="1" applyAlignment="1">
      <alignment horizontal="left" vertical="top" wrapText="1"/>
    </xf>
    <xf numFmtId="0" fontId="118" fillId="0" borderId="111" xfId="0" applyFont="1" applyBorder="1" applyAlignment="1">
      <alignment horizontal="left" vertical="top" wrapText="1"/>
    </xf>
    <xf numFmtId="0" fontId="118" fillId="0" borderId="117" xfId="0" applyFont="1" applyBorder="1" applyAlignment="1">
      <alignment horizontal="left" vertical="top" wrapText="1"/>
    </xf>
    <xf numFmtId="0" fontId="118" fillId="0" borderId="118"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3" xfId="0" applyFont="1" applyBorder="1" applyAlignment="1">
      <alignment horizontal="center" vertical="center"/>
    </xf>
    <xf numFmtId="0" fontId="116" fillId="0" borderId="101" xfId="0" applyFont="1" applyBorder="1" applyAlignment="1">
      <alignment horizontal="center" vertical="center"/>
    </xf>
    <xf numFmtId="0" fontId="116" fillId="0" borderId="111" xfId="0" applyFont="1" applyBorder="1" applyAlignment="1">
      <alignment horizontal="center" vertical="center"/>
    </xf>
    <xf numFmtId="0" fontId="116" fillId="0" borderId="83" xfId="0" applyFont="1" applyBorder="1" applyAlignment="1">
      <alignment horizontal="center" vertical="center" wrapText="1"/>
    </xf>
    <xf numFmtId="0" fontId="116" fillId="0" borderId="101"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83" xfId="0" applyFont="1" applyBorder="1" applyAlignment="1">
      <alignment horizontal="center" vertical="top" wrapText="1"/>
    </xf>
    <xf numFmtId="0" fontId="116" fillId="0" borderId="101" xfId="0" applyFont="1" applyBorder="1" applyAlignment="1">
      <alignment horizontal="center" vertical="top" wrapText="1"/>
    </xf>
    <xf numFmtId="0" fontId="116" fillId="0" borderId="111" xfId="0" applyFont="1" applyBorder="1" applyAlignment="1">
      <alignment horizontal="center" vertical="top" wrapText="1"/>
    </xf>
    <xf numFmtId="0" fontId="116" fillId="0" borderId="85" xfId="0" applyFont="1" applyBorder="1" applyAlignment="1">
      <alignment horizontal="center" vertical="top" wrapText="1"/>
    </xf>
    <xf numFmtId="0" fontId="116" fillId="0" borderId="86" xfId="0" applyFont="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20" xfId="0" applyFont="1" applyBorder="1" applyAlignment="1">
      <alignment horizontal="left" vertical="top" wrapText="1"/>
    </xf>
    <xf numFmtId="0" fontId="118" fillId="0" borderId="121" xfId="0" applyFont="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C8" sqref="C8"/>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0" t="s">
        <v>254</v>
      </c>
      <c r="C1" s="84"/>
    </row>
    <row r="2" spans="1:3" s="167" customFormat="1" ht="15.75">
      <c r="A2" s="211">
        <v>1</v>
      </c>
      <c r="B2" s="168" t="s">
        <v>255</v>
      </c>
      <c r="C2" s="166" t="s">
        <v>742</v>
      </c>
    </row>
    <row r="3" spans="1:3" s="167" customFormat="1" ht="15.75">
      <c r="A3" s="211">
        <v>2</v>
      </c>
      <c r="B3" s="169" t="s">
        <v>256</v>
      </c>
      <c r="C3" s="166" t="s">
        <v>743</v>
      </c>
    </row>
    <row r="4" spans="1:3" s="167" customFormat="1" ht="15.75">
      <c r="A4" s="211">
        <v>3</v>
      </c>
      <c r="B4" s="169" t="s">
        <v>257</v>
      </c>
      <c r="C4" s="166" t="s">
        <v>744</v>
      </c>
    </row>
    <row r="5" spans="1:3" s="167" customFormat="1" ht="15.75">
      <c r="A5" s="212">
        <v>4</v>
      </c>
      <c r="B5" s="172" t="s">
        <v>258</v>
      </c>
      <c r="C5" s="359" t="s">
        <v>745</v>
      </c>
    </row>
    <row r="6" spans="1:3" s="171" customFormat="1" ht="65.25" customHeight="1">
      <c r="A6" s="622" t="s">
        <v>373</v>
      </c>
      <c r="B6" s="623"/>
      <c r="C6" s="623"/>
    </row>
    <row r="7" spans="1:3">
      <c r="A7" s="353" t="s">
        <v>327</v>
      </c>
      <c r="B7" s="354" t="s">
        <v>259</v>
      </c>
    </row>
    <row r="8" spans="1:3">
      <c r="A8" s="355">
        <v>1</v>
      </c>
      <c r="B8" s="351" t="s">
        <v>223</v>
      </c>
    </row>
    <row r="9" spans="1:3">
      <c r="A9" s="355">
        <v>2</v>
      </c>
      <c r="B9" s="351" t="s">
        <v>260</v>
      </c>
    </row>
    <row r="10" spans="1:3">
      <c r="A10" s="355">
        <v>3</v>
      </c>
      <c r="B10" s="351" t="s">
        <v>261</v>
      </c>
    </row>
    <row r="11" spans="1:3">
      <c r="A11" s="355">
        <v>4</v>
      </c>
      <c r="B11" s="351" t="s">
        <v>262</v>
      </c>
    </row>
    <row r="12" spans="1:3">
      <c r="A12" s="355">
        <v>5</v>
      </c>
      <c r="B12" s="351" t="s">
        <v>187</v>
      </c>
    </row>
    <row r="13" spans="1:3">
      <c r="A13" s="355">
        <v>6</v>
      </c>
      <c r="B13" s="356" t="s">
        <v>149</v>
      </c>
    </row>
    <row r="14" spans="1:3">
      <c r="A14" s="355">
        <v>7</v>
      </c>
      <c r="B14" s="351" t="s">
        <v>263</v>
      </c>
    </row>
    <row r="15" spans="1:3">
      <c r="A15" s="355">
        <v>8</v>
      </c>
      <c r="B15" s="351" t="s">
        <v>266</v>
      </c>
    </row>
    <row r="16" spans="1:3">
      <c r="A16" s="355">
        <v>9</v>
      </c>
      <c r="B16" s="351" t="s">
        <v>88</v>
      </c>
    </row>
    <row r="17" spans="1:2">
      <c r="A17" s="357" t="s">
        <v>420</v>
      </c>
      <c r="B17" s="351" t="s">
        <v>400</v>
      </c>
    </row>
    <row r="18" spans="1:2">
      <c r="A18" s="355">
        <v>10</v>
      </c>
      <c r="B18" s="351" t="s">
        <v>269</v>
      </c>
    </row>
    <row r="19" spans="1:2">
      <c r="A19" s="355">
        <v>11</v>
      </c>
      <c r="B19" s="356" t="s">
        <v>250</v>
      </c>
    </row>
    <row r="20" spans="1:2">
      <c r="A20" s="355">
        <v>12</v>
      </c>
      <c r="B20" s="356" t="s">
        <v>247</v>
      </c>
    </row>
    <row r="21" spans="1:2">
      <c r="A21" s="355">
        <v>13</v>
      </c>
      <c r="B21" s="358" t="s">
        <v>363</v>
      </c>
    </row>
    <row r="22" spans="1:2">
      <c r="A22" s="355">
        <v>14</v>
      </c>
      <c r="B22" s="359" t="s">
        <v>394</v>
      </c>
    </row>
    <row r="23" spans="1:2">
      <c r="A23" s="355">
        <v>15</v>
      </c>
      <c r="B23" s="356" t="s">
        <v>77</v>
      </c>
    </row>
    <row r="24" spans="1:2">
      <c r="A24" s="355">
        <v>15.1</v>
      </c>
      <c r="B24" s="351" t="s">
        <v>429</v>
      </c>
    </row>
    <row r="25" spans="1:2">
      <c r="A25" s="355">
        <v>16</v>
      </c>
      <c r="B25" s="351" t="s">
        <v>497</v>
      </c>
    </row>
    <row r="26" spans="1:2">
      <c r="A26" s="355">
        <v>17</v>
      </c>
      <c r="B26" s="351" t="s">
        <v>706</v>
      </c>
    </row>
    <row r="27" spans="1:2">
      <c r="A27" s="355">
        <v>18</v>
      </c>
      <c r="B27" s="351" t="s">
        <v>707</v>
      </c>
    </row>
    <row r="28" spans="1:2">
      <c r="A28" s="355">
        <v>19</v>
      </c>
      <c r="B28" s="351" t="s">
        <v>708</v>
      </c>
    </row>
    <row r="29" spans="1:2">
      <c r="A29" s="355">
        <v>20</v>
      </c>
      <c r="B29" s="359" t="s">
        <v>592</v>
      </c>
    </row>
    <row r="30" spans="1:2">
      <c r="A30" s="355">
        <v>21</v>
      </c>
      <c r="B30" s="351" t="s">
        <v>610</v>
      </c>
    </row>
    <row r="31" spans="1:2">
      <c r="A31" s="355">
        <v>22</v>
      </c>
      <c r="B31" s="525" t="s">
        <v>627</v>
      </c>
    </row>
    <row r="32" spans="1:2" ht="26.25">
      <c r="A32" s="355">
        <v>23</v>
      </c>
      <c r="B32" s="525" t="s">
        <v>709</v>
      </c>
    </row>
    <row r="33" spans="1:2">
      <c r="A33" s="355">
        <v>24</v>
      </c>
      <c r="B33" s="351" t="s">
        <v>710</v>
      </c>
    </row>
    <row r="34" spans="1:2">
      <c r="A34" s="355">
        <v>25</v>
      </c>
      <c r="B34" s="351" t="s">
        <v>711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6" sqref="C46"/>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35">
        <f>'1. key ratios'!B2</f>
        <v>44742</v>
      </c>
    </row>
    <row r="3" spans="1:6" s="14" customFormat="1" ht="15.75" customHeight="1"/>
    <row r="4" spans="1:6" ht="15.75" thickBot="1">
      <c r="A4" s="1" t="s">
        <v>336</v>
      </c>
      <c r="B4" s="52" t="s">
        <v>88</v>
      </c>
    </row>
    <row r="5" spans="1:6">
      <c r="A5" s="123" t="s">
        <v>26</v>
      </c>
      <c r="B5" s="124"/>
      <c r="C5" s="125" t="s">
        <v>27</v>
      </c>
    </row>
    <row r="6" spans="1:6">
      <c r="A6" s="126">
        <v>1</v>
      </c>
      <c r="B6" s="73" t="s">
        <v>28</v>
      </c>
      <c r="C6" s="249">
        <f>SUM(C7:C11)</f>
        <v>170832384.98999986</v>
      </c>
    </row>
    <row r="7" spans="1:6">
      <c r="A7" s="126">
        <v>2</v>
      </c>
      <c r="B7" s="70" t="s">
        <v>29</v>
      </c>
      <c r="C7" s="250">
        <v>121372000.00000001</v>
      </c>
    </row>
    <row r="8" spans="1:6">
      <c r="A8" s="126">
        <v>3</v>
      </c>
      <c r="B8" s="65" t="s">
        <v>30</v>
      </c>
      <c r="C8" s="250">
        <v>0</v>
      </c>
    </row>
    <row r="9" spans="1:6">
      <c r="A9" s="126">
        <v>4</v>
      </c>
      <c r="B9" s="65" t="s">
        <v>31</v>
      </c>
      <c r="C9" s="250">
        <v>0</v>
      </c>
    </row>
    <row r="10" spans="1:6">
      <c r="A10" s="126">
        <v>5</v>
      </c>
      <c r="B10" s="65" t="s">
        <v>32</v>
      </c>
      <c r="C10" s="250">
        <v>0</v>
      </c>
    </row>
    <row r="11" spans="1:6">
      <c r="A11" s="126">
        <v>6</v>
      </c>
      <c r="B11" s="71" t="s">
        <v>33</v>
      </c>
      <c r="C11" s="250">
        <v>49460384.989999846</v>
      </c>
    </row>
    <row r="12" spans="1:6" s="2" customFormat="1">
      <c r="A12" s="126">
        <v>7</v>
      </c>
      <c r="B12" s="73" t="s">
        <v>34</v>
      </c>
      <c r="C12" s="251">
        <f>SUM(C13:C27)</f>
        <v>23650896</v>
      </c>
    </row>
    <row r="13" spans="1:6" s="2" customFormat="1">
      <c r="A13" s="126">
        <v>8</v>
      </c>
      <c r="B13" s="72" t="s">
        <v>35</v>
      </c>
      <c r="C13" s="252">
        <v>0</v>
      </c>
    </row>
    <row r="14" spans="1:6" s="2" customFormat="1" ht="25.5">
      <c r="A14" s="126">
        <v>9</v>
      </c>
      <c r="B14" s="66" t="s">
        <v>36</v>
      </c>
      <c r="C14" s="252">
        <v>0</v>
      </c>
    </row>
    <row r="15" spans="1:6" s="2" customFormat="1">
      <c r="A15" s="126">
        <v>10</v>
      </c>
      <c r="B15" s="67" t="s">
        <v>37</v>
      </c>
      <c r="C15" s="252">
        <v>23650896</v>
      </c>
    </row>
    <row r="16" spans="1:6" s="2" customFormat="1">
      <c r="A16" s="126">
        <v>11</v>
      </c>
      <c r="B16" s="68" t="s">
        <v>38</v>
      </c>
      <c r="C16" s="252">
        <v>0</v>
      </c>
    </row>
    <row r="17" spans="1:3" s="2" customFormat="1">
      <c r="A17" s="126">
        <v>12</v>
      </c>
      <c r="B17" s="67" t="s">
        <v>39</v>
      </c>
      <c r="C17" s="252">
        <v>0</v>
      </c>
    </row>
    <row r="18" spans="1:3" s="2" customFormat="1">
      <c r="A18" s="126">
        <v>13</v>
      </c>
      <c r="B18" s="67" t="s">
        <v>40</v>
      </c>
      <c r="C18" s="252">
        <v>0</v>
      </c>
    </row>
    <row r="19" spans="1:3" s="2" customFormat="1">
      <c r="A19" s="126">
        <v>14</v>
      </c>
      <c r="B19" s="67" t="s">
        <v>41</v>
      </c>
      <c r="C19" s="252">
        <v>0</v>
      </c>
    </row>
    <row r="20" spans="1:3" s="2" customFormat="1" ht="25.5">
      <c r="A20" s="126">
        <v>15</v>
      </c>
      <c r="B20" s="67" t="s">
        <v>42</v>
      </c>
      <c r="C20" s="252">
        <v>0</v>
      </c>
    </row>
    <row r="21" spans="1:3" s="2" customFormat="1" ht="25.5">
      <c r="A21" s="126">
        <v>16</v>
      </c>
      <c r="B21" s="66" t="s">
        <v>43</v>
      </c>
      <c r="C21" s="252">
        <v>0</v>
      </c>
    </row>
    <row r="22" spans="1:3" s="2" customFormat="1">
      <c r="A22" s="126">
        <v>17</v>
      </c>
      <c r="B22" s="127" t="s">
        <v>44</v>
      </c>
      <c r="C22" s="252">
        <v>0</v>
      </c>
    </row>
    <row r="23" spans="1:3" s="2" customFormat="1" ht="25.5">
      <c r="A23" s="126">
        <v>18</v>
      </c>
      <c r="B23" s="66" t="s">
        <v>45</v>
      </c>
      <c r="C23" s="252">
        <v>0</v>
      </c>
    </row>
    <row r="24" spans="1:3" s="2" customFormat="1" ht="25.5">
      <c r="A24" s="126">
        <v>19</v>
      </c>
      <c r="B24" s="66" t="s">
        <v>46</v>
      </c>
      <c r="C24" s="252">
        <v>0</v>
      </c>
    </row>
    <row r="25" spans="1:3" s="2" customFormat="1" ht="25.5">
      <c r="A25" s="126">
        <v>20</v>
      </c>
      <c r="B25" s="68" t="s">
        <v>47</v>
      </c>
      <c r="C25" s="252">
        <v>0</v>
      </c>
    </row>
    <row r="26" spans="1:3" s="2" customFormat="1">
      <c r="A26" s="126">
        <v>21</v>
      </c>
      <c r="B26" s="68" t="s">
        <v>48</v>
      </c>
      <c r="C26" s="252">
        <v>0</v>
      </c>
    </row>
    <row r="27" spans="1:3" s="2" customFormat="1" ht="25.5">
      <c r="A27" s="126">
        <v>22</v>
      </c>
      <c r="B27" s="68" t="s">
        <v>49</v>
      </c>
      <c r="C27" s="252">
        <v>0</v>
      </c>
    </row>
    <row r="28" spans="1:3" s="2" customFormat="1">
      <c r="A28" s="126">
        <v>23</v>
      </c>
      <c r="B28" s="74" t="s">
        <v>23</v>
      </c>
      <c r="C28" s="251">
        <f>C6-C12</f>
        <v>147181488.98999986</v>
      </c>
    </row>
    <row r="29" spans="1:3" s="2" customFormat="1">
      <c r="A29" s="128"/>
      <c r="B29" s="69"/>
      <c r="C29" s="252"/>
    </row>
    <row r="30" spans="1:3" s="2" customFormat="1">
      <c r="A30" s="128">
        <v>24</v>
      </c>
      <c r="B30" s="74" t="s">
        <v>50</v>
      </c>
      <c r="C30" s="251">
        <f>C31+C34</f>
        <v>0</v>
      </c>
    </row>
    <row r="31" spans="1:3" s="2" customFormat="1">
      <c r="A31" s="128">
        <v>25</v>
      </c>
      <c r="B31" s="65" t="s">
        <v>51</v>
      </c>
      <c r="C31" s="253">
        <f>C32+C33</f>
        <v>0</v>
      </c>
    </row>
    <row r="32" spans="1:3" s="2" customFormat="1">
      <c r="A32" s="128">
        <v>26</v>
      </c>
      <c r="B32" s="164" t="s">
        <v>52</v>
      </c>
      <c r="C32" s="252">
        <v>0</v>
      </c>
    </row>
    <row r="33" spans="1:3" s="2" customFormat="1">
      <c r="A33" s="128">
        <v>27</v>
      </c>
      <c r="B33" s="164" t="s">
        <v>53</v>
      </c>
      <c r="C33" s="252">
        <v>0</v>
      </c>
    </row>
    <row r="34" spans="1:3" s="2" customFormat="1">
      <c r="A34" s="128">
        <v>28</v>
      </c>
      <c r="B34" s="65" t="s">
        <v>54</v>
      </c>
      <c r="C34" s="252">
        <v>0</v>
      </c>
    </row>
    <row r="35" spans="1:3" s="2" customFormat="1">
      <c r="A35" s="128">
        <v>29</v>
      </c>
      <c r="B35" s="74" t="s">
        <v>55</v>
      </c>
      <c r="C35" s="251">
        <f>SUM(C36:C40)</f>
        <v>0</v>
      </c>
    </row>
    <row r="36" spans="1:3" s="2" customFormat="1">
      <c r="A36" s="128">
        <v>30</v>
      </c>
      <c r="B36" s="66" t="s">
        <v>56</v>
      </c>
      <c r="C36" s="252">
        <v>0</v>
      </c>
    </row>
    <row r="37" spans="1:3" s="2" customFormat="1">
      <c r="A37" s="128">
        <v>31</v>
      </c>
      <c r="B37" s="67" t="s">
        <v>57</v>
      </c>
      <c r="C37" s="252">
        <v>0</v>
      </c>
    </row>
    <row r="38" spans="1:3" s="2" customFormat="1" ht="25.5">
      <c r="A38" s="128">
        <v>32</v>
      </c>
      <c r="B38" s="66" t="s">
        <v>58</v>
      </c>
      <c r="C38" s="252">
        <v>0</v>
      </c>
    </row>
    <row r="39" spans="1:3" s="2" customFormat="1" ht="25.5">
      <c r="A39" s="128">
        <v>33</v>
      </c>
      <c r="B39" s="66" t="s">
        <v>46</v>
      </c>
      <c r="C39" s="252">
        <v>0</v>
      </c>
    </row>
    <row r="40" spans="1:3" s="2" customFormat="1" ht="25.5">
      <c r="A40" s="128">
        <v>34</v>
      </c>
      <c r="B40" s="68" t="s">
        <v>59</v>
      </c>
      <c r="C40" s="252">
        <v>0</v>
      </c>
    </row>
    <row r="41" spans="1:3" s="2" customFormat="1">
      <c r="A41" s="128">
        <v>35</v>
      </c>
      <c r="B41" s="74" t="s">
        <v>24</v>
      </c>
      <c r="C41" s="251">
        <f>C30-C35</f>
        <v>0</v>
      </c>
    </row>
    <row r="42" spans="1:3" s="2" customFormat="1">
      <c r="A42" s="128"/>
      <c r="B42" s="69"/>
      <c r="C42" s="252"/>
    </row>
    <row r="43" spans="1:3" s="2" customFormat="1">
      <c r="A43" s="128">
        <v>36</v>
      </c>
      <c r="B43" s="75" t="s">
        <v>60</v>
      </c>
      <c r="C43" s="251">
        <f>SUM(C44:C46)</f>
        <v>53924921.284104608</v>
      </c>
    </row>
    <row r="44" spans="1:3" s="2" customFormat="1">
      <c r="A44" s="128">
        <v>37</v>
      </c>
      <c r="B44" s="65" t="s">
        <v>61</v>
      </c>
      <c r="C44" s="252">
        <v>40809879.549999997</v>
      </c>
    </row>
    <row r="45" spans="1:3" s="2" customFormat="1">
      <c r="A45" s="128">
        <v>38</v>
      </c>
      <c r="B45" s="65" t="s">
        <v>62</v>
      </c>
      <c r="C45" s="252">
        <v>0</v>
      </c>
    </row>
    <row r="46" spans="1:3" s="2" customFormat="1">
      <c r="A46" s="128">
        <v>39</v>
      </c>
      <c r="B46" s="65" t="s">
        <v>63</v>
      </c>
      <c r="C46" s="252">
        <v>13115041.734104611</v>
      </c>
    </row>
    <row r="47" spans="1:3" s="2" customFormat="1">
      <c r="A47" s="128">
        <v>40</v>
      </c>
      <c r="B47" s="75" t="s">
        <v>64</v>
      </c>
      <c r="C47" s="251">
        <f>SUM(C48:C51)</f>
        <v>0</v>
      </c>
    </row>
    <row r="48" spans="1:3" s="2" customFormat="1">
      <c r="A48" s="128">
        <v>41</v>
      </c>
      <c r="B48" s="66" t="s">
        <v>65</v>
      </c>
      <c r="C48" s="252">
        <v>0</v>
      </c>
    </row>
    <row r="49" spans="1:3" s="2" customFormat="1">
      <c r="A49" s="128">
        <v>42</v>
      </c>
      <c r="B49" s="67" t="s">
        <v>66</v>
      </c>
      <c r="C49" s="252">
        <v>0</v>
      </c>
    </row>
    <row r="50" spans="1:3" s="2" customFormat="1" ht="25.5">
      <c r="A50" s="128">
        <v>43</v>
      </c>
      <c r="B50" s="66" t="s">
        <v>67</v>
      </c>
      <c r="C50" s="252">
        <v>0</v>
      </c>
    </row>
    <row r="51" spans="1:3" s="2" customFormat="1" ht="25.5">
      <c r="A51" s="128">
        <v>44</v>
      </c>
      <c r="B51" s="66" t="s">
        <v>46</v>
      </c>
      <c r="C51" s="252">
        <v>0</v>
      </c>
    </row>
    <row r="52" spans="1:3" s="2" customFormat="1" ht="15.75" thickBot="1">
      <c r="A52" s="129">
        <v>45</v>
      </c>
      <c r="B52" s="130" t="s">
        <v>25</v>
      </c>
      <c r="C52" s="254">
        <f>C43-C47</f>
        <v>53924921.284104608</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35">
        <f>'1. key ratios'!B2</f>
        <v>44742</v>
      </c>
    </row>
    <row r="3" spans="1:4" s="14" customFormat="1" ht="15.75" customHeight="1"/>
    <row r="4" spans="1:4" ht="13.5" thickBot="1">
      <c r="A4" s="1" t="s">
        <v>399</v>
      </c>
      <c r="B4" s="340" t="s">
        <v>400</v>
      </c>
    </row>
    <row r="5" spans="1:4" s="60" customFormat="1">
      <c r="A5" s="641" t="s">
        <v>401</v>
      </c>
      <c r="B5" s="642"/>
      <c r="C5" s="330" t="s">
        <v>402</v>
      </c>
      <c r="D5" s="331" t="s">
        <v>403</v>
      </c>
    </row>
    <row r="6" spans="1:4" s="341" customFormat="1">
      <c r="A6" s="332">
        <v>1</v>
      </c>
      <c r="B6" s="333" t="s">
        <v>404</v>
      </c>
      <c r="C6" s="333"/>
      <c r="D6" s="334"/>
    </row>
    <row r="7" spans="1:4" s="341" customFormat="1">
      <c r="A7" s="335" t="s">
        <v>405</v>
      </c>
      <c r="B7" s="336" t="s">
        <v>406</v>
      </c>
      <c r="C7" s="390">
        <v>4.4999999999999998E-2</v>
      </c>
      <c r="D7" s="385">
        <f>C7*'5. RWA'!$C$13</f>
        <v>52749257.566145346</v>
      </c>
    </row>
    <row r="8" spans="1:4" s="341" customFormat="1">
      <c r="A8" s="335" t="s">
        <v>407</v>
      </c>
      <c r="B8" s="336" t="s">
        <v>408</v>
      </c>
      <c r="C8" s="391">
        <v>0.06</v>
      </c>
      <c r="D8" s="385">
        <f>C8*'5. RWA'!$C$13</f>
        <v>70332343.421527132</v>
      </c>
    </row>
    <row r="9" spans="1:4" s="341" customFormat="1">
      <c r="A9" s="335" t="s">
        <v>409</v>
      </c>
      <c r="B9" s="336" t="s">
        <v>410</v>
      </c>
      <c r="C9" s="391">
        <v>0.08</v>
      </c>
      <c r="D9" s="385">
        <f>C9*'5. RWA'!$C$13</f>
        <v>93776457.895369515</v>
      </c>
    </row>
    <row r="10" spans="1:4" s="341" customFormat="1">
      <c r="A10" s="332" t="s">
        <v>411</v>
      </c>
      <c r="B10" s="333" t="s">
        <v>412</v>
      </c>
      <c r="C10" s="392"/>
      <c r="D10" s="386"/>
    </row>
    <row r="11" spans="1:4" s="342" customFormat="1">
      <c r="A11" s="337" t="s">
        <v>413</v>
      </c>
      <c r="B11" s="338" t="s">
        <v>475</v>
      </c>
      <c r="C11" s="393">
        <v>0</v>
      </c>
      <c r="D11" s="539">
        <f>C11*'5. RWA'!$C$13</f>
        <v>0</v>
      </c>
    </row>
    <row r="12" spans="1:4" s="342" customFormat="1">
      <c r="A12" s="337" t="s">
        <v>414</v>
      </c>
      <c r="B12" s="338" t="s">
        <v>415</v>
      </c>
      <c r="C12" s="393">
        <v>0</v>
      </c>
      <c r="D12" s="539">
        <f>C12*'5. RWA'!$C$13</f>
        <v>0</v>
      </c>
    </row>
    <row r="13" spans="1:4" s="342" customFormat="1">
      <c r="A13" s="337" t="s">
        <v>416</v>
      </c>
      <c r="B13" s="338" t="s">
        <v>417</v>
      </c>
      <c r="C13" s="393">
        <v>0</v>
      </c>
      <c r="D13" s="539">
        <f>C13*'5. RWA'!$C$13</f>
        <v>0</v>
      </c>
    </row>
    <row r="14" spans="1:4" s="341" customFormat="1">
      <c r="A14" s="332" t="s">
        <v>418</v>
      </c>
      <c r="B14" s="333" t="s">
        <v>473</v>
      </c>
      <c r="C14" s="394"/>
      <c r="D14" s="386"/>
    </row>
    <row r="15" spans="1:4" s="341" customFormat="1">
      <c r="A15" s="352" t="s">
        <v>421</v>
      </c>
      <c r="B15" s="338" t="s">
        <v>474</v>
      </c>
      <c r="C15" s="393">
        <v>2.1084073984898734E-2</v>
      </c>
      <c r="D15" s="387">
        <f>C15*'5. RWA'!$C$13</f>
        <v>24714872.203846399</v>
      </c>
    </row>
    <row r="16" spans="1:4" s="341" customFormat="1">
      <c r="A16" s="352" t="s">
        <v>422</v>
      </c>
      <c r="B16" s="338" t="s">
        <v>424</v>
      </c>
      <c r="C16" s="393">
        <v>2.8139242867568751E-2</v>
      </c>
      <c r="D16" s="387">
        <f>C16*'5. RWA'!$C$13</f>
        <v>32984981.549726721</v>
      </c>
    </row>
    <row r="17" spans="1:4" s="341" customFormat="1">
      <c r="A17" s="352" t="s">
        <v>423</v>
      </c>
      <c r="B17" s="338" t="s">
        <v>471</v>
      </c>
      <c r="C17" s="393">
        <v>4.4862921534831096E-2</v>
      </c>
      <c r="D17" s="387">
        <f>C17*'5. RWA'!$C$13</f>
        <v>52588573.404679433</v>
      </c>
    </row>
    <row r="18" spans="1:4" s="60" customFormat="1">
      <c r="A18" s="643" t="s">
        <v>472</v>
      </c>
      <c r="B18" s="644"/>
      <c r="C18" s="395" t="s">
        <v>402</v>
      </c>
      <c r="D18" s="388" t="s">
        <v>403</v>
      </c>
    </row>
    <row r="19" spans="1:4" s="341" customFormat="1">
      <c r="A19" s="339">
        <v>4</v>
      </c>
      <c r="B19" s="338" t="s">
        <v>23</v>
      </c>
      <c r="C19" s="393">
        <f>C7+C11+C12+C13+C15</f>
        <v>6.6084073984898739E-2</v>
      </c>
      <c r="D19" s="385">
        <f>C19*'5. RWA'!$C$13</f>
        <v>77464129.769991755</v>
      </c>
    </row>
    <row r="20" spans="1:4" s="341" customFormat="1">
      <c r="A20" s="339">
        <v>5</v>
      </c>
      <c r="B20" s="338" t="s">
        <v>89</v>
      </c>
      <c r="C20" s="393">
        <f>C8+C11+C12+C13+C16</f>
        <v>8.8139242867568746E-2</v>
      </c>
      <c r="D20" s="385">
        <f>C20*'5. RWA'!$C$13</f>
        <v>103317324.97125384</v>
      </c>
    </row>
    <row r="21" spans="1:4" s="341" customFormat="1" ht="13.5" thickBot="1">
      <c r="A21" s="343" t="s">
        <v>419</v>
      </c>
      <c r="B21" s="344" t="s">
        <v>88</v>
      </c>
      <c r="C21" s="396">
        <f>C9+C11+C12+C13+C17</f>
        <v>0.1248629215348311</v>
      </c>
      <c r="D21" s="389">
        <f>C21*'5. RWA'!$C$13</f>
        <v>146365031.30004895</v>
      </c>
    </row>
    <row r="23" spans="1:4" ht="63.75">
      <c r="B23" s="18"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G36" sqref="G36"/>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35">
        <f>'1. key ratios'!B2</f>
        <v>44742</v>
      </c>
    </row>
    <row r="3" spans="1:6" s="14" customFormat="1" ht="15.75" customHeight="1">
      <c r="A3" s="21"/>
    </row>
    <row r="4" spans="1:6" s="14" customFormat="1" ht="15.75" customHeight="1" thickBot="1">
      <c r="A4" s="14" t="s">
        <v>337</v>
      </c>
      <c r="B4" s="187" t="s">
        <v>269</v>
      </c>
      <c r="D4" s="189" t="s">
        <v>93</v>
      </c>
    </row>
    <row r="5" spans="1:6" ht="38.25">
      <c r="A5" s="141" t="s">
        <v>26</v>
      </c>
      <c r="B5" s="142" t="s">
        <v>231</v>
      </c>
      <c r="C5" s="143" t="s">
        <v>237</v>
      </c>
      <c r="D5" s="188" t="s">
        <v>270</v>
      </c>
    </row>
    <row r="6" spans="1:6">
      <c r="A6" s="131">
        <v>1</v>
      </c>
      <c r="B6" s="76" t="s">
        <v>154</v>
      </c>
      <c r="C6" s="255">
        <v>33683899.900000006</v>
      </c>
      <c r="D6" s="132"/>
      <c r="E6" s="5"/>
    </row>
    <row r="7" spans="1:6">
      <c r="A7" s="131">
        <v>2</v>
      </c>
      <c r="B7" s="77" t="s">
        <v>155</v>
      </c>
      <c r="C7" s="256">
        <v>126868087.36</v>
      </c>
      <c r="D7" s="133"/>
      <c r="E7" s="5"/>
    </row>
    <row r="8" spans="1:6">
      <c r="A8" s="131">
        <v>3</v>
      </c>
      <c r="B8" s="77" t="s">
        <v>156</v>
      </c>
      <c r="C8" s="256">
        <v>9908461.8499999996</v>
      </c>
      <c r="D8" s="133"/>
      <c r="E8" s="5"/>
    </row>
    <row r="9" spans="1:6">
      <c r="A9" s="131">
        <v>4</v>
      </c>
      <c r="B9" s="77" t="s">
        <v>185</v>
      </c>
      <c r="C9" s="256">
        <v>0</v>
      </c>
      <c r="D9" s="133"/>
      <c r="E9" s="5"/>
    </row>
    <row r="10" spans="1:6">
      <c r="A10" s="131">
        <v>5</v>
      </c>
      <c r="B10" s="77" t="s">
        <v>157</v>
      </c>
      <c r="C10" s="256">
        <v>153115320.19999999</v>
      </c>
      <c r="D10" s="133"/>
      <c r="E10" s="5"/>
    </row>
    <row r="11" spans="1:6">
      <c r="A11" s="131">
        <v>6.1</v>
      </c>
      <c r="B11" s="77" t="s">
        <v>158</v>
      </c>
      <c r="C11" s="257">
        <v>1044853951.8300011</v>
      </c>
      <c r="D11" s="134"/>
      <c r="E11" s="6"/>
    </row>
    <row r="12" spans="1:6">
      <c r="A12" s="131">
        <v>6.2</v>
      </c>
      <c r="B12" s="78" t="s">
        <v>159</v>
      </c>
      <c r="C12" s="257">
        <v>-47729652.000000134</v>
      </c>
      <c r="D12" s="134"/>
      <c r="E12" s="6"/>
    </row>
    <row r="13" spans="1:6">
      <c r="A13" s="131" t="s">
        <v>371</v>
      </c>
      <c r="B13" s="79" t="s">
        <v>372</v>
      </c>
      <c r="C13" s="257">
        <v>-17949432.240000077</v>
      </c>
      <c r="D13" s="134"/>
      <c r="E13" s="6"/>
    </row>
    <row r="14" spans="1:6">
      <c r="A14" s="131" t="s">
        <v>495</v>
      </c>
      <c r="B14" s="79" t="s">
        <v>484</v>
      </c>
      <c r="C14" s="257">
        <v>0</v>
      </c>
      <c r="D14" s="134"/>
      <c r="E14" s="6"/>
    </row>
    <row r="15" spans="1:6">
      <c r="A15" s="131">
        <v>6</v>
      </c>
      <c r="B15" s="77" t="s">
        <v>160</v>
      </c>
      <c r="C15" s="263">
        <v>997124299.830001</v>
      </c>
      <c r="D15" s="134"/>
      <c r="E15" s="5"/>
    </row>
    <row r="16" spans="1:6">
      <c r="A16" s="131">
        <v>7</v>
      </c>
      <c r="B16" s="77" t="s">
        <v>161</v>
      </c>
      <c r="C16" s="256">
        <v>12179876.750000024</v>
      </c>
      <c r="D16" s="133"/>
      <c r="E16" s="5"/>
    </row>
    <row r="17" spans="1:5">
      <c r="A17" s="131">
        <v>8</v>
      </c>
      <c r="B17" s="77" t="s">
        <v>162</v>
      </c>
      <c r="C17" s="256">
        <v>4635228.3099999931</v>
      </c>
      <c r="D17" s="133"/>
      <c r="E17" s="5"/>
    </row>
    <row r="18" spans="1:5">
      <c r="A18" s="131">
        <v>9</v>
      </c>
      <c r="B18" s="77" t="s">
        <v>163</v>
      </c>
      <c r="C18" s="256">
        <v>0</v>
      </c>
      <c r="D18" s="133"/>
      <c r="E18" s="5"/>
    </row>
    <row r="19" spans="1:5">
      <c r="A19" s="131">
        <v>9.1</v>
      </c>
      <c r="B19" s="79" t="s">
        <v>246</v>
      </c>
      <c r="C19" s="257">
        <v>0</v>
      </c>
      <c r="D19" s="133"/>
      <c r="E19" s="5"/>
    </row>
    <row r="20" spans="1:5">
      <c r="A20" s="131">
        <v>9.1999999999999993</v>
      </c>
      <c r="B20" s="79" t="s">
        <v>236</v>
      </c>
      <c r="C20" s="257">
        <v>0</v>
      </c>
      <c r="D20" s="133"/>
      <c r="E20" s="5"/>
    </row>
    <row r="21" spans="1:5">
      <c r="A21" s="131">
        <v>9.3000000000000007</v>
      </c>
      <c r="B21" s="79" t="s">
        <v>235</v>
      </c>
      <c r="C21" s="257">
        <v>0</v>
      </c>
      <c r="D21" s="133"/>
      <c r="E21" s="5"/>
    </row>
    <row r="22" spans="1:5">
      <c r="A22" s="131">
        <v>10</v>
      </c>
      <c r="B22" s="77" t="s">
        <v>164</v>
      </c>
      <c r="C22" s="256">
        <v>46687861.470000021</v>
      </c>
      <c r="D22" s="133"/>
      <c r="E22" s="5"/>
    </row>
    <row r="23" spans="1:5">
      <c r="A23" s="131">
        <v>10.1</v>
      </c>
      <c r="B23" s="79" t="s">
        <v>234</v>
      </c>
      <c r="C23" s="256">
        <v>23650896</v>
      </c>
      <c r="D23" s="213" t="s">
        <v>344</v>
      </c>
      <c r="E23" s="5"/>
    </row>
    <row r="24" spans="1:5">
      <c r="A24" s="131">
        <v>11</v>
      </c>
      <c r="B24" s="80" t="s">
        <v>165</v>
      </c>
      <c r="C24" s="258">
        <v>8025379.0039999997</v>
      </c>
      <c r="D24" s="135"/>
      <c r="E24" s="5"/>
    </row>
    <row r="25" spans="1:5">
      <c r="A25" s="131">
        <v>12</v>
      </c>
      <c r="B25" s="82" t="s">
        <v>166</v>
      </c>
      <c r="C25" s="259">
        <f>SUM(C6:C10,C15:C18,C22,C24)</f>
        <v>1392228414.6740007</v>
      </c>
      <c r="D25" s="136"/>
      <c r="E25" s="4"/>
    </row>
    <row r="26" spans="1:5">
      <c r="A26" s="131">
        <v>13</v>
      </c>
      <c r="B26" s="77" t="s">
        <v>167</v>
      </c>
      <c r="C26" s="260">
        <v>7527535.3399999999</v>
      </c>
      <c r="D26" s="137"/>
      <c r="E26" s="5"/>
    </row>
    <row r="27" spans="1:5">
      <c r="A27" s="131">
        <v>14</v>
      </c>
      <c r="B27" s="77" t="s">
        <v>168</v>
      </c>
      <c r="C27" s="256">
        <v>187038640.27009115</v>
      </c>
      <c r="D27" s="133"/>
      <c r="E27" s="5"/>
    </row>
    <row r="28" spans="1:5">
      <c r="A28" s="131">
        <v>15</v>
      </c>
      <c r="B28" s="77" t="s">
        <v>169</v>
      </c>
      <c r="C28" s="256">
        <v>219110241.64000005</v>
      </c>
      <c r="D28" s="133"/>
      <c r="E28" s="5"/>
    </row>
    <row r="29" spans="1:5">
      <c r="A29" s="131">
        <v>16</v>
      </c>
      <c r="B29" s="77" t="s">
        <v>170</v>
      </c>
      <c r="C29" s="256">
        <v>420715793.47000015</v>
      </c>
      <c r="D29" s="133"/>
      <c r="E29" s="5"/>
    </row>
    <row r="30" spans="1:5">
      <c r="A30" s="131">
        <v>17</v>
      </c>
      <c r="B30" s="77" t="s">
        <v>171</v>
      </c>
      <c r="C30" s="256">
        <v>0</v>
      </c>
      <c r="D30" s="133"/>
      <c r="E30" s="5"/>
    </row>
    <row r="31" spans="1:5">
      <c r="A31" s="131">
        <v>18</v>
      </c>
      <c r="B31" s="77" t="s">
        <v>172</v>
      </c>
      <c r="C31" s="256">
        <v>293753746</v>
      </c>
      <c r="D31" s="133"/>
      <c r="E31" s="5"/>
    </row>
    <row r="32" spans="1:5">
      <c r="A32" s="131">
        <v>19</v>
      </c>
      <c r="B32" s="77" t="s">
        <v>173</v>
      </c>
      <c r="C32" s="256">
        <v>6589524.650000006</v>
      </c>
      <c r="D32" s="133"/>
      <c r="E32" s="5"/>
    </row>
    <row r="33" spans="1:5">
      <c r="A33" s="131">
        <v>20</v>
      </c>
      <c r="B33" s="77" t="s">
        <v>95</v>
      </c>
      <c r="C33" s="256">
        <v>23081974.920000002</v>
      </c>
      <c r="D33" s="133"/>
      <c r="E33" s="5"/>
    </row>
    <row r="34" spans="1:5">
      <c r="A34" s="131">
        <v>20.100000000000001</v>
      </c>
      <c r="B34" s="81" t="s">
        <v>370</v>
      </c>
      <c r="C34" s="258">
        <v>1298914.4399999997</v>
      </c>
      <c r="D34" s="135"/>
      <c r="E34" s="5"/>
    </row>
    <row r="35" spans="1:5">
      <c r="A35" s="131">
        <v>21</v>
      </c>
      <c r="B35" s="80" t="s">
        <v>174</v>
      </c>
      <c r="C35" s="258">
        <v>63578573.359999999</v>
      </c>
      <c r="D35" s="135"/>
      <c r="E35" s="5"/>
    </row>
    <row r="36" spans="1:5">
      <c r="A36" s="131">
        <v>21.1</v>
      </c>
      <c r="B36" s="81" t="s">
        <v>233</v>
      </c>
      <c r="C36" s="261">
        <v>40809879.549999997</v>
      </c>
      <c r="D36" s="213" t="s">
        <v>739</v>
      </c>
      <c r="E36" s="5"/>
    </row>
    <row r="37" spans="1:5">
      <c r="A37" s="131">
        <v>22</v>
      </c>
      <c r="B37" s="82" t="s">
        <v>175</v>
      </c>
      <c r="C37" s="259">
        <f>SUM(C26:C33)+C35</f>
        <v>1221396029.6500914</v>
      </c>
      <c r="D37" s="613"/>
      <c r="E37" s="4"/>
    </row>
    <row r="38" spans="1:5">
      <c r="A38" s="131">
        <v>23</v>
      </c>
      <c r="B38" s="80" t="s">
        <v>176</v>
      </c>
      <c r="C38" s="256">
        <v>121372000</v>
      </c>
      <c r="D38" s="213" t="s">
        <v>740</v>
      </c>
      <c r="E38" s="5"/>
    </row>
    <row r="39" spans="1:5">
      <c r="A39" s="131">
        <v>24</v>
      </c>
      <c r="B39" s="80" t="s">
        <v>177</v>
      </c>
      <c r="C39" s="256">
        <v>0</v>
      </c>
      <c r="D39" s="133"/>
      <c r="E39" s="5"/>
    </row>
    <row r="40" spans="1:5">
      <c r="A40" s="131">
        <v>25</v>
      </c>
      <c r="B40" s="80" t="s">
        <v>232</v>
      </c>
      <c r="C40" s="256">
        <v>0</v>
      </c>
      <c r="D40" s="133"/>
      <c r="E40" s="5"/>
    </row>
    <row r="41" spans="1:5">
      <c r="A41" s="131">
        <v>26</v>
      </c>
      <c r="B41" s="80" t="s">
        <v>179</v>
      </c>
      <c r="C41" s="256">
        <v>0</v>
      </c>
      <c r="D41" s="133"/>
      <c r="E41" s="5"/>
    </row>
    <row r="42" spans="1:5">
      <c r="A42" s="131">
        <v>27</v>
      </c>
      <c r="B42" s="80" t="s">
        <v>180</v>
      </c>
      <c r="C42" s="256">
        <v>0</v>
      </c>
      <c r="D42" s="133"/>
      <c r="E42" s="5"/>
    </row>
    <row r="43" spans="1:5">
      <c r="A43" s="131">
        <v>28</v>
      </c>
      <c r="B43" s="80" t="s">
        <v>181</v>
      </c>
      <c r="C43" s="256">
        <v>49460384.989999995</v>
      </c>
      <c r="D43" s="213" t="s">
        <v>741</v>
      </c>
      <c r="E43" s="5"/>
    </row>
    <row r="44" spans="1:5">
      <c r="A44" s="131">
        <v>29</v>
      </c>
      <c r="B44" s="80" t="s">
        <v>35</v>
      </c>
      <c r="C44" s="256">
        <v>0</v>
      </c>
      <c r="D44" s="133"/>
      <c r="E44" s="5"/>
    </row>
    <row r="45" spans="1:5" ht="16.5" thickBot="1">
      <c r="A45" s="138">
        <v>30</v>
      </c>
      <c r="B45" s="139" t="s">
        <v>182</v>
      </c>
      <c r="C45" s="262">
        <f>SUM(C38:C44)</f>
        <v>170832384.99000001</v>
      </c>
      <c r="D45" s="140"/>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J8" activePane="bottomRight" state="frozen"/>
      <selection pane="topRight" activeCell="C1" sqref="C1"/>
      <selection pane="bottomLeft" activeCell="A8" sqref="A8"/>
      <selection pane="bottomRight" activeCell="S20" sqref="S20"/>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3.5703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35">
        <f>'1. key ratios'!B2</f>
        <v>44742</v>
      </c>
    </row>
    <row r="4" spans="1:19" ht="26.25" thickBot="1">
      <c r="A4" s="60" t="s">
        <v>338</v>
      </c>
      <c r="B4" s="277"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73" t="s">
        <v>350</v>
      </c>
      <c r="S5" s="107" t="s">
        <v>351</v>
      </c>
    </row>
    <row r="6" spans="1:19" ht="46.5" customHeight="1">
      <c r="A6" s="144"/>
      <c r="B6" s="649" t="s">
        <v>352</v>
      </c>
      <c r="C6" s="647">
        <v>0</v>
      </c>
      <c r="D6" s="648"/>
      <c r="E6" s="647">
        <v>0.2</v>
      </c>
      <c r="F6" s="648"/>
      <c r="G6" s="647">
        <v>0.35</v>
      </c>
      <c r="H6" s="648"/>
      <c r="I6" s="647">
        <v>0.5</v>
      </c>
      <c r="J6" s="648"/>
      <c r="K6" s="647">
        <v>0.75</v>
      </c>
      <c r="L6" s="648"/>
      <c r="M6" s="647">
        <v>1</v>
      </c>
      <c r="N6" s="648"/>
      <c r="O6" s="647">
        <v>1.5</v>
      </c>
      <c r="P6" s="648"/>
      <c r="Q6" s="647">
        <v>2.5</v>
      </c>
      <c r="R6" s="648"/>
      <c r="S6" s="645" t="s">
        <v>251</v>
      </c>
    </row>
    <row r="7" spans="1:19">
      <c r="A7" s="144"/>
      <c r="B7" s="650"/>
      <c r="C7" s="276" t="s">
        <v>345</v>
      </c>
      <c r="D7" s="276" t="s">
        <v>346</v>
      </c>
      <c r="E7" s="276" t="s">
        <v>345</v>
      </c>
      <c r="F7" s="276" t="s">
        <v>346</v>
      </c>
      <c r="G7" s="276" t="s">
        <v>345</v>
      </c>
      <c r="H7" s="276" t="s">
        <v>346</v>
      </c>
      <c r="I7" s="276" t="s">
        <v>345</v>
      </c>
      <c r="J7" s="276" t="s">
        <v>346</v>
      </c>
      <c r="K7" s="276" t="s">
        <v>345</v>
      </c>
      <c r="L7" s="276" t="s">
        <v>346</v>
      </c>
      <c r="M7" s="276" t="s">
        <v>345</v>
      </c>
      <c r="N7" s="276" t="s">
        <v>346</v>
      </c>
      <c r="O7" s="276" t="s">
        <v>345</v>
      </c>
      <c r="P7" s="276" t="s">
        <v>346</v>
      </c>
      <c r="Q7" s="276" t="s">
        <v>345</v>
      </c>
      <c r="R7" s="276" t="s">
        <v>346</v>
      </c>
      <c r="S7" s="646"/>
    </row>
    <row r="8" spans="1:19">
      <c r="A8" s="110">
        <v>1</v>
      </c>
      <c r="B8" s="163" t="s">
        <v>216</v>
      </c>
      <c r="C8" s="541">
        <v>171080912.19999999</v>
      </c>
      <c r="D8" s="541">
        <v>0</v>
      </c>
      <c r="E8" s="541">
        <v>0</v>
      </c>
      <c r="F8" s="542">
        <v>0</v>
      </c>
      <c r="G8" s="541">
        <v>0</v>
      </c>
      <c r="H8" s="541">
        <v>0</v>
      </c>
      <c r="I8" s="541">
        <v>0</v>
      </c>
      <c r="J8" s="541">
        <v>0</v>
      </c>
      <c r="K8" s="541">
        <v>0</v>
      </c>
      <c r="L8" s="541">
        <v>0</v>
      </c>
      <c r="M8" s="541">
        <v>107923562.45</v>
      </c>
      <c r="N8" s="541">
        <v>0</v>
      </c>
      <c r="O8" s="541">
        <v>0</v>
      </c>
      <c r="P8" s="541">
        <v>0</v>
      </c>
      <c r="Q8" s="541">
        <v>0</v>
      </c>
      <c r="R8" s="542">
        <v>0</v>
      </c>
      <c r="S8" s="575">
        <f>$C$6*SUM(C8:D8)+$E$6*SUM(E8:F8)+$G$6*SUM(G8:H8)+$I$6*SUM(I8:J8)+$K$6*SUM(K8:L8)+$M$6*SUM(M8:N8)+$O$6*SUM(O8:P8)+$Q$6*SUM(Q8:R8)</f>
        <v>107923562.45</v>
      </c>
    </row>
    <row r="9" spans="1:19">
      <c r="A9" s="110">
        <v>2</v>
      </c>
      <c r="B9" s="163" t="s">
        <v>217</v>
      </c>
      <c r="C9" s="541">
        <v>0</v>
      </c>
      <c r="D9" s="541">
        <v>0</v>
      </c>
      <c r="E9" s="541">
        <v>0</v>
      </c>
      <c r="F9" s="541">
        <v>0</v>
      </c>
      <c r="G9" s="541">
        <v>0</v>
      </c>
      <c r="H9" s="541">
        <v>0</v>
      </c>
      <c r="I9" s="541">
        <v>0</v>
      </c>
      <c r="J9" s="541">
        <v>0</v>
      </c>
      <c r="K9" s="541">
        <v>0</v>
      </c>
      <c r="L9" s="541">
        <v>0</v>
      </c>
      <c r="M9" s="541">
        <v>0</v>
      </c>
      <c r="N9" s="541">
        <v>0</v>
      </c>
      <c r="O9" s="541">
        <v>0</v>
      </c>
      <c r="P9" s="541">
        <v>0</v>
      </c>
      <c r="Q9" s="541">
        <v>0</v>
      </c>
      <c r="R9" s="542">
        <v>0</v>
      </c>
      <c r="S9" s="575">
        <f t="shared" ref="S9:S21" si="0">$C$6*SUM(C9:D9)+$E$6*SUM(E9:F9)+$G$6*SUM(G9:H9)+$I$6*SUM(I9:J9)+$K$6*SUM(K9:L9)+$M$6*SUM(M9:N9)+$O$6*SUM(O9:P9)+$Q$6*SUM(Q9:R9)</f>
        <v>0</v>
      </c>
    </row>
    <row r="10" spans="1:19">
      <c r="A10" s="110">
        <v>3</v>
      </c>
      <c r="B10" s="163" t="s">
        <v>218</v>
      </c>
      <c r="C10" s="541">
        <v>0</v>
      </c>
      <c r="D10" s="541">
        <v>0</v>
      </c>
      <c r="E10" s="541">
        <v>0</v>
      </c>
      <c r="F10" s="541">
        <v>0</v>
      </c>
      <c r="G10" s="541">
        <v>0</v>
      </c>
      <c r="H10" s="541">
        <v>0</v>
      </c>
      <c r="I10" s="541">
        <v>0</v>
      </c>
      <c r="J10" s="541">
        <v>0</v>
      </c>
      <c r="K10" s="541">
        <v>0</v>
      </c>
      <c r="L10" s="541">
        <v>0</v>
      </c>
      <c r="M10" s="541">
        <v>0</v>
      </c>
      <c r="N10" s="541">
        <v>0</v>
      </c>
      <c r="O10" s="541">
        <v>0</v>
      </c>
      <c r="P10" s="541">
        <v>0</v>
      </c>
      <c r="Q10" s="541">
        <v>0</v>
      </c>
      <c r="R10" s="542">
        <v>0</v>
      </c>
      <c r="S10" s="575">
        <f t="shared" si="0"/>
        <v>0</v>
      </c>
    </row>
    <row r="11" spans="1:19">
      <c r="A11" s="110">
        <v>4</v>
      </c>
      <c r="B11" s="163" t="s">
        <v>219</v>
      </c>
      <c r="C11" s="541">
        <v>0</v>
      </c>
      <c r="D11" s="541">
        <v>0</v>
      </c>
      <c r="E11" s="541">
        <v>0</v>
      </c>
      <c r="F11" s="541">
        <v>0</v>
      </c>
      <c r="G11" s="541">
        <v>0</v>
      </c>
      <c r="H11" s="541">
        <v>0</v>
      </c>
      <c r="I11" s="541">
        <v>0</v>
      </c>
      <c r="J11" s="541">
        <v>0</v>
      </c>
      <c r="K11" s="541">
        <v>0</v>
      </c>
      <c r="L11" s="541">
        <v>0</v>
      </c>
      <c r="M11" s="541">
        <v>0</v>
      </c>
      <c r="N11" s="541">
        <v>0</v>
      </c>
      <c r="O11" s="541">
        <v>0</v>
      </c>
      <c r="P11" s="541">
        <v>0</v>
      </c>
      <c r="Q11" s="541">
        <v>0</v>
      </c>
      <c r="R11" s="542">
        <v>0</v>
      </c>
      <c r="S11" s="575">
        <f t="shared" si="0"/>
        <v>0</v>
      </c>
    </row>
    <row r="12" spans="1:19">
      <c r="A12" s="110">
        <v>5</v>
      </c>
      <c r="B12" s="163" t="s">
        <v>220</v>
      </c>
      <c r="C12" s="541">
        <v>0</v>
      </c>
      <c r="D12" s="541">
        <v>0</v>
      </c>
      <c r="E12" s="541">
        <v>0</v>
      </c>
      <c r="F12" s="541">
        <v>0</v>
      </c>
      <c r="G12" s="541">
        <v>0</v>
      </c>
      <c r="H12" s="541">
        <v>0</v>
      </c>
      <c r="I12" s="541">
        <v>0</v>
      </c>
      <c r="J12" s="541">
        <v>0</v>
      </c>
      <c r="K12" s="541">
        <v>0</v>
      </c>
      <c r="L12" s="541">
        <v>0</v>
      </c>
      <c r="M12" s="541">
        <v>0</v>
      </c>
      <c r="N12" s="541">
        <v>0</v>
      </c>
      <c r="O12" s="541">
        <v>0</v>
      </c>
      <c r="P12" s="541">
        <v>0</v>
      </c>
      <c r="Q12" s="541">
        <v>0</v>
      </c>
      <c r="R12" s="542">
        <v>0</v>
      </c>
      <c r="S12" s="575">
        <f t="shared" si="0"/>
        <v>0</v>
      </c>
    </row>
    <row r="13" spans="1:19">
      <c r="A13" s="110">
        <v>6</v>
      </c>
      <c r="B13" s="163" t="s">
        <v>221</v>
      </c>
      <c r="C13" s="541">
        <v>0</v>
      </c>
      <c r="D13" s="541">
        <v>0</v>
      </c>
      <c r="E13" s="541">
        <v>2235767.38</v>
      </c>
      <c r="F13" s="541">
        <v>0</v>
      </c>
      <c r="G13" s="541">
        <v>0</v>
      </c>
      <c r="H13" s="541">
        <v>0</v>
      </c>
      <c r="I13" s="541">
        <v>5154339.3399999989</v>
      </c>
      <c r="J13" s="541">
        <v>0</v>
      </c>
      <c r="K13" s="541">
        <v>0</v>
      </c>
      <c r="L13" s="541">
        <v>0</v>
      </c>
      <c r="M13" s="541">
        <v>2518355.13</v>
      </c>
      <c r="N13" s="541">
        <v>0</v>
      </c>
      <c r="O13" s="541">
        <v>0</v>
      </c>
      <c r="P13" s="541">
        <v>0</v>
      </c>
      <c r="Q13" s="541">
        <v>0</v>
      </c>
      <c r="R13" s="542">
        <v>0</v>
      </c>
      <c r="S13" s="575">
        <f t="shared" si="0"/>
        <v>5542678.2759999996</v>
      </c>
    </row>
    <row r="14" spans="1:19">
      <c r="A14" s="110">
        <v>7</v>
      </c>
      <c r="B14" s="163" t="s">
        <v>73</v>
      </c>
      <c r="C14" s="541">
        <v>0</v>
      </c>
      <c r="D14" s="541">
        <v>0</v>
      </c>
      <c r="E14" s="541">
        <v>0</v>
      </c>
      <c r="F14" s="541">
        <v>0</v>
      </c>
      <c r="G14" s="541">
        <v>0</v>
      </c>
      <c r="H14" s="541">
        <v>0</v>
      </c>
      <c r="I14" s="541">
        <v>0</v>
      </c>
      <c r="J14" s="541">
        <v>0</v>
      </c>
      <c r="K14" s="541">
        <v>0</v>
      </c>
      <c r="L14" s="541">
        <v>0</v>
      </c>
      <c r="M14" s="541">
        <v>514465760.21284372</v>
      </c>
      <c r="N14" s="541">
        <v>43362329.133999996</v>
      </c>
      <c r="O14" s="541">
        <v>0</v>
      </c>
      <c r="P14" s="541">
        <v>0</v>
      </c>
      <c r="Q14" s="541">
        <v>0</v>
      </c>
      <c r="R14" s="542">
        <v>0</v>
      </c>
      <c r="S14" s="575">
        <f t="shared" si="0"/>
        <v>557828089.34684372</v>
      </c>
    </row>
    <row r="15" spans="1:19">
      <c r="A15" s="110">
        <v>8</v>
      </c>
      <c r="B15" s="163" t="s">
        <v>74</v>
      </c>
      <c r="C15" s="541">
        <v>0</v>
      </c>
      <c r="D15" s="541">
        <v>0</v>
      </c>
      <c r="E15" s="541">
        <v>0</v>
      </c>
      <c r="F15" s="541">
        <v>0</v>
      </c>
      <c r="G15" s="541">
        <v>0</v>
      </c>
      <c r="H15" s="541">
        <v>0</v>
      </c>
      <c r="I15" s="541">
        <v>0</v>
      </c>
      <c r="J15" s="541">
        <v>0</v>
      </c>
      <c r="K15" s="541">
        <v>335852603.38825953</v>
      </c>
      <c r="L15" s="541">
        <v>8671576.8209999949</v>
      </c>
      <c r="M15" s="541">
        <v>0</v>
      </c>
      <c r="N15" s="541">
        <v>0</v>
      </c>
      <c r="O15" s="541">
        <v>0</v>
      </c>
      <c r="P15" s="541">
        <v>0</v>
      </c>
      <c r="Q15" s="541">
        <v>0</v>
      </c>
      <c r="R15" s="542">
        <v>0</v>
      </c>
      <c r="S15" s="575">
        <f t="shared" si="0"/>
        <v>258393135.15694463</v>
      </c>
    </row>
    <row r="16" spans="1:19">
      <c r="A16" s="110">
        <v>9</v>
      </c>
      <c r="B16" s="163" t="s">
        <v>75</v>
      </c>
      <c r="C16" s="541">
        <v>0</v>
      </c>
      <c r="D16" s="541">
        <v>0</v>
      </c>
      <c r="E16" s="541">
        <v>0</v>
      </c>
      <c r="F16" s="541">
        <v>0</v>
      </c>
      <c r="G16" s="541">
        <v>109347162.01857811</v>
      </c>
      <c r="H16" s="541">
        <v>1123923.3</v>
      </c>
      <c r="I16" s="541">
        <v>0</v>
      </c>
      <c r="J16" s="541">
        <v>0</v>
      </c>
      <c r="K16" s="541">
        <v>0</v>
      </c>
      <c r="L16" s="541">
        <v>0</v>
      </c>
      <c r="M16" s="541">
        <v>0</v>
      </c>
      <c r="N16" s="541">
        <v>0</v>
      </c>
      <c r="O16" s="541">
        <v>0</v>
      </c>
      <c r="P16" s="541">
        <v>0</v>
      </c>
      <c r="Q16" s="541">
        <v>0</v>
      </c>
      <c r="R16" s="542">
        <v>0</v>
      </c>
      <c r="S16" s="575">
        <f t="shared" si="0"/>
        <v>38664879.861502334</v>
      </c>
    </row>
    <row r="17" spans="1:19">
      <c r="A17" s="110">
        <v>10</v>
      </c>
      <c r="B17" s="163" t="s">
        <v>69</v>
      </c>
      <c r="C17" s="541">
        <v>0</v>
      </c>
      <c r="D17" s="541">
        <v>0</v>
      </c>
      <c r="E17" s="541">
        <v>0</v>
      </c>
      <c r="F17" s="541">
        <v>0</v>
      </c>
      <c r="G17" s="541">
        <v>0</v>
      </c>
      <c r="H17" s="541">
        <v>0</v>
      </c>
      <c r="I17" s="541">
        <v>1937342.0601502832</v>
      </c>
      <c r="J17" s="541">
        <v>0</v>
      </c>
      <c r="K17" s="541">
        <v>0</v>
      </c>
      <c r="L17" s="541">
        <v>0</v>
      </c>
      <c r="M17" s="541">
        <v>7347815.495263719</v>
      </c>
      <c r="N17" s="541">
        <v>0</v>
      </c>
      <c r="O17" s="541">
        <v>428921.0179949521</v>
      </c>
      <c r="P17" s="541">
        <v>0</v>
      </c>
      <c r="Q17" s="541">
        <v>0</v>
      </c>
      <c r="R17" s="542">
        <v>0</v>
      </c>
      <c r="S17" s="575">
        <f t="shared" si="0"/>
        <v>8959868.0523312874</v>
      </c>
    </row>
    <row r="18" spans="1:19">
      <c r="A18" s="110">
        <v>11</v>
      </c>
      <c r="B18" s="163" t="s">
        <v>70</v>
      </c>
      <c r="C18" s="541">
        <v>0</v>
      </c>
      <c r="D18" s="541">
        <v>0</v>
      </c>
      <c r="E18" s="541">
        <v>0</v>
      </c>
      <c r="F18" s="541">
        <v>0</v>
      </c>
      <c r="G18" s="541">
        <v>0</v>
      </c>
      <c r="H18" s="541">
        <v>0</v>
      </c>
      <c r="I18" s="541">
        <v>0</v>
      </c>
      <c r="J18" s="541">
        <v>0</v>
      </c>
      <c r="K18" s="541">
        <v>0</v>
      </c>
      <c r="L18" s="541">
        <v>0</v>
      </c>
      <c r="M18" s="541">
        <v>36139196.224031329</v>
      </c>
      <c r="N18" s="541">
        <v>0</v>
      </c>
      <c r="O18" s="541">
        <v>25122863.182876986</v>
      </c>
      <c r="P18" s="541">
        <v>0</v>
      </c>
      <c r="Q18" s="541">
        <v>0</v>
      </c>
      <c r="R18" s="542">
        <v>0</v>
      </c>
      <c r="S18" s="575">
        <f t="shared" si="0"/>
        <v>73823490.998346806</v>
      </c>
    </row>
    <row r="19" spans="1:19">
      <c r="A19" s="110">
        <v>12</v>
      </c>
      <c r="B19" s="163" t="s">
        <v>71</v>
      </c>
      <c r="C19" s="541">
        <v>0</v>
      </c>
      <c r="D19" s="541">
        <v>0</v>
      </c>
      <c r="E19" s="541">
        <v>0</v>
      </c>
      <c r="F19" s="541">
        <v>0</v>
      </c>
      <c r="G19" s="541">
        <v>0</v>
      </c>
      <c r="H19" s="541">
        <v>0</v>
      </c>
      <c r="I19" s="541">
        <v>0</v>
      </c>
      <c r="J19" s="541">
        <v>0</v>
      </c>
      <c r="K19" s="541">
        <v>0</v>
      </c>
      <c r="L19" s="541">
        <v>0</v>
      </c>
      <c r="M19" s="541">
        <v>0</v>
      </c>
      <c r="N19" s="541">
        <v>0</v>
      </c>
      <c r="O19" s="541">
        <v>0</v>
      </c>
      <c r="P19" s="541">
        <v>0</v>
      </c>
      <c r="Q19" s="541">
        <v>0</v>
      </c>
      <c r="R19" s="542">
        <v>0</v>
      </c>
      <c r="S19" s="575">
        <f t="shared" si="0"/>
        <v>0</v>
      </c>
    </row>
    <row r="20" spans="1:19">
      <c r="A20" s="110">
        <v>13</v>
      </c>
      <c r="B20" s="163" t="s">
        <v>72</v>
      </c>
      <c r="C20" s="541">
        <v>0</v>
      </c>
      <c r="D20" s="541">
        <v>0</v>
      </c>
      <c r="E20" s="541">
        <v>0</v>
      </c>
      <c r="F20" s="541">
        <v>0</v>
      </c>
      <c r="G20" s="541">
        <v>0</v>
      </c>
      <c r="H20" s="541">
        <v>0</v>
      </c>
      <c r="I20" s="541">
        <v>0</v>
      </c>
      <c r="J20" s="541">
        <v>0</v>
      </c>
      <c r="K20" s="541">
        <v>0</v>
      </c>
      <c r="L20" s="541">
        <v>0</v>
      </c>
      <c r="M20" s="541">
        <v>0</v>
      </c>
      <c r="N20" s="541">
        <v>0</v>
      </c>
      <c r="O20" s="541">
        <v>0</v>
      </c>
      <c r="P20" s="541">
        <v>0</v>
      </c>
      <c r="Q20" s="541">
        <v>0</v>
      </c>
      <c r="R20" s="542">
        <v>0</v>
      </c>
      <c r="S20" s="575">
        <f t="shared" si="0"/>
        <v>0</v>
      </c>
    </row>
    <row r="21" spans="1:19">
      <c r="A21" s="110">
        <v>14</v>
      </c>
      <c r="B21" s="163" t="s">
        <v>249</v>
      </c>
      <c r="C21" s="541">
        <v>33239657.199999996</v>
      </c>
      <c r="D21" s="541">
        <v>0</v>
      </c>
      <c r="E21" s="541">
        <v>444242.69999999995</v>
      </c>
      <c r="F21" s="541">
        <v>0</v>
      </c>
      <c r="G21" s="541">
        <v>0</v>
      </c>
      <c r="H21" s="541">
        <v>0</v>
      </c>
      <c r="I21" s="541">
        <v>0</v>
      </c>
      <c r="J21" s="541">
        <v>0</v>
      </c>
      <c r="K21" s="541">
        <v>0</v>
      </c>
      <c r="L21" s="541">
        <v>0</v>
      </c>
      <c r="M21" s="541">
        <v>33388450.789999977</v>
      </c>
      <c r="N21" s="541">
        <v>0</v>
      </c>
      <c r="O21" s="541">
        <v>0</v>
      </c>
      <c r="P21" s="541">
        <v>0</v>
      </c>
      <c r="Q21" s="541">
        <v>0</v>
      </c>
      <c r="R21" s="542">
        <v>0</v>
      </c>
      <c r="S21" s="575">
        <f t="shared" si="0"/>
        <v>33477299.329999976</v>
      </c>
    </row>
    <row r="22" spans="1:19" ht="13.5" thickBot="1">
      <c r="A22" s="93"/>
      <c r="B22" s="149" t="s">
        <v>68</v>
      </c>
      <c r="C22" s="264">
        <f>SUM(C8:C21)</f>
        <v>204320569.39999998</v>
      </c>
      <c r="D22" s="264">
        <f t="shared" ref="D22:S22" si="1">SUM(D8:D21)</f>
        <v>0</v>
      </c>
      <c r="E22" s="264">
        <f t="shared" si="1"/>
        <v>2680010.08</v>
      </c>
      <c r="F22" s="264">
        <f t="shared" si="1"/>
        <v>0</v>
      </c>
      <c r="G22" s="264">
        <f t="shared" si="1"/>
        <v>109347162.01857811</v>
      </c>
      <c r="H22" s="264">
        <f t="shared" si="1"/>
        <v>1123923.3</v>
      </c>
      <c r="I22" s="264">
        <f t="shared" si="1"/>
        <v>7091681.4001502823</v>
      </c>
      <c r="J22" s="264">
        <f t="shared" si="1"/>
        <v>0</v>
      </c>
      <c r="K22" s="264">
        <f t="shared" si="1"/>
        <v>335852603.38825953</v>
      </c>
      <c r="L22" s="264">
        <f t="shared" si="1"/>
        <v>8671576.8209999949</v>
      </c>
      <c r="M22" s="264">
        <f t="shared" si="1"/>
        <v>701783140.30213869</v>
      </c>
      <c r="N22" s="264">
        <f t="shared" si="1"/>
        <v>43362329.133999996</v>
      </c>
      <c r="O22" s="264">
        <f t="shared" si="1"/>
        <v>25551784.200871937</v>
      </c>
      <c r="P22" s="264">
        <f t="shared" si="1"/>
        <v>0</v>
      </c>
      <c r="Q22" s="264">
        <f t="shared" si="1"/>
        <v>0</v>
      </c>
      <c r="R22" s="264">
        <f t="shared" si="1"/>
        <v>0</v>
      </c>
      <c r="S22" s="576">
        <f t="shared" si="1"/>
        <v>1084613003.4719687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35">
        <f>'1. key ratios'!B2</f>
        <v>44742</v>
      </c>
    </row>
    <row r="4" spans="1:22" ht="27.75" thickBot="1">
      <c r="A4" s="1" t="s">
        <v>339</v>
      </c>
      <c r="B4" s="277" t="s">
        <v>361</v>
      </c>
      <c r="V4" s="189" t="s">
        <v>93</v>
      </c>
    </row>
    <row r="5" spans="1:22">
      <c r="A5" s="91"/>
      <c r="B5" s="92"/>
      <c r="C5" s="651" t="s">
        <v>198</v>
      </c>
      <c r="D5" s="652"/>
      <c r="E5" s="652"/>
      <c r="F5" s="652"/>
      <c r="G5" s="652"/>
      <c r="H5" s="652"/>
      <c r="I5" s="652"/>
      <c r="J5" s="652"/>
      <c r="K5" s="652"/>
      <c r="L5" s="653"/>
      <c r="M5" s="651" t="s">
        <v>199</v>
      </c>
      <c r="N5" s="652"/>
      <c r="O5" s="652"/>
      <c r="P5" s="652"/>
      <c r="Q5" s="652"/>
      <c r="R5" s="652"/>
      <c r="S5" s="653"/>
      <c r="T5" s="656" t="s">
        <v>359</v>
      </c>
      <c r="U5" s="656" t="s">
        <v>358</v>
      </c>
      <c r="V5" s="654" t="s">
        <v>200</v>
      </c>
    </row>
    <row r="6" spans="1:22" s="60" customFormat="1" ht="127.5">
      <c r="A6" s="108"/>
      <c r="B6" s="165"/>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57"/>
      <c r="U6" s="657"/>
      <c r="V6" s="655"/>
    </row>
    <row r="7" spans="1:22">
      <c r="A7" s="148">
        <v>1</v>
      </c>
      <c r="B7" s="147" t="s">
        <v>216</v>
      </c>
      <c r="C7" s="543">
        <v>0</v>
      </c>
      <c r="D7" s="540">
        <v>0</v>
      </c>
      <c r="E7" s="540">
        <v>0</v>
      </c>
      <c r="F7" s="540">
        <v>0</v>
      </c>
      <c r="G7" s="540">
        <v>0</v>
      </c>
      <c r="H7" s="540">
        <v>0</v>
      </c>
      <c r="I7" s="540">
        <v>0</v>
      </c>
      <c r="J7" s="540">
        <v>0</v>
      </c>
      <c r="K7" s="540">
        <v>0</v>
      </c>
      <c r="L7" s="544">
        <v>0</v>
      </c>
      <c r="M7" s="543">
        <v>0</v>
      </c>
      <c r="N7" s="540">
        <v>0</v>
      </c>
      <c r="O7" s="540">
        <v>0</v>
      </c>
      <c r="P7" s="540">
        <v>0</v>
      </c>
      <c r="Q7" s="540">
        <v>0</v>
      </c>
      <c r="R7" s="540">
        <v>0</v>
      </c>
      <c r="S7" s="544">
        <v>0</v>
      </c>
      <c r="T7" s="545">
        <v>0</v>
      </c>
      <c r="U7" s="546">
        <v>0</v>
      </c>
      <c r="V7" s="265">
        <f>SUM(C7:S7)</f>
        <v>0</v>
      </c>
    </row>
    <row r="8" spans="1:22">
      <c r="A8" s="148">
        <v>2</v>
      </c>
      <c r="B8" s="147" t="s">
        <v>217</v>
      </c>
      <c r="C8" s="543">
        <v>0</v>
      </c>
      <c r="D8" s="540">
        <v>0</v>
      </c>
      <c r="E8" s="540">
        <v>0</v>
      </c>
      <c r="F8" s="540">
        <v>0</v>
      </c>
      <c r="G8" s="540">
        <v>0</v>
      </c>
      <c r="H8" s="540">
        <v>0</v>
      </c>
      <c r="I8" s="540">
        <v>0</v>
      </c>
      <c r="J8" s="540">
        <v>0</v>
      </c>
      <c r="K8" s="540">
        <v>0</v>
      </c>
      <c r="L8" s="544">
        <v>0</v>
      </c>
      <c r="M8" s="543">
        <v>0</v>
      </c>
      <c r="N8" s="540">
        <v>0</v>
      </c>
      <c r="O8" s="540">
        <v>0</v>
      </c>
      <c r="P8" s="540">
        <v>0</v>
      </c>
      <c r="Q8" s="540">
        <v>0</v>
      </c>
      <c r="R8" s="540">
        <v>0</v>
      </c>
      <c r="S8" s="544">
        <v>0</v>
      </c>
      <c r="T8" s="546">
        <v>0</v>
      </c>
      <c r="U8" s="546">
        <v>0</v>
      </c>
      <c r="V8" s="265">
        <f t="shared" ref="V8:V20" si="0">SUM(C8:S8)</f>
        <v>0</v>
      </c>
    </row>
    <row r="9" spans="1:22">
      <c r="A9" s="148">
        <v>3</v>
      </c>
      <c r="B9" s="147" t="s">
        <v>218</v>
      </c>
      <c r="C9" s="543">
        <v>0</v>
      </c>
      <c r="D9" s="540">
        <v>0</v>
      </c>
      <c r="E9" s="540">
        <v>0</v>
      </c>
      <c r="F9" s="540">
        <v>0</v>
      </c>
      <c r="G9" s="540">
        <v>0</v>
      </c>
      <c r="H9" s="540">
        <v>0</v>
      </c>
      <c r="I9" s="540">
        <v>0</v>
      </c>
      <c r="J9" s="540">
        <v>0</v>
      </c>
      <c r="K9" s="540">
        <v>0</v>
      </c>
      <c r="L9" s="544">
        <v>0</v>
      </c>
      <c r="M9" s="543">
        <v>0</v>
      </c>
      <c r="N9" s="540">
        <v>0</v>
      </c>
      <c r="O9" s="540">
        <v>0</v>
      </c>
      <c r="P9" s="540">
        <v>0</v>
      </c>
      <c r="Q9" s="540">
        <v>0</v>
      </c>
      <c r="R9" s="540">
        <v>0</v>
      </c>
      <c r="S9" s="544">
        <v>0</v>
      </c>
      <c r="T9" s="546">
        <v>0</v>
      </c>
      <c r="U9" s="546">
        <v>0</v>
      </c>
      <c r="V9" s="265">
        <f>SUM(C9:S9)</f>
        <v>0</v>
      </c>
    </row>
    <row r="10" spans="1:22">
      <c r="A10" s="148">
        <v>4</v>
      </c>
      <c r="B10" s="147" t="s">
        <v>219</v>
      </c>
      <c r="C10" s="543">
        <v>0</v>
      </c>
      <c r="D10" s="540">
        <v>0</v>
      </c>
      <c r="E10" s="540">
        <v>0</v>
      </c>
      <c r="F10" s="540">
        <v>0</v>
      </c>
      <c r="G10" s="540">
        <v>0</v>
      </c>
      <c r="H10" s="540">
        <v>0</v>
      </c>
      <c r="I10" s="540">
        <v>0</v>
      </c>
      <c r="J10" s="540">
        <v>0</v>
      </c>
      <c r="K10" s="540">
        <v>0</v>
      </c>
      <c r="L10" s="544">
        <v>0</v>
      </c>
      <c r="M10" s="543">
        <v>0</v>
      </c>
      <c r="N10" s="540">
        <v>0</v>
      </c>
      <c r="O10" s="540">
        <v>0</v>
      </c>
      <c r="P10" s="540">
        <v>0</v>
      </c>
      <c r="Q10" s="540">
        <v>0</v>
      </c>
      <c r="R10" s="540">
        <v>0</v>
      </c>
      <c r="S10" s="544">
        <v>0</v>
      </c>
      <c r="T10" s="546">
        <v>0</v>
      </c>
      <c r="U10" s="546">
        <v>0</v>
      </c>
      <c r="V10" s="265">
        <f t="shared" si="0"/>
        <v>0</v>
      </c>
    </row>
    <row r="11" spans="1:22">
      <c r="A11" s="148">
        <v>5</v>
      </c>
      <c r="B11" s="147" t="s">
        <v>220</v>
      </c>
      <c r="C11" s="543">
        <v>0</v>
      </c>
      <c r="D11" s="540">
        <v>0</v>
      </c>
      <c r="E11" s="540">
        <v>0</v>
      </c>
      <c r="F11" s="540">
        <v>0</v>
      </c>
      <c r="G11" s="540">
        <v>0</v>
      </c>
      <c r="H11" s="540">
        <v>0</v>
      </c>
      <c r="I11" s="540">
        <v>0</v>
      </c>
      <c r="J11" s="540">
        <v>0</v>
      </c>
      <c r="K11" s="540">
        <v>0</v>
      </c>
      <c r="L11" s="544">
        <v>0</v>
      </c>
      <c r="M11" s="543">
        <v>0</v>
      </c>
      <c r="N11" s="540">
        <v>0</v>
      </c>
      <c r="O11" s="540">
        <v>0</v>
      </c>
      <c r="P11" s="540">
        <v>0</v>
      </c>
      <c r="Q11" s="540">
        <v>0</v>
      </c>
      <c r="R11" s="540">
        <v>0</v>
      </c>
      <c r="S11" s="544">
        <v>0</v>
      </c>
      <c r="T11" s="546">
        <v>0</v>
      </c>
      <c r="U11" s="546">
        <v>0</v>
      </c>
      <c r="V11" s="265">
        <f t="shared" si="0"/>
        <v>0</v>
      </c>
    </row>
    <row r="12" spans="1:22">
      <c r="A12" s="148">
        <v>6</v>
      </c>
      <c r="B12" s="147" t="s">
        <v>221</v>
      </c>
      <c r="C12" s="543">
        <v>0</v>
      </c>
      <c r="D12" s="540">
        <v>0</v>
      </c>
      <c r="E12" s="540">
        <v>0</v>
      </c>
      <c r="F12" s="540">
        <v>0</v>
      </c>
      <c r="G12" s="540">
        <v>0</v>
      </c>
      <c r="H12" s="540">
        <v>0</v>
      </c>
      <c r="I12" s="540">
        <v>0</v>
      </c>
      <c r="J12" s="540">
        <v>0</v>
      </c>
      <c r="K12" s="540">
        <v>0</v>
      </c>
      <c r="L12" s="544">
        <v>0</v>
      </c>
      <c r="M12" s="543">
        <v>0</v>
      </c>
      <c r="N12" s="540">
        <v>0</v>
      </c>
      <c r="O12" s="540">
        <v>0</v>
      </c>
      <c r="P12" s="540">
        <v>0</v>
      </c>
      <c r="Q12" s="540">
        <v>0</v>
      </c>
      <c r="R12" s="540">
        <v>0</v>
      </c>
      <c r="S12" s="544">
        <v>0</v>
      </c>
      <c r="T12" s="546">
        <v>0</v>
      </c>
      <c r="U12" s="546">
        <v>0</v>
      </c>
      <c r="V12" s="265">
        <f t="shared" si="0"/>
        <v>0</v>
      </c>
    </row>
    <row r="13" spans="1:22">
      <c r="A13" s="148">
        <v>7</v>
      </c>
      <c r="B13" s="147" t="s">
        <v>73</v>
      </c>
      <c r="C13" s="543">
        <v>0</v>
      </c>
      <c r="D13" s="540">
        <v>33632562.075499997</v>
      </c>
      <c r="E13" s="540">
        <v>0</v>
      </c>
      <c r="F13" s="540">
        <v>0</v>
      </c>
      <c r="G13" s="540">
        <v>0</v>
      </c>
      <c r="H13" s="540">
        <v>0</v>
      </c>
      <c r="I13" s="540">
        <v>0</v>
      </c>
      <c r="J13" s="540">
        <v>0</v>
      </c>
      <c r="K13" s="540">
        <v>0</v>
      </c>
      <c r="L13" s="544">
        <v>0</v>
      </c>
      <c r="M13" s="543">
        <v>0</v>
      </c>
      <c r="N13" s="540">
        <v>0</v>
      </c>
      <c r="O13" s="540">
        <v>0</v>
      </c>
      <c r="P13" s="540">
        <v>0</v>
      </c>
      <c r="Q13" s="540">
        <v>0</v>
      </c>
      <c r="R13" s="540">
        <v>0</v>
      </c>
      <c r="S13" s="544">
        <v>0</v>
      </c>
      <c r="T13" s="546">
        <v>23197653.609999996</v>
      </c>
      <c r="U13" s="546">
        <v>10434908.465500001</v>
      </c>
      <c r="V13" s="265">
        <f t="shared" si="0"/>
        <v>33632562.075499997</v>
      </c>
    </row>
    <row r="14" spans="1:22">
      <c r="A14" s="148">
        <v>8</v>
      </c>
      <c r="B14" s="147" t="s">
        <v>74</v>
      </c>
      <c r="C14" s="543">
        <v>0</v>
      </c>
      <c r="D14" s="540">
        <v>3005333.6325000003</v>
      </c>
      <c r="E14" s="540">
        <v>0</v>
      </c>
      <c r="F14" s="540">
        <v>0</v>
      </c>
      <c r="G14" s="540">
        <v>0</v>
      </c>
      <c r="H14" s="540">
        <v>0</v>
      </c>
      <c r="I14" s="540">
        <v>0</v>
      </c>
      <c r="J14" s="540">
        <v>0</v>
      </c>
      <c r="K14" s="540">
        <v>0</v>
      </c>
      <c r="L14" s="544">
        <v>0</v>
      </c>
      <c r="M14" s="543">
        <v>0</v>
      </c>
      <c r="N14" s="540">
        <v>0</v>
      </c>
      <c r="O14" s="540">
        <v>0</v>
      </c>
      <c r="P14" s="540">
        <v>0</v>
      </c>
      <c r="Q14" s="540">
        <v>0</v>
      </c>
      <c r="R14" s="540">
        <v>0</v>
      </c>
      <c r="S14" s="544">
        <v>0</v>
      </c>
      <c r="T14" s="546">
        <v>3005333.6325000003</v>
      </c>
      <c r="U14" s="546">
        <v>0</v>
      </c>
      <c r="V14" s="265">
        <f t="shared" si="0"/>
        <v>3005333.6325000003</v>
      </c>
    </row>
    <row r="15" spans="1:22">
      <c r="A15" s="148">
        <v>9</v>
      </c>
      <c r="B15" s="147" t="s">
        <v>75</v>
      </c>
      <c r="C15" s="543">
        <v>0</v>
      </c>
      <c r="D15" s="540">
        <v>0</v>
      </c>
      <c r="E15" s="540">
        <v>0</v>
      </c>
      <c r="F15" s="540">
        <v>0</v>
      </c>
      <c r="G15" s="540">
        <v>0</v>
      </c>
      <c r="H15" s="540">
        <v>0</v>
      </c>
      <c r="I15" s="540">
        <v>0</v>
      </c>
      <c r="J15" s="540">
        <v>0</v>
      </c>
      <c r="K15" s="540">
        <v>0</v>
      </c>
      <c r="L15" s="544">
        <v>0</v>
      </c>
      <c r="M15" s="543">
        <v>0</v>
      </c>
      <c r="N15" s="540">
        <v>0</v>
      </c>
      <c r="O15" s="540">
        <v>0</v>
      </c>
      <c r="P15" s="540">
        <v>0</v>
      </c>
      <c r="Q15" s="540">
        <v>0</v>
      </c>
      <c r="R15" s="540">
        <v>0</v>
      </c>
      <c r="S15" s="544">
        <v>0</v>
      </c>
      <c r="T15" s="546">
        <v>0</v>
      </c>
      <c r="U15" s="546">
        <v>0</v>
      </c>
      <c r="V15" s="265">
        <f t="shared" si="0"/>
        <v>0</v>
      </c>
    </row>
    <row r="16" spans="1:22">
      <c r="A16" s="148">
        <v>10</v>
      </c>
      <c r="B16" s="147" t="s">
        <v>69</v>
      </c>
      <c r="C16" s="543">
        <v>0</v>
      </c>
      <c r="D16" s="540">
        <v>0</v>
      </c>
      <c r="E16" s="540">
        <v>0</v>
      </c>
      <c r="F16" s="540">
        <v>0</v>
      </c>
      <c r="G16" s="540">
        <v>0</v>
      </c>
      <c r="H16" s="540">
        <v>0</v>
      </c>
      <c r="I16" s="540">
        <v>0</v>
      </c>
      <c r="J16" s="540">
        <v>0</v>
      </c>
      <c r="K16" s="540">
        <v>0</v>
      </c>
      <c r="L16" s="544">
        <v>0</v>
      </c>
      <c r="M16" s="543">
        <v>0</v>
      </c>
      <c r="N16" s="540">
        <v>0</v>
      </c>
      <c r="O16" s="540">
        <v>0</v>
      </c>
      <c r="P16" s="540">
        <v>0</v>
      </c>
      <c r="Q16" s="540">
        <v>0</v>
      </c>
      <c r="R16" s="540">
        <v>0</v>
      </c>
      <c r="S16" s="544">
        <v>0</v>
      </c>
      <c r="T16" s="546">
        <v>0</v>
      </c>
      <c r="U16" s="546">
        <v>0</v>
      </c>
      <c r="V16" s="265">
        <f t="shared" si="0"/>
        <v>0</v>
      </c>
    </row>
    <row r="17" spans="1:22">
      <c r="A17" s="148">
        <v>11</v>
      </c>
      <c r="B17" s="147" t="s">
        <v>70</v>
      </c>
      <c r="C17" s="543">
        <v>0</v>
      </c>
      <c r="D17" s="540">
        <v>85129.03</v>
      </c>
      <c r="E17" s="540">
        <v>0</v>
      </c>
      <c r="F17" s="540">
        <v>0</v>
      </c>
      <c r="G17" s="540">
        <v>0</v>
      </c>
      <c r="H17" s="540">
        <v>0</v>
      </c>
      <c r="I17" s="540">
        <v>0</v>
      </c>
      <c r="J17" s="540">
        <v>0</v>
      </c>
      <c r="K17" s="540">
        <v>0</v>
      </c>
      <c r="L17" s="544">
        <v>0</v>
      </c>
      <c r="M17" s="543">
        <v>0</v>
      </c>
      <c r="N17" s="540">
        <v>0</v>
      </c>
      <c r="O17" s="540">
        <v>0</v>
      </c>
      <c r="P17" s="540">
        <v>0</v>
      </c>
      <c r="Q17" s="540">
        <v>0</v>
      </c>
      <c r="R17" s="540">
        <v>0</v>
      </c>
      <c r="S17" s="544">
        <v>0</v>
      </c>
      <c r="T17" s="546">
        <v>85129.03</v>
      </c>
      <c r="U17" s="546">
        <v>0</v>
      </c>
      <c r="V17" s="265">
        <f t="shared" si="0"/>
        <v>85129.03</v>
      </c>
    </row>
    <row r="18" spans="1:22">
      <c r="A18" s="148">
        <v>12</v>
      </c>
      <c r="B18" s="147" t="s">
        <v>71</v>
      </c>
      <c r="C18" s="543">
        <v>0</v>
      </c>
      <c r="D18" s="540">
        <v>0</v>
      </c>
      <c r="E18" s="540">
        <v>0</v>
      </c>
      <c r="F18" s="540">
        <v>0</v>
      </c>
      <c r="G18" s="540">
        <v>0</v>
      </c>
      <c r="H18" s="540">
        <v>0</v>
      </c>
      <c r="I18" s="540">
        <v>0</v>
      </c>
      <c r="J18" s="540">
        <v>0</v>
      </c>
      <c r="K18" s="540">
        <v>0</v>
      </c>
      <c r="L18" s="544">
        <v>0</v>
      </c>
      <c r="M18" s="543">
        <v>0</v>
      </c>
      <c r="N18" s="540">
        <v>0</v>
      </c>
      <c r="O18" s="540">
        <v>0</v>
      </c>
      <c r="P18" s="540">
        <v>0</v>
      </c>
      <c r="Q18" s="540">
        <v>0</v>
      </c>
      <c r="R18" s="540">
        <v>0</v>
      </c>
      <c r="S18" s="544">
        <v>0</v>
      </c>
      <c r="T18" s="546">
        <v>0</v>
      </c>
      <c r="U18" s="546">
        <v>0</v>
      </c>
      <c r="V18" s="265">
        <f t="shared" si="0"/>
        <v>0</v>
      </c>
    </row>
    <row r="19" spans="1:22">
      <c r="A19" s="148">
        <v>13</v>
      </c>
      <c r="B19" s="147" t="s">
        <v>72</v>
      </c>
      <c r="C19" s="543">
        <v>0</v>
      </c>
      <c r="D19" s="540">
        <v>0</v>
      </c>
      <c r="E19" s="540">
        <v>0</v>
      </c>
      <c r="F19" s="540">
        <v>0</v>
      </c>
      <c r="G19" s="540">
        <v>0</v>
      </c>
      <c r="H19" s="540">
        <v>0</v>
      </c>
      <c r="I19" s="540">
        <v>0</v>
      </c>
      <c r="J19" s="540">
        <v>0</v>
      </c>
      <c r="K19" s="540">
        <v>0</v>
      </c>
      <c r="L19" s="544">
        <v>0</v>
      </c>
      <c r="M19" s="543">
        <v>0</v>
      </c>
      <c r="N19" s="540">
        <v>0</v>
      </c>
      <c r="O19" s="540">
        <v>0</v>
      </c>
      <c r="P19" s="540">
        <v>0</v>
      </c>
      <c r="Q19" s="540">
        <v>0</v>
      </c>
      <c r="R19" s="540">
        <v>0</v>
      </c>
      <c r="S19" s="544">
        <v>0</v>
      </c>
      <c r="T19" s="546">
        <v>0</v>
      </c>
      <c r="U19" s="546">
        <v>0</v>
      </c>
      <c r="V19" s="265">
        <f t="shared" si="0"/>
        <v>0</v>
      </c>
    </row>
    <row r="20" spans="1:22">
      <c r="A20" s="148">
        <v>14</v>
      </c>
      <c r="B20" s="147" t="s">
        <v>249</v>
      </c>
      <c r="C20" s="543">
        <v>0</v>
      </c>
      <c r="D20" s="540">
        <v>0</v>
      </c>
      <c r="E20" s="540">
        <v>0</v>
      </c>
      <c r="F20" s="540">
        <v>0</v>
      </c>
      <c r="G20" s="540">
        <v>0</v>
      </c>
      <c r="H20" s="540">
        <v>0</v>
      </c>
      <c r="I20" s="540">
        <v>0</v>
      </c>
      <c r="J20" s="540">
        <v>0</v>
      </c>
      <c r="K20" s="540">
        <v>0</v>
      </c>
      <c r="L20" s="544">
        <v>0</v>
      </c>
      <c r="M20" s="543">
        <v>0</v>
      </c>
      <c r="N20" s="540">
        <v>0</v>
      </c>
      <c r="O20" s="540">
        <v>0</v>
      </c>
      <c r="P20" s="540">
        <v>0</v>
      </c>
      <c r="Q20" s="540">
        <v>0</v>
      </c>
      <c r="R20" s="540">
        <v>0</v>
      </c>
      <c r="S20" s="544">
        <v>0</v>
      </c>
      <c r="T20" s="546">
        <v>0</v>
      </c>
      <c r="U20" s="546">
        <v>0</v>
      </c>
      <c r="V20" s="265">
        <f t="shared" si="0"/>
        <v>0</v>
      </c>
    </row>
    <row r="21" spans="1:22" ht="13.5" thickBot="1">
      <c r="A21" s="93"/>
      <c r="B21" s="94" t="s">
        <v>68</v>
      </c>
      <c r="C21" s="266">
        <f>SUM(C7:C20)</f>
        <v>0</v>
      </c>
      <c r="D21" s="264">
        <f t="shared" ref="D21:V21" si="1">SUM(D7:D20)</f>
        <v>36723024.737999998</v>
      </c>
      <c r="E21" s="264">
        <f t="shared" si="1"/>
        <v>0</v>
      </c>
      <c r="F21" s="264">
        <f t="shared" si="1"/>
        <v>0</v>
      </c>
      <c r="G21" s="264">
        <f t="shared" si="1"/>
        <v>0</v>
      </c>
      <c r="H21" s="264">
        <f t="shared" si="1"/>
        <v>0</v>
      </c>
      <c r="I21" s="264">
        <f t="shared" si="1"/>
        <v>0</v>
      </c>
      <c r="J21" s="264">
        <f t="shared" si="1"/>
        <v>0</v>
      </c>
      <c r="K21" s="264">
        <f t="shared" si="1"/>
        <v>0</v>
      </c>
      <c r="L21" s="267">
        <f t="shared" si="1"/>
        <v>0</v>
      </c>
      <c r="M21" s="266">
        <f t="shared" si="1"/>
        <v>0</v>
      </c>
      <c r="N21" s="264">
        <f t="shared" si="1"/>
        <v>0</v>
      </c>
      <c r="O21" s="264">
        <f t="shared" si="1"/>
        <v>0</v>
      </c>
      <c r="P21" s="264">
        <f t="shared" si="1"/>
        <v>0</v>
      </c>
      <c r="Q21" s="264">
        <f t="shared" si="1"/>
        <v>0</v>
      </c>
      <c r="R21" s="264">
        <f t="shared" si="1"/>
        <v>0</v>
      </c>
      <c r="S21" s="267">
        <f t="shared" si="1"/>
        <v>0</v>
      </c>
      <c r="T21" s="267">
        <f>SUM(T7:T20)</f>
        <v>26288116.272499997</v>
      </c>
      <c r="U21" s="267">
        <f t="shared" si="1"/>
        <v>10434908.465500001</v>
      </c>
      <c r="V21" s="268">
        <f t="shared" si="1"/>
        <v>36723024.737999998</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35">
        <f>'1. key ratios'!B2</f>
        <v>44742</v>
      </c>
    </row>
    <row r="4" spans="1:9" ht="13.5" thickBot="1">
      <c r="A4" s="1" t="s">
        <v>340</v>
      </c>
      <c r="B4" s="52" t="s">
        <v>362</v>
      </c>
    </row>
    <row r="5" spans="1:9">
      <c r="A5" s="91"/>
      <c r="B5" s="145"/>
      <c r="C5" s="150" t="s">
        <v>0</v>
      </c>
      <c r="D5" s="150" t="s">
        <v>1</v>
      </c>
      <c r="E5" s="150" t="s">
        <v>2</v>
      </c>
      <c r="F5" s="150" t="s">
        <v>3</v>
      </c>
      <c r="G5" s="274" t="s">
        <v>4</v>
      </c>
      <c r="H5" s="151" t="s">
        <v>5</v>
      </c>
      <c r="I5" s="19"/>
    </row>
    <row r="6" spans="1:9" ht="15" customHeight="1">
      <c r="A6" s="144"/>
      <c r="B6" s="17"/>
      <c r="C6" s="649" t="s">
        <v>354</v>
      </c>
      <c r="D6" s="660" t="s">
        <v>364</v>
      </c>
      <c r="E6" s="661"/>
      <c r="F6" s="649" t="s">
        <v>365</v>
      </c>
      <c r="G6" s="649" t="s">
        <v>366</v>
      </c>
      <c r="H6" s="658" t="s">
        <v>356</v>
      </c>
      <c r="I6" s="19"/>
    </row>
    <row r="7" spans="1:9" ht="63.75">
      <c r="A7" s="144"/>
      <c r="B7" s="17"/>
      <c r="C7" s="650"/>
      <c r="D7" s="275" t="s">
        <v>357</v>
      </c>
      <c r="E7" s="275" t="s">
        <v>355</v>
      </c>
      <c r="F7" s="650"/>
      <c r="G7" s="650"/>
      <c r="H7" s="659"/>
      <c r="I7" s="19"/>
    </row>
    <row r="8" spans="1:9">
      <c r="A8" s="83">
        <v>1</v>
      </c>
      <c r="B8" s="66" t="s">
        <v>216</v>
      </c>
      <c r="C8" s="547">
        <v>279004474.64999998</v>
      </c>
      <c r="D8" s="548">
        <v>0</v>
      </c>
      <c r="E8" s="547">
        <v>0</v>
      </c>
      <c r="F8" s="547">
        <v>107923562.45</v>
      </c>
      <c r="G8" s="549">
        <v>107923562.45</v>
      </c>
      <c r="H8" s="278">
        <f>G8/(C8+E8)</f>
        <v>0.38681660064909645</v>
      </c>
    </row>
    <row r="9" spans="1:9" ht="15" customHeight="1">
      <c r="A9" s="83">
        <v>2</v>
      </c>
      <c r="B9" s="66" t="s">
        <v>217</v>
      </c>
      <c r="C9" s="547">
        <v>0</v>
      </c>
      <c r="D9" s="548">
        <v>0</v>
      </c>
      <c r="E9" s="547">
        <v>0</v>
      </c>
      <c r="F9" s="547">
        <v>0</v>
      </c>
      <c r="G9" s="549">
        <v>0</v>
      </c>
      <c r="H9" s="278"/>
    </row>
    <row r="10" spans="1:9">
      <c r="A10" s="83">
        <v>3</v>
      </c>
      <c r="B10" s="66" t="s">
        <v>218</v>
      </c>
      <c r="C10" s="547">
        <v>0</v>
      </c>
      <c r="D10" s="548">
        <v>0</v>
      </c>
      <c r="E10" s="547">
        <v>0</v>
      </c>
      <c r="F10" s="547">
        <v>0</v>
      </c>
      <c r="G10" s="549">
        <v>0</v>
      </c>
      <c r="H10" s="278"/>
    </row>
    <row r="11" spans="1:9">
      <c r="A11" s="83">
        <v>4</v>
      </c>
      <c r="B11" s="66" t="s">
        <v>219</v>
      </c>
      <c r="C11" s="547">
        <v>0</v>
      </c>
      <c r="D11" s="548">
        <v>0</v>
      </c>
      <c r="E11" s="547">
        <v>0</v>
      </c>
      <c r="F11" s="547">
        <v>0</v>
      </c>
      <c r="G11" s="549">
        <v>0</v>
      </c>
      <c r="H11" s="278"/>
    </row>
    <row r="12" spans="1:9">
      <c r="A12" s="83">
        <v>5</v>
      </c>
      <c r="B12" s="66" t="s">
        <v>220</v>
      </c>
      <c r="C12" s="547">
        <v>0</v>
      </c>
      <c r="D12" s="548">
        <v>0</v>
      </c>
      <c r="E12" s="547">
        <v>0</v>
      </c>
      <c r="F12" s="547">
        <v>0</v>
      </c>
      <c r="G12" s="549">
        <v>0</v>
      </c>
      <c r="H12" s="278"/>
    </row>
    <row r="13" spans="1:9">
      <c r="A13" s="83">
        <v>6</v>
      </c>
      <c r="B13" s="66" t="s">
        <v>221</v>
      </c>
      <c r="C13" s="547">
        <v>9908461.8499999978</v>
      </c>
      <c r="D13" s="548">
        <v>0</v>
      </c>
      <c r="E13" s="547">
        <v>0</v>
      </c>
      <c r="F13" s="547">
        <v>5542678.2759999996</v>
      </c>
      <c r="G13" s="549">
        <v>5542678.2759999996</v>
      </c>
      <c r="H13" s="278">
        <f t="shared" ref="H13:H21" si="0">G13/(C13+E13)</f>
        <v>0.55938836520826907</v>
      </c>
    </row>
    <row r="14" spans="1:9">
      <c r="A14" s="83">
        <v>7</v>
      </c>
      <c r="B14" s="66" t="s">
        <v>73</v>
      </c>
      <c r="C14" s="547">
        <v>514465760.21284372</v>
      </c>
      <c r="D14" s="548">
        <v>79001767.329999983</v>
      </c>
      <c r="E14" s="547">
        <v>43362329.133999996</v>
      </c>
      <c r="F14" s="548">
        <v>557828089.34684372</v>
      </c>
      <c r="G14" s="550">
        <v>524195527.27134371</v>
      </c>
      <c r="H14" s="278">
        <f>G14/(C14+E14)</f>
        <v>0.93970801629068179</v>
      </c>
    </row>
    <row r="15" spans="1:9">
      <c r="A15" s="83">
        <v>8</v>
      </c>
      <c r="B15" s="66" t="s">
        <v>74</v>
      </c>
      <c r="C15" s="547">
        <v>335852603.38825953</v>
      </c>
      <c r="D15" s="548">
        <v>18801575.419999987</v>
      </c>
      <c r="E15" s="547">
        <v>8671576.8209999949</v>
      </c>
      <c r="F15" s="548">
        <v>258393135.15694463</v>
      </c>
      <c r="G15" s="550">
        <v>255387801.52444464</v>
      </c>
      <c r="H15" s="278">
        <f t="shared" si="0"/>
        <v>0.74127685716957636</v>
      </c>
    </row>
    <row r="16" spans="1:9">
      <c r="A16" s="83">
        <v>9</v>
      </c>
      <c r="B16" s="66" t="s">
        <v>75</v>
      </c>
      <c r="C16" s="547">
        <v>109347162.01857811</v>
      </c>
      <c r="D16" s="548">
        <v>2019754.51</v>
      </c>
      <c r="E16" s="547">
        <v>1123923.3</v>
      </c>
      <c r="F16" s="548">
        <v>38664879.861502334</v>
      </c>
      <c r="G16" s="550">
        <v>38664879.861502334</v>
      </c>
      <c r="H16" s="278">
        <f t="shared" si="0"/>
        <v>0.35</v>
      </c>
    </row>
    <row r="17" spans="1:8">
      <c r="A17" s="83">
        <v>10</v>
      </c>
      <c r="B17" s="66" t="s">
        <v>69</v>
      </c>
      <c r="C17" s="547">
        <v>9714078.5734089538</v>
      </c>
      <c r="D17" s="548">
        <v>0</v>
      </c>
      <c r="E17" s="547">
        <v>0</v>
      </c>
      <c r="F17" s="548">
        <v>8959868.0523312874</v>
      </c>
      <c r="G17" s="550">
        <v>8959868.0523312874</v>
      </c>
      <c r="H17" s="278">
        <f t="shared" si="0"/>
        <v>0.92235902609000697</v>
      </c>
    </row>
    <row r="18" spans="1:8">
      <c r="A18" s="83">
        <v>11</v>
      </c>
      <c r="B18" s="66" t="s">
        <v>70</v>
      </c>
      <c r="C18" s="547">
        <v>61262059.406908318</v>
      </c>
      <c r="D18" s="548">
        <v>0</v>
      </c>
      <c r="E18" s="547">
        <v>0</v>
      </c>
      <c r="F18" s="548">
        <v>73823490.998346806</v>
      </c>
      <c r="G18" s="550">
        <v>73738361.968346804</v>
      </c>
      <c r="H18" s="278">
        <f t="shared" si="0"/>
        <v>1.203654638486273</v>
      </c>
    </row>
    <row r="19" spans="1:8">
      <c r="A19" s="83">
        <v>12</v>
      </c>
      <c r="B19" s="66" t="s">
        <v>71</v>
      </c>
      <c r="C19" s="547">
        <v>0</v>
      </c>
      <c r="D19" s="548">
        <v>0</v>
      </c>
      <c r="E19" s="547">
        <v>0</v>
      </c>
      <c r="F19" s="548">
        <v>0</v>
      </c>
      <c r="G19" s="550">
        <v>0</v>
      </c>
      <c r="H19" s="278"/>
    </row>
    <row r="20" spans="1:8">
      <c r="A20" s="83">
        <v>13</v>
      </c>
      <c r="B20" s="66" t="s">
        <v>72</v>
      </c>
      <c r="C20" s="547">
        <v>0</v>
      </c>
      <c r="D20" s="548">
        <v>0</v>
      </c>
      <c r="E20" s="547">
        <v>0</v>
      </c>
      <c r="F20" s="548">
        <v>0</v>
      </c>
      <c r="G20" s="550">
        <v>0</v>
      </c>
      <c r="H20" s="278"/>
    </row>
    <row r="21" spans="1:8">
      <c r="A21" s="83">
        <v>14</v>
      </c>
      <c r="B21" s="66" t="s">
        <v>249</v>
      </c>
      <c r="C21" s="547">
        <v>67072350.689999968</v>
      </c>
      <c r="D21" s="548">
        <v>0</v>
      </c>
      <c r="E21" s="547">
        <v>0</v>
      </c>
      <c r="F21" s="548">
        <v>33477299.329999976</v>
      </c>
      <c r="G21" s="550">
        <v>33477299.329999976</v>
      </c>
      <c r="H21" s="278">
        <f t="shared" si="0"/>
        <v>0.49912220140796726</v>
      </c>
    </row>
    <row r="22" spans="1:8" ht="13.5" thickBot="1">
      <c r="A22" s="146"/>
      <c r="B22" s="152" t="s">
        <v>68</v>
      </c>
      <c r="C22" s="551">
        <f>SUM(C8:C21)</f>
        <v>1386626950.7899985</v>
      </c>
      <c r="D22" s="264">
        <f>SUM(D8:D21)</f>
        <v>99823097.259999976</v>
      </c>
      <c r="E22" s="264">
        <f>SUM(E8:E21)</f>
        <v>53157829.254999988</v>
      </c>
      <c r="F22" s="264">
        <f>SUM(F8:F21)</f>
        <v>1084613003.4719687</v>
      </c>
      <c r="G22" s="264">
        <f>SUM(G8:G21)</f>
        <v>1047889978.7339687</v>
      </c>
      <c r="H22" s="279">
        <f t="shared" ref="H22" si="1">IFERROR(G22/(C22+E22),"")</f>
        <v>0.72781015139027827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35">
        <f>'1. key ratios'!B2</f>
        <v>44742</v>
      </c>
    </row>
    <row r="4" spans="1:11" ht="13.5" thickBot="1">
      <c r="A4" s="1" t="s">
        <v>395</v>
      </c>
      <c r="B4" s="52" t="s">
        <v>394</v>
      </c>
    </row>
    <row r="5" spans="1:11" ht="30" customHeight="1">
      <c r="A5" s="665"/>
      <c r="B5" s="666"/>
      <c r="C5" s="663" t="s">
        <v>426</v>
      </c>
      <c r="D5" s="663"/>
      <c r="E5" s="663"/>
      <c r="F5" s="663" t="s">
        <v>427</v>
      </c>
      <c r="G5" s="663"/>
      <c r="H5" s="663"/>
      <c r="I5" s="663" t="s">
        <v>428</v>
      </c>
      <c r="J5" s="663"/>
      <c r="K5" s="664"/>
    </row>
    <row r="6" spans="1:11">
      <c r="A6" s="306"/>
      <c r="B6" s="307"/>
      <c r="C6" s="308" t="s">
        <v>27</v>
      </c>
      <c r="D6" s="308" t="s">
        <v>96</v>
      </c>
      <c r="E6" s="308" t="s">
        <v>68</v>
      </c>
      <c r="F6" s="308" t="s">
        <v>27</v>
      </c>
      <c r="G6" s="308" t="s">
        <v>96</v>
      </c>
      <c r="H6" s="308" t="s">
        <v>68</v>
      </c>
      <c r="I6" s="308" t="s">
        <v>27</v>
      </c>
      <c r="J6" s="308" t="s">
        <v>96</v>
      </c>
      <c r="K6" s="309" t="s">
        <v>68</v>
      </c>
    </row>
    <row r="7" spans="1:11">
      <c r="A7" s="310" t="s">
        <v>374</v>
      </c>
      <c r="B7" s="305"/>
      <c r="C7" s="552"/>
      <c r="D7" s="552"/>
      <c r="E7" s="552"/>
      <c r="F7" s="552"/>
      <c r="G7" s="552"/>
      <c r="H7" s="552"/>
      <c r="I7" s="552"/>
      <c r="J7" s="552"/>
      <c r="K7" s="553"/>
    </row>
    <row r="8" spans="1:11">
      <c r="A8" s="304">
        <v>1</v>
      </c>
      <c r="B8" s="285" t="s">
        <v>374</v>
      </c>
      <c r="C8" s="554"/>
      <c r="D8" s="554"/>
      <c r="E8" s="554"/>
      <c r="F8" s="555">
        <v>74258767.045844436</v>
      </c>
      <c r="G8" s="555">
        <v>147417113.10331002</v>
      </c>
      <c r="H8" s="555">
        <v>221675880.14915442</v>
      </c>
      <c r="I8" s="555">
        <v>70713140.652955547</v>
      </c>
      <c r="J8" s="555">
        <v>135369220.6171878</v>
      </c>
      <c r="K8" s="556">
        <v>206082361.27014333</v>
      </c>
    </row>
    <row r="9" spans="1:11">
      <c r="A9" s="310" t="s">
        <v>375</v>
      </c>
      <c r="B9" s="305"/>
      <c r="C9" s="552"/>
      <c r="D9" s="552"/>
      <c r="E9" s="552"/>
      <c r="F9" s="552"/>
      <c r="G9" s="552"/>
      <c r="H9" s="552"/>
      <c r="I9" s="552"/>
      <c r="J9" s="552"/>
      <c r="K9" s="553"/>
    </row>
    <row r="10" spans="1:11">
      <c r="A10" s="311">
        <v>2</v>
      </c>
      <c r="B10" s="286" t="s">
        <v>376</v>
      </c>
      <c r="C10" s="462">
        <v>82697917.097466484</v>
      </c>
      <c r="D10" s="557">
        <v>314454288.68866825</v>
      </c>
      <c r="E10" s="557">
        <v>397152205.78613472</v>
      </c>
      <c r="F10" s="557">
        <v>14179383.145720076</v>
      </c>
      <c r="G10" s="557">
        <v>62334097.747872442</v>
      </c>
      <c r="H10" s="557">
        <v>76513480.893592522</v>
      </c>
      <c r="I10" s="557">
        <v>3331030.4991196017</v>
      </c>
      <c r="J10" s="557">
        <v>13021363.080809887</v>
      </c>
      <c r="K10" s="558">
        <v>16352393.57992949</v>
      </c>
    </row>
    <row r="11" spans="1:11">
      <c r="A11" s="311">
        <v>3</v>
      </c>
      <c r="B11" s="286" t="s">
        <v>377</v>
      </c>
      <c r="C11" s="462">
        <v>294408547.11728889</v>
      </c>
      <c r="D11" s="557">
        <v>297941055.44809878</v>
      </c>
      <c r="E11" s="557">
        <v>592349602.56538773</v>
      </c>
      <c r="F11" s="557">
        <v>62580487.355555326</v>
      </c>
      <c r="G11" s="557">
        <v>52929972.348202258</v>
      </c>
      <c r="H11" s="557">
        <v>115510459.70375758</v>
      </c>
      <c r="I11" s="557">
        <v>55354984.069633983</v>
      </c>
      <c r="J11" s="557">
        <v>46018627.133178011</v>
      </c>
      <c r="K11" s="558">
        <v>101373611.20281199</v>
      </c>
    </row>
    <row r="12" spans="1:11">
      <c r="A12" s="311">
        <v>4</v>
      </c>
      <c r="B12" s="286" t="s">
        <v>378</v>
      </c>
      <c r="C12" s="462">
        <v>147325555.55555555</v>
      </c>
      <c r="D12" s="557">
        <v>0</v>
      </c>
      <c r="E12" s="557">
        <v>147325555.55555555</v>
      </c>
      <c r="F12" s="557">
        <v>0</v>
      </c>
      <c r="G12" s="557">
        <v>0</v>
      </c>
      <c r="H12" s="557">
        <v>0</v>
      </c>
      <c r="I12" s="557">
        <v>0</v>
      </c>
      <c r="J12" s="557">
        <v>0</v>
      </c>
      <c r="K12" s="558">
        <v>0</v>
      </c>
    </row>
    <row r="13" spans="1:11">
      <c r="A13" s="311">
        <v>5</v>
      </c>
      <c r="B13" s="286" t="s">
        <v>379</v>
      </c>
      <c r="C13" s="462">
        <v>66075487.329666667</v>
      </c>
      <c r="D13" s="557">
        <v>95251600.80336225</v>
      </c>
      <c r="E13" s="557">
        <v>161327088.13302892</v>
      </c>
      <c r="F13" s="557">
        <v>11078120.100135555</v>
      </c>
      <c r="G13" s="557">
        <v>64270331.751834929</v>
      </c>
      <c r="H13" s="557">
        <v>75348451.851970479</v>
      </c>
      <c r="I13" s="557">
        <v>5168907.5020944448</v>
      </c>
      <c r="J13" s="557">
        <v>60685192.106555447</v>
      </c>
      <c r="K13" s="558">
        <v>65854099.608649895</v>
      </c>
    </row>
    <row r="14" spans="1:11">
      <c r="A14" s="311">
        <v>6</v>
      </c>
      <c r="B14" s="286" t="s">
        <v>393</v>
      </c>
      <c r="C14" s="462">
        <v>6365709.9308888884</v>
      </c>
      <c r="D14" s="557">
        <v>8522178.8971088901</v>
      </c>
      <c r="E14" s="557">
        <v>14887888.827997778</v>
      </c>
      <c r="F14" s="557">
        <v>0</v>
      </c>
      <c r="G14" s="557">
        <v>0</v>
      </c>
      <c r="H14" s="557">
        <v>0</v>
      </c>
      <c r="I14" s="557">
        <v>0</v>
      </c>
      <c r="J14" s="557">
        <v>0</v>
      </c>
      <c r="K14" s="558">
        <v>0</v>
      </c>
    </row>
    <row r="15" spans="1:11">
      <c r="A15" s="311">
        <v>7</v>
      </c>
      <c r="B15" s="286" t="s">
        <v>380</v>
      </c>
      <c r="C15" s="462">
        <v>7241995.4132222254</v>
      </c>
      <c r="D15" s="557">
        <v>5839042.8000977784</v>
      </c>
      <c r="E15" s="557">
        <v>13081038.213320004</v>
      </c>
      <c r="F15" s="557">
        <v>2485007.5053333337</v>
      </c>
      <c r="G15" s="557">
        <v>2674376.2702566669</v>
      </c>
      <c r="H15" s="557">
        <v>5159383.7755900007</v>
      </c>
      <c r="I15" s="557">
        <v>2485007.5053333337</v>
      </c>
      <c r="J15" s="557">
        <v>2674376.2702566669</v>
      </c>
      <c r="K15" s="558">
        <v>5159383.7755900007</v>
      </c>
    </row>
    <row r="16" spans="1:11">
      <c r="A16" s="311">
        <v>8</v>
      </c>
      <c r="B16" s="287" t="s">
        <v>381</v>
      </c>
      <c r="C16" s="462">
        <v>604115212.44408858</v>
      </c>
      <c r="D16" s="557">
        <v>722008166.63733602</v>
      </c>
      <c r="E16" s="557">
        <v>1326123379.0814247</v>
      </c>
      <c r="F16" s="557">
        <v>90322998.106744289</v>
      </c>
      <c r="G16" s="557">
        <v>182208778.1181663</v>
      </c>
      <c r="H16" s="557">
        <v>272531776.22491062</v>
      </c>
      <c r="I16" s="557">
        <v>66339929.576181367</v>
      </c>
      <c r="J16" s="557">
        <v>122399558.59080002</v>
      </c>
      <c r="K16" s="558">
        <v>188739488.1669814</v>
      </c>
    </row>
    <row r="17" spans="1:11">
      <c r="A17" s="310" t="s">
        <v>382</v>
      </c>
      <c r="B17" s="305"/>
      <c r="C17" s="552"/>
      <c r="D17" s="552"/>
      <c r="E17" s="552"/>
      <c r="F17" s="552"/>
      <c r="G17" s="552"/>
      <c r="H17" s="552"/>
      <c r="I17" s="552"/>
      <c r="J17" s="552"/>
      <c r="K17" s="553"/>
    </row>
    <row r="18" spans="1:11">
      <c r="A18" s="311">
        <v>9</v>
      </c>
      <c r="B18" s="286" t="s">
        <v>383</v>
      </c>
      <c r="C18" s="462">
        <v>0</v>
      </c>
      <c r="D18" s="557">
        <v>0</v>
      </c>
      <c r="E18" s="557">
        <v>0</v>
      </c>
      <c r="F18" s="557">
        <v>0</v>
      </c>
      <c r="G18" s="557">
        <v>0</v>
      </c>
      <c r="H18" s="557">
        <v>0</v>
      </c>
      <c r="I18" s="557">
        <v>0</v>
      </c>
      <c r="J18" s="557">
        <v>0</v>
      </c>
      <c r="K18" s="558">
        <v>0</v>
      </c>
    </row>
    <row r="19" spans="1:11">
      <c r="A19" s="311">
        <v>10</v>
      </c>
      <c r="B19" s="286" t="s">
        <v>384</v>
      </c>
      <c r="C19" s="462">
        <v>389351409.21033394</v>
      </c>
      <c r="D19" s="557">
        <v>437747814.60395116</v>
      </c>
      <c r="E19" s="557">
        <v>827099223.81428504</v>
      </c>
      <c r="F19" s="557">
        <v>20203494.135388888</v>
      </c>
      <c r="G19" s="557">
        <v>6229788.7257222217</v>
      </c>
      <c r="H19" s="557">
        <v>26433282.861111112</v>
      </c>
      <c r="I19" s="557">
        <v>23749142.174944445</v>
      </c>
      <c r="J19" s="557">
        <v>18906260.323451109</v>
      </c>
      <c r="K19" s="558">
        <v>42655402.498395555</v>
      </c>
    </row>
    <row r="20" spans="1:11">
      <c r="A20" s="311">
        <v>11</v>
      </c>
      <c r="B20" s="286" t="s">
        <v>385</v>
      </c>
      <c r="C20" s="462">
        <v>15143112.701266671</v>
      </c>
      <c r="D20" s="557">
        <v>60295581.145974442</v>
      </c>
      <c r="E20" s="557">
        <v>75438693.847241119</v>
      </c>
      <c r="F20" s="557">
        <v>6167652.1697111111</v>
      </c>
      <c r="G20" s="557">
        <v>59446114.280760005</v>
      </c>
      <c r="H20" s="557">
        <v>65613766.450471118</v>
      </c>
      <c r="I20" s="557">
        <v>6167652.1697111111</v>
      </c>
      <c r="J20" s="557">
        <v>59446114.280760005</v>
      </c>
      <c r="K20" s="558">
        <v>65613766.450471118</v>
      </c>
    </row>
    <row r="21" spans="1:11" ht="13.5" thickBot="1">
      <c r="A21" s="206">
        <v>12</v>
      </c>
      <c r="B21" s="312" t="s">
        <v>386</v>
      </c>
      <c r="C21" s="559">
        <v>404494521.91160059</v>
      </c>
      <c r="D21" s="560">
        <v>498043395.74992561</v>
      </c>
      <c r="E21" s="559">
        <v>902537917.6615262</v>
      </c>
      <c r="F21" s="560">
        <v>26371146.305100001</v>
      </c>
      <c r="G21" s="560">
        <v>65675903.006482229</v>
      </c>
      <c r="H21" s="560">
        <v>92047049.311582237</v>
      </c>
      <c r="I21" s="560">
        <v>29916794.344655558</v>
      </c>
      <c r="J21" s="560">
        <v>78352374.604211122</v>
      </c>
      <c r="K21" s="561">
        <v>108269168.94886668</v>
      </c>
    </row>
    <row r="22" spans="1:11" ht="38.25" customHeight="1" thickBot="1">
      <c r="A22" s="302"/>
      <c r="B22" s="303"/>
      <c r="C22" s="303"/>
      <c r="D22" s="303"/>
      <c r="E22" s="303"/>
      <c r="F22" s="662" t="s">
        <v>387</v>
      </c>
      <c r="G22" s="663"/>
      <c r="H22" s="663"/>
      <c r="I22" s="662" t="s">
        <v>388</v>
      </c>
      <c r="J22" s="663"/>
      <c r="K22" s="664"/>
    </row>
    <row r="23" spans="1:11">
      <c r="A23" s="293">
        <v>13</v>
      </c>
      <c r="B23" s="288" t="s">
        <v>374</v>
      </c>
      <c r="C23" s="301"/>
      <c r="D23" s="301"/>
      <c r="E23" s="301"/>
      <c r="F23" s="289">
        <v>74258767.045844436</v>
      </c>
      <c r="G23" s="289">
        <v>147417113.10331002</v>
      </c>
      <c r="H23" s="289">
        <v>221675880.14915442</v>
      </c>
      <c r="I23" s="289">
        <v>70713140.652955547</v>
      </c>
      <c r="J23" s="289">
        <v>135369220.6171878</v>
      </c>
      <c r="K23" s="294">
        <v>206082361.27014333</v>
      </c>
    </row>
    <row r="24" spans="1:11" ht="13.5" thickBot="1">
      <c r="A24" s="295">
        <v>14</v>
      </c>
      <c r="B24" s="290" t="s">
        <v>389</v>
      </c>
      <c r="C24" s="313"/>
      <c r="D24" s="299"/>
      <c r="E24" s="300"/>
      <c r="F24" s="291">
        <v>63951851.801644288</v>
      </c>
      <c r="G24" s="291">
        <v>116532875.11168407</v>
      </c>
      <c r="H24" s="291">
        <v>180484726.91332838</v>
      </c>
      <c r="I24" s="291">
        <v>36423135.231525809</v>
      </c>
      <c r="J24" s="291">
        <v>44047183.986588895</v>
      </c>
      <c r="K24" s="296">
        <v>80470319.218114719</v>
      </c>
    </row>
    <row r="25" spans="1:11" ht="13.5" thickBot="1">
      <c r="A25" s="297">
        <v>15</v>
      </c>
      <c r="B25" s="292" t="s">
        <v>390</v>
      </c>
      <c r="C25" s="298"/>
      <c r="D25" s="298"/>
      <c r="E25" s="298"/>
      <c r="F25" s="562">
        <v>1.1611667989875962</v>
      </c>
      <c r="G25" s="562">
        <v>1.2650259676681517</v>
      </c>
      <c r="H25" s="562">
        <v>1.2282251464724032</v>
      </c>
      <c r="I25" s="563">
        <v>1.9414347557798992</v>
      </c>
      <c r="J25" s="563">
        <v>3.0732775257188711</v>
      </c>
      <c r="K25" s="564">
        <v>2.5609735772460067</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35">
        <f>'1. key ratios'!B2</f>
        <v>44742</v>
      </c>
    </row>
    <row r="3" spans="1:14" ht="14.25" customHeight="1"/>
    <row r="4" spans="1:14" ht="15.75" thickBot="1">
      <c r="A4" s="1" t="s">
        <v>341</v>
      </c>
      <c r="B4" s="85"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3"/>
      <c r="B6" s="95"/>
      <c r="C6" s="96" t="s">
        <v>87</v>
      </c>
      <c r="D6" s="97" t="s">
        <v>76</v>
      </c>
      <c r="E6" s="98" t="s">
        <v>86</v>
      </c>
      <c r="F6" s="99">
        <v>0</v>
      </c>
      <c r="G6" s="99">
        <v>0.2</v>
      </c>
      <c r="H6" s="99">
        <v>0.35</v>
      </c>
      <c r="I6" s="99">
        <v>0.5</v>
      </c>
      <c r="J6" s="99">
        <v>0.75</v>
      </c>
      <c r="K6" s="99">
        <v>1</v>
      </c>
      <c r="L6" s="99">
        <v>1.5</v>
      </c>
      <c r="M6" s="99">
        <v>2.5</v>
      </c>
      <c r="N6" s="154" t="s">
        <v>77</v>
      </c>
    </row>
    <row r="7" spans="1:14">
      <c r="A7" s="155">
        <v>1</v>
      </c>
      <c r="B7" s="100" t="s">
        <v>78</v>
      </c>
      <c r="C7" s="269">
        <f>SUM(C8:C13)</f>
        <v>65667999.719999999</v>
      </c>
      <c r="D7" s="95"/>
      <c r="E7" s="567">
        <f t="shared" ref="E7:M7" si="0">SUM(E8:E13)</f>
        <v>1313359.9944</v>
      </c>
      <c r="F7" s="567">
        <f>SUM(F8:F13)</f>
        <v>0</v>
      </c>
      <c r="G7" s="567">
        <f t="shared" si="0"/>
        <v>0</v>
      </c>
      <c r="H7" s="567">
        <f t="shared" si="0"/>
        <v>0</v>
      </c>
      <c r="I7" s="567">
        <f t="shared" si="0"/>
        <v>0</v>
      </c>
      <c r="J7" s="567">
        <f t="shared" si="0"/>
        <v>0</v>
      </c>
      <c r="K7" s="567">
        <f t="shared" si="0"/>
        <v>1313359.9944</v>
      </c>
      <c r="L7" s="567">
        <f t="shared" si="0"/>
        <v>0</v>
      </c>
      <c r="M7" s="567">
        <f t="shared" si="0"/>
        <v>0</v>
      </c>
      <c r="N7" s="568">
        <f>SUM(N8:N13)</f>
        <v>1313359.9944</v>
      </c>
    </row>
    <row r="8" spans="1:14">
      <c r="A8" s="155">
        <v>1.1000000000000001</v>
      </c>
      <c r="B8" s="101" t="s">
        <v>79</v>
      </c>
      <c r="C8" s="270">
        <v>65667999.719999999</v>
      </c>
      <c r="D8" s="102">
        <v>0.02</v>
      </c>
      <c r="E8" s="567">
        <f>C8*D8</f>
        <v>1313359.9944</v>
      </c>
      <c r="F8" s="569">
        <v>0</v>
      </c>
      <c r="G8" s="569">
        <v>0</v>
      </c>
      <c r="H8" s="569">
        <v>0</v>
      </c>
      <c r="I8" s="569">
        <v>0</v>
      </c>
      <c r="J8" s="569">
        <v>0</v>
      </c>
      <c r="K8" s="569">
        <v>1313359.9944</v>
      </c>
      <c r="L8" s="569">
        <v>0</v>
      </c>
      <c r="M8" s="569">
        <v>0</v>
      </c>
      <c r="N8" s="568">
        <f>SUMPRODUCT($F$6:$M$6,F8:M8)</f>
        <v>1313359.9944</v>
      </c>
    </row>
    <row r="9" spans="1:14">
      <c r="A9" s="155">
        <v>1.2</v>
      </c>
      <c r="B9" s="101" t="s">
        <v>80</v>
      </c>
      <c r="C9" s="566">
        <v>0</v>
      </c>
      <c r="D9" s="102">
        <v>0.05</v>
      </c>
      <c r="E9" s="567">
        <f>C9*D9</f>
        <v>0</v>
      </c>
      <c r="F9" s="569">
        <v>0</v>
      </c>
      <c r="G9" s="569">
        <v>0</v>
      </c>
      <c r="H9" s="569">
        <v>0</v>
      </c>
      <c r="I9" s="569">
        <v>0</v>
      </c>
      <c r="J9" s="569">
        <v>0</v>
      </c>
      <c r="K9" s="569">
        <v>0</v>
      </c>
      <c r="L9" s="569">
        <v>0</v>
      </c>
      <c r="M9" s="569">
        <v>0</v>
      </c>
      <c r="N9" s="568">
        <f t="shared" ref="N9:N12" si="1">SUMPRODUCT($F$6:$M$6,F9:M9)</f>
        <v>0</v>
      </c>
    </row>
    <row r="10" spans="1:14">
      <c r="A10" s="155">
        <v>1.3</v>
      </c>
      <c r="B10" s="101" t="s">
        <v>81</v>
      </c>
      <c r="C10" s="566">
        <v>0</v>
      </c>
      <c r="D10" s="102">
        <v>0.08</v>
      </c>
      <c r="E10" s="567">
        <f>C10*D10</f>
        <v>0</v>
      </c>
      <c r="F10" s="569">
        <v>0</v>
      </c>
      <c r="G10" s="569">
        <v>0</v>
      </c>
      <c r="H10" s="569">
        <v>0</v>
      </c>
      <c r="I10" s="569">
        <v>0</v>
      </c>
      <c r="J10" s="569">
        <v>0</v>
      </c>
      <c r="K10" s="569">
        <v>0</v>
      </c>
      <c r="L10" s="569">
        <v>0</v>
      </c>
      <c r="M10" s="569">
        <v>0</v>
      </c>
      <c r="N10" s="568">
        <f>SUMPRODUCT($F$6:$M$6,F10:M10)</f>
        <v>0</v>
      </c>
    </row>
    <row r="11" spans="1:14">
      <c r="A11" s="155">
        <v>1.4</v>
      </c>
      <c r="B11" s="101" t="s">
        <v>82</v>
      </c>
      <c r="C11" s="566">
        <v>0</v>
      </c>
      <c r="D11" s="102">
        <v>0.11</v>
      </c>
      <c r="E11" s="567">
        <f>C11*D11</f>
        <v>0</v>
      </c>
      <c r="F11" s="569">
        <v>0</v>
      </c>
      <c r="G11" s="569">
        <v>0</v>
      </c>
      <c r="H11" s="569">
        <v>0</v>
      </c>
      <c r="I11" s="569">
        <v>0</v>
      </c>
      <c r="J11" s="569">
        <v>0</v>
      </c>
      <c r="K11" s="569">
        <v>0</v>
      </c>
      <c r="L11" s="569">
        <v>0</v>
      </c>
      <c r="M11" s="569">
        <v>0</v>
      </c>
      <c r="N11" s="568">
        <f t="shared" si="1"/>
        <v>0</v>
      </c>
    </row>
    <row r="12" spans="1:14">
      <c r="A12" s="155">
        <v>1.5</v>
      </c>
      <c r="B12" s="101" t="s">
        <v>83</v>
      </c>
      <c r="C12" s="566">
        <v>0</v>
      </c>
      <c r="D12" s="102">
        <v>0.14000000000000001</v>
      </c>
      <c r="E12" s="567">
        <f>C12*D12</f>
        <v>0</v>
      </c>
      <c r="F12" s="569">
        <v>0</v>
      </c>
      <c r="G12" s="569">
        <v>0</v>
      </c>
      <c r="H12" s="569">
        <v>0</v>
      </c>
      <c r="I12" s="569">
        <v>0</v>
      </c>
      <c r="J12" s="569">
        <v>0</v>
      </c>
      <c r="K12" s="569">
        <v>0</v>
      </c>
      <c r="L12" s="569">
        <v>0</v>
      </c>
      <c r="M12" s="569">
        <v>0</v>
      </c>
      <c r="N12" s="568">
        <f t="shared" si="1"/>
        <v>0</v>
      </c>
    </row>
    <row r="13" spans="1:14">
      <c r="A13" s="155">
        <v>1.6</v>
      </c>
      <c r="B13" s="103" t="s">
        <v>84</v>
      </c>
      <c r="C13" s="566">
        <v>0</v>
      </c>
      <c r="D13" s="104"/>
      <c r="E13" s="569"/>
      <c r="F13" s="569">
        <v>0</v>
      </c>
      <c r="G13" s="569">
        <v>0</v>
      </c>
      <c r="H13" s="569">
        <v>0</v>
      </c>
      <c r="I13" s="569">
        <v>0</v>
      </c>
      <c r="J13" s="569">
        <v>0</v>
      </c>
      <c r="K13" s="569">
        <v>0</v>
      </c>
      <c r="L13" s="569">
        <v>0</v>
      </c>
      <c r="M13" s="569">
        <v>0</v>
      </c>
      <c r="N13" s="568">
        <f>SUMPRODUCT($F$6:$M$6,F13:M13)</f>
        <v>0</v>
      </c>
    </row>
    <row r="14" spans="1:14">
      <c r="A14" s="155">
        <v>2</v>
      </c>
      <c r="B14" s="105" t="s">
        <v>85</v>
      </c>
      <c r="C14" s="565">
        <f>SUM(C15:C20)</f>
        <v>0</v>
      </c>
      <c r="D14" s="95"/>
      <c r="E14" s="567">
        <f t="shared" ref="E14:M14" si="2">SUM(E15:E20)</f>
        <v>0</v>
      </c>
      <c r="F14" s="569">
        <f t="shared" si="2"/>
        <v>0</v>
      </c>
      <c r="G14" s="569">
        <f t="shared" si="2"/>
        <v>0</v>
      </c>
      <c r="H14" s="569">
        <f t="shared" si="2"/>
        <v>0</v>
      </c>
      <c r="I14" s="569">
        <f t="shared" si="2"/>
        <v>0</v>
      </c>
      <c r="J14" s="569">
        <f t="shared" si="2"/>
        <v>0</v>
      </c>
      <c r="K14" s="569">
        <f t="shared" si="2"/>
        <v>0</v>
      </c>
      <c r="L14" s="569">
        <f t="shared" si="2"/>
        <v>0</v>
      </c>
      <c r="M14" s="569">
        <f t="shared" si="2"/>
        <v>0</v>
      </c>
      <c r="N14" s="568">
        <f>SUM(N15:N20)</f>
        <v>0</v>
      </c>
    </row>
    <row r="15" spans="1:14">
      <c r="A15" s="155">
        <v>2.1</v>
      </c>
      <c r="B15" s="103" t="s">
        <v>79</v>
      </c>
      <c r="C15" s="566">
        <v>0</v>
      </c>
      <c r="D15" s="102">
        <v>5.0000000000000001E-3</v>
      </c>
      <c r="E15" s="567">
        <f>C15*D15</f>
        <v>0</v>
      </c>
      <c r="F15" s="569">
        <v>0</v>
      </c>
      <c r="G15" s="569">
        <v>0</v>
      </c>
      <c r="H15" s="569">
        <v>0</v>
      </c>
      <c r="I15" s="569">
        <v>0</v>
      </c>
      <c r="J15" s="569">
        <v>0</v>
      </c>
      <c r="K15" s="569">
        <v>0</v>
      </c>
      <c r="L15" s="569">
        <v>0</v>
      </c>
      <c r="M15" s="569">
        <v>0</v>
      </c>
      <c r="N15" s="568">
        <f>SUMPRODUCT($F$6:$M$6,F15:M15)</f>
        <v>0</v>
      </c>
    </row>
    <row r="16" spans="1:14">
      <c r="A16" s="155">
        <v>2.2000000000000002</v>
      </c>
      <c r="B16" s="103" t="s">
        <v>80</v>
      </c>
      <c r="C16" s="566">
        <v>0</v>
      </c>
      <c r="D16" s="102">
        <v>0.01</v>
      </c>
      <c r="E16" s="567">
        <f>C16*D16</f>
        <v>0</v>
      </c>
      <c r="F16" s="569">
        <v>0</v>
      </c>
      <c r="G16" s="569">
        <v>0</v>
      </c>
      <c r="H16" s="569">
        <v>0</v>
      </c>
      <c r="I16" s="569">
        <v>0</v>
      </c>
      <c r="J16" s="569">
        <v>0</v>
      </c>
      <c r="K16" s="569">
        <v>0</v>
      </c>
      <c r="L16" s="569">
        <v>0</v>
      </c>
      <c r="M16" s="569">
        <v>0</v>
      </c>
      <c r="N16" s="568">
        <f t="shared" ref="N16:N20" si="3">SUMPRODUCT($F$6:$M$6,F16:M16)</f>
        <v>0</v>
      </c>
    </row>
    <row r="17" spans="1:14">
      <c r="A17" s="155">
        <v>2.2999999999999998</v>
      </c>
      <c r="B17" s="103" t="s">
        <v>81</v>
      </c>
      <c r="C17" s="566">
        <v>0</v>
      </c>
      <c r="D17" s="102">
        <v>0.02</v>
      </c>
      <c r="E17" s="567">
        <f>C17*D17</f>
        <v>0</v>
      </c>
      <c r="F17" s="569">
        <v>0</v>
      </c>
      <c r="G17" s="569">
        <v>0</v>
      </c>
      <c r="H17" s="569">
        <v>0</v>
      </c>
      <c r="I17" s="569">
        <v>0</v>
      </c>
      <c r="J17" s="569">
        <v>0</v>
      </c>
      <c r="K17" s="569">
        <v>0</v>
      </c>
      <c r="L17" s="569">
        <v>0</v>
      </c>
      <c r="M17" s="569">
        <v>0</v>
      </c>
      <c r="N17" s="568">
        <f t="shared" si="3"/>
        <v>0</v>
      </c>
    </row>
    <row r="18" spans="1:14">
      <c r="A18" s="155">
        <v>2.4</v>
      </c>
      <c r="B18" s="103" t="s">
        <v>82</v>
      </c>
      <c r="C18" s="566">
        <v>0</v>
      </c>
      <c r="D18" s="102">
        <v>0.03</v>
      </c>
      <c r="E18" s="567">
        <f>C18*D18</f>
        <v>0</v>
      </c>
      <c r="F18" s="569">
        <v>0</v>
      </c>
      <c r="G18" s="569">
        <v>0</v>
      </c>
      <c r="H18" s="569">
        <v>0</v>
      </c>
      <c r="I18" s="569">
        <v>0</v>
      </c>
      <c r="J18" s="569">
        <v>0</v>
      </c>
      <c r="K18" s="569">
        <v>0</v>
      </c>
      <c r="L18" s="569">
        <v>0</v>
      </c>
      <c r="M18" s="569">
        <v>0</v>
      </c>
      <c r="N18" s="568">
        <f t="shared" si="3"/>
        <v>0</v>
      </c>
    </row>
    <row r="19" spans="1:14">
      <c r="A19" s="155">
        <v>2.5</v>
      </c>
      <c r="B19" s="103" t="s">
        <v>83</v>
      </c>
      <c r="C19" s="566">
        <v>0</v>
      </c>
      <c r="D19" s="102">
        <v>0.04</v>
      </c>
      <c r="E19" s="567">
        <f>C19*D19</f>
        <v>0</v>
      </c>
      <c r="F19" s="569">
        <v>0</v>
      </c>
      <c r="G19" s="569">
        <v>0</v>
      </c>
      <c r="H19" s="569">
        <v>0</v>
      </c>
      <c r="I19" s="569">
        <v>0</v>
      </c>
      <c r="J19" s="569">
        <v>0</v>
      </c>
      <c r="K19" s="569">
        <v>0</v>
      </c>
      <c r="L19" s="569">
        <v>0</v>
      </c>
      <c r="M19" s="569">
        <v>0</v>
      </c>
      <c r="N19" s="568">
        <f t="shared" si="3"/>
        <v>0</v>
      </c>
    </row>
    <row r="20" spans="1:14">
      <c r="A20" s="155">
        <v>2.6</v>
      </c>
      <c r="B20" s="103" t="s">
        <v>84</v>
      </c>
      <c r="C20" s="566">
        <v>0</v>
      </c>
      <c r="D20" s="104"/>
      <c r="E20" s="570"/>
      <c r="F20" s="569">
        <v>0</v>
      </c>
      <c r="G20" s="569">
        <v>0</v>
      </c>
      <c r="H20" s="569">
        <v>0</v>
      </c>
      <c r="I20" s="569">
        <v>0</v>
      </c>
      <c r="J20" s="569">
        <v>0</v>
      </c>
      <c r="K20" s="569">
        <v>0</v>
      </c>
      <c r="L20" s="569">
        <v>0</v>
      </c>
      <c r="M20" s="569">
        <v>0</v>
      </c>
      <c r="N20" s="568">
        <f t="shared" si="3"/>
        <v>0</v>
      </c>
    </row>
    <row r="21" spans="1:14" ht="15.75" thickBot="1">
      <c r="A21" s="156">
        <v>3</v>
      </c>
      <c r="B21" s="157" t="s">
        <v>68</v>
      </c>
      <c r="C21" s="271">
        <f>C14+C7</f>
        <v>65667999.719999999</v>
      </c>
      <c r="D21" s="158"/>
      <c r="E21" s="571">
        <f>E14+E7</f>
        <v>1313359.9944</v>
      </c>
      <c r="F21" s="572">
        <f>F7+F14</f>
        <v>0</v>
      </c>
      <c r="G21" s="572">
        <f t="shared" ref="G21:L21" si="4">G7+G14</f>
        <v>0</v>
      </c>
      <c r="H21" s="572">
        <f t="shared" si="4"/>
        <v>0</v>
      </c>
      <c r="I21" s="572">
        <f t="shared" si="4"/>
        <v>0</v>
      </c>
      <c r="J21" s="572">
        <f t="shared" si="4"/>
        <v>0</v>
      </c>
      <c r="K21" s="572">
        <f t="shared" si="4"/>
        <v>1313359.9944</v>
      </c>
      <c r="L21" s="572">
        <f t="shared" si="4"/>
        <v>0</v>
      </c>
      <c r="M21" s="572">
        <f>M7+M14</f>
        <v>0</v>
      </c>
      <c r="N21" s="573">
        <f>N14+N7</f>
        <v>1313359.9944</v>
      </c>
    </row>
    <row r="22" spans="1:14">
      <c r="E22" s="272"/>
      <c r="F22" s="272"/>
      <c r="G22" s="272"/>
      <c r="H22" s="272"/>
      <c r="I22" s="272"/>
      <c r="J22" s="272"/>
      <c r="K22" s="272"/>
      <c r="L22" s="272"/>
      <c r="M22" s="27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6" workbookViewId="0"/>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35">
        <f>'1. key ratios'!B2</f>
        <v>44742</v>
      </c>
    </row>
    <row r="3" spans="1:3">
      <c r="A3" s="1"/>
      <c r="B3"/>
    </row>
    <row r="4" spans="1:3">
      <c r="A4" s="1" t="s">
        <v>470</v>
      </c>
      <c r="B4" t="s">
        <v>429</v>
      </c>
    </row>
    <row r="5" spans="1:3">
      <c r="A5" s="360"/>
      <c r="B5" s="360" t="s">
        <v>430</v>
      </c>
      <c r="C5" s="372"/>
    </row>
    <row r="6" spans="1:3">
      <c r="A6" s="361">
        <v>1</v>
      </c>
      <c r="B6" s="373" t="s">
        <v>482</v>
      </c>
      <c r="C6" s="374">
        <v>1372879880.1799984</v>
      </c>
    </row>
    <row r="7" spans="1:3">
      <c r="A7" s="361">
        <v>2</v>
      </c>
      <c r="B7" s="373" t="s">
        <v>431</v>
      </c>
      <c r="C7" s="374">
        <v>-23650895.870000001</v>
      </c>
    </row>
    <row r="8" spans="1:3">
      <c r="A8" s="362">
        <v>3</v>
      </c>
      <c r="B8" s="375" t="s">
        <v>432</v>
      </c>
      <c r="C8" s="376">
        <f>C6+C7</f>
        <v>1349228984.3099985</v>
      </c>
    </row>
    <row r="9" spans="1:3">
      <c r="A9" s="363"/>
      <c r="B9" s="363" t="s">
        <v>433</v>
      </c>
      <c r="C9" s="377"/>
    </row>
    <row r="10" spans="1:3">
      <c r="A10" s="364">
        <v>4</v>
      </c>
      <c r="B10" s="378" t="s">
        <v>434</v>
      </c>
      <c r="C10" s="374"/>
    </row>
    <row r="11" spans="1:3">
      <c r="A11" s="364">
        <v>5</v>
      </c>
      <c r="B11" s="379" t="s">
        <v>435</v>
      </c>
      <c r="C11" s="374"/>
    </row>
    <row r="12" spans="1:3">
      <c r="A12" s="364" t="s">
        <v>436</v>
      </c>
      <c r="B12" s="373" t="s">
        <v>437</v>
      </c>
      <c r="C12" s="376">
        <f>'15. CCR'!E21</f>
        <v>1313359.9944</v>
      </c>
    </row>
    <row r="13" spans="1:3">
      <c r="A13" s="365">
        <v>6</v>
      </c>
      <c r="B13" s="380" t="s">
        <v>438</v>
      </c>
      <c r="C13" s="374"/>
    </row>
    <row r="14" spans="1:3">
      <c r="A14" s="365">
        <v>7</v>
      </c>
      <c r="B14" s="381" t="s">
        <v>439</v>
      </c>
      <c r="C14" s="374"/>
    </row>
    <row r="15" spans="1:3">
      <c r="A15" s="366">
        <v>8</v>
      </c>
      <c r="B15" s="373" t="s">
        <v>440</v>
      </c>
      <c r="C15" s="374"/>
    </row>
    <row r="16" spans="1:3" ht="24">
      <c r="A16" s="365">
        <v>9</v>
      </c>
      <c r="B16" s="381" t="s">
        <v>441</v>
      </c>
      <c r="C16" s="374"/>
    </row>
    <row r="17" spans="1:3">
      <c r="A17" s="365">
        <v>10</v>
      </c>
      <c r="B17" s="381" t="s">
        <v>442</v>
      </c>
      <c r="C17" s="374"/>
    </row>
    <row r="18" spans="1:3">
      <c r="A18" s="367">
        <v>11</v>
      </c>
      <c r="B18" s="382" t="s">
        <v>443</v>
      </c>
      <c r="C18" s="376">
        <f>SUM(C10:C17)</f>
        <v>1313359.9944</v>
      </c>
    </row>
    <row r="19" spans="1:3">
      <c r="A19" s="363"/>
      <c r="B19" s="363" t="s">
        <v>444</v>
      </c>
      <c r="C19" s="383"/>
    </row>
    <row r="20" spans="1:3">
      <c r="A20" s="365">
        <v>12</v>
      </c>
      <c r="B20" s="378" t="s">
        <v>445</v>
      </c>
      <c r="C20" s="374"/>
    </row>
    <row r="21" spans="1:3">
      <c r="A21" s="365">
        <v>13</v>
      </c>
      <c r="B21" s="378" t="s">
        <v>446</v>
      </c>
      <c r="C21" s="374"/>
    </row>
    <row r="22" spans="1:3">
      <c r="A22" s="365">
        <v>14</v>
      </c>
      <c r="B22" s="378" t="s">
        <v>447</v>
      </c>
      <c r="C22" s="374"/>
    </row>
    <row r="23" spans="1:3" ht="24">
      <c r="A23" s="365" t="s">
        <v>448</v>
      </c>
      <c r="B23" s="378" t="s">
        <v>449</v>
      </c>
      <c r="C23" s="374"/>
    </row>
    <row r="24" spans="1:3">
      <c r="A24" s="365">
        <v>15</v>
      </c>
      <c r="B24" s="378" t="s">
        <v>450</v>
      </c>
      <c r="C24" s="374"/>
    </row>
    <row r="25" spans="1:3">
      <c r="A25" s="365" t="s">
        <v>451</v>
      </c>
      <c r="B25" s="373" t="s">
        <v>452</v>
      </c>
      <c r="C25" s="374"/>
    </row>
    <row r="26" spans="1:3">
      <c r="A26" s="367">
        <v>16</v>
      </c>
      <c r="B26" s="382" t="s">
        <v>453</v>
      </c>
      <c r="C26" s="376">
        <f>SUM(C20:C25)</f>
        <v>0</v>
      </c>
    </row>
    <row r="27" spans="1:3">
      <c r="A27" s="363"/>
      <c r="B27" s="363" t="s">
        <v>454</v>
      </c>
      <c r="C27" s="377"/>
    </row>
    <row r="28" spans="1:3">
      <c r="A28" s="364">
        <v>17</v>
      </c>
      <c r="B28" s="373" t="s">
        <v>455</v>
      </c>
      <c r="C28" s="374">
        <v>99823097.260000005</v>
      </c>
    </row>
    <row r="29" spans="1:3">
      <c r="A29" s="364">
        <v>18</v>
      </c>
      <c r="B29" s="373" t="s">
        <v>456</v>
      </c>
      <c r="C29" s="374">
        <v>-46665268.005000062</v>
      </c>
    </row>
    <row r="30" spans="1:3">
      <c r="A30" s="367">
        <v>19</v>
      </c>
      <c r="B30" s="382" t="s">
        <v>457</v>
      </c>
      <c r="C30" s="376">
        <f>C28+C29</f>
        <v>53157829.254999943</v>
      </c>
    </row>
    <row r="31" spans="1:3">
      <c r="A31" s="368"/>
      <c r="B31" s="363" t="s">
        <v>458</v>
      </c>
      <c r="C31" s="377"/>
    </row>
    <row r="32" spans="1:3">
      <c r="A32" s="364" t="s">
        <v>459</v>
      </c>
      <c r="B32" s="378" t="s">
        <v>460</v>
      </c>
      <c r="C32" s="384"/>
    </row>
    <row r="33" spans="1:3">
      <c r="A33" s="364" t="s">
        <v>461</v>
      </c>
      <c r="B33" s="379" t="s">
        <v>462</v>
      </c>
      <c r="C33" s="384"/>
    </row>
    <row r="34" spans="1:3">
      <c r="A34" s="363"/>
      <c r="B34" s="363" t="s">
        <v>463</v>
      </c>
      <c r="C34" s="377"/>
    </row>
    <row r="35" spans="1:3">
      <c r="A35" s="367">
        <v>20</v>
      </c>
      <c r="B35" s="382" t="s">
        <v>89</v>
      </c>
      <c r="C35" s="376">
        <f>'1. key ratios'!C9</f>
        <v>147181488.98999986</v>
      </c>
    </row>
    <row r="36" spans="1:3">
      <c r="A36" s="367">
        <v>21</v>
      </c>
      <c r="B36" s="382" t="s">
        <v>464</v>
      </c>
      <c r="C36" s="376">
        <f>C8+C18+C26+C30</f>
        <v>1403700173.5593984</v>
      </c>
    </row>
    <row r="37" spans="1:3">
      <c r="A37" s="369"/>
      <c r="B37" s="369" t="s">
        <v>429</v>
      </c>
      <c r="C37" s="377"/>
    </row>
    <row r="38" spans="1:3">
      <c r="A38" s="367">
        <v>22</v>
      </c>
      <c r="B38" s="382" t="s">
        <v>429</v>
      </c>
      <c r="C38" s="574">
        <f>IFERROR(C35/C36,0)</f>
        <v>0.10485251178447032</v>
      </c>
    </row>
    <row r="39" spans="1:3">
      <c r="A39" s="369"/>
      <c r="B39" s="369" t="s">
        <v>465</v>
      </c>
      <c r="C39" s="377"/>
    </row>
    <row r="40" spans="1:3">
      <c r="A40" s="370" t="s">
        <v>466</v>
      </c>
      <c r="B40" s="378" t="s">
        <v>467</v>
      </c>
      <c r="C40" s="384"/>
    </row>
    <row r="41" spans="1:3">
      <c r="A41" s="371" t="s">
        <v>468</v>
      </c>
      <c r="B41" s="379" t="s">
        <v>469</v>
      </c>
      <c r="C41" s="384"/>
    </row>
    <row r="43" spans="1:3">
      <c r="B43" s="398"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25" activePane="bottomRight" state="frozen"/>
      <selection activeCell="E1" sqref="E1"/>
      <selection pane="topRight" activeCell="E1" sqref="E1"/>
      <selection pane="bottomLeft" activeCell="E1" sqref="E1"/>
      <selection pane="bottomRight" activeCell="G39" sqref="G39"/>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35">
        <f>'1. key ratios'!B2</f>
        <v>44742</v>
      </c>
    </row>
    <row r="3" spans="1:7">
      <c r="B3" s="435"/>
    </row>
    <row r="4" spans="1:7" ht="15.75" thickBot="1">
      <c r="A4" s="1" t="s">
        <v>532</v>
      </c>
      <c r="B4" s="277" t="s">
        <v>497</v>
      </c>
    </row>
    <row r="5" spans="1:7">
      <c r="A5" s="439"/>
      <c r="B5" s="440"/>
      <c r="C5" s="667" t="s">
        <v>498</v>
      </c>
      <c r="D5" s="667"/>
      <c r="E5" s="667"/>
      <c r="F5" s="667"/>
      <c r="G5" s="668" t="s">
        <v>499</v>
      </c>
    </row>
    <row r="6" spans="1:7">
      <c r="A6" s="441"/>
      <c r="B6" s="442"/>
      <c r="C6" s="443" t="s">
        <v>500</v>
      </c>
      <c r="D6" s="443" t="s">
        <v>501</v>
      </c>
      <c r="E6" s="443" t="s">
        <v>502</v>
      </c>
      <c r="F6" s="443" t="s">
        <v>503</v>
      </c>
      <c r="G6" s="669"/>
    </row>
    <row r="7" spans="1:7">
      <c r="A7" s="444"/>
      <c r="B7" s="445" t="s">
        <v>504</v>
      </c>
      <c r="C7" s="446"/>
      <c r="D7" s="446"/>
      <c r="E7" s="446"/>
      <c r="F7" s="446"/>
      <c r="G7" s="447"/>
    </row>
    <row r="8" spans="1:7">
      <c r="A8" s="448">
        <v>1</v>
      </c>
      <c r="B8" s="449" t="s">
        <v>505</v>
      </c>
      <c r="C8" s="450">
        <f>SUM(C9:C10)</f>
        <v>147181488.98999989</v>
      </c>
      <c r="D8" s="450">
        <f>SUM(D9:D10)</f>
        <v>0</v>
      </c>
      <c r="E8" s="450">
        <f>SUM(E9:E10)</f>
        <v>0</v>
      </c>
      <c r="F8" s="450">
        <f>SUM(F9:F10)</f>
        <v>251218451.97999996</v>
      </c>
      <c r="G8" s="451">
        <f>SUM(G9:G10)</f>
        <v>398399940.96999979</v>
      </c>
    </row>
    <row r="9" spans="1:7">
      <c r="A9" s="448">
        <v>2</v>
      </c>
      <c r="B9" s="452" t="s">
        <v>88</v>
      </c>
      <c r="C9" s="450">
        <v>147181488.98999989</v>
      </c>
      <c r="D9" s="450">
        <v>0</v>
      </c>
      <c r="E9" s="450">
        <v>0</v>
      </c>
      <c r="F9" s="450">
        <v>40809879.549999997</v>
      </c>
      <c r="G9" s="451">
        <v>187991368.53999987</v>
      </c>
    </row>
    <row r="10" spans="1:7">
      <c r="A10" s="448">
        <v>3</v>
      </c>
      <c r="B10" s="452" t="s">
        <v>506</v>
      </c>
      <c r="C10" s="614"/>
      <c r="D10" s="614"/>
      <c r="E10" s="614"/>
      <c r="F10" s="450">
        <v>210408572.42999995</v>
      </c>
      <c r="G10" s="451">
        <v>210408572.42999995</v>
      </c>
    </row>
    <row r="11" spans="1:7" ht="26.25">
      <c r="A11" s="448">
        <v>4</v>
      </c>
      <c r="B11" s="449" t="s">
        <v>507</v>
      </c>
      <c r="C11" s="450">
        <f t="shared" ref="C11:F11" si="0">SUM(C12:C13)</f>
        <v>160692097.58000016</v>
      </c>
      <c r="D11" s="450">
        <f t="shared" si="0"/>
        <v>116836239.11999993</v>
      </c>
      <c r="E11" s="450">
        <f t="shared" si="0"/>
        <v>78374150.899999976</v>
      </c>
      <c r="F11" s="450">
        <f t="shared" si="0"/>
        <v>6542110.2800000012</v>
      </c>
      <c r="G11" s="451">
        <f>SUM(G12:G13)</f>
        <v>317718847.16400003</v>
      </c>
    </row>
    <row r="12" spans="1:7">
      <c r="A12" s="448">
        <v>5</v>
      </c>
      <c r="B12" s="452" t="s">
        <v>508</v>
      </c>
      <c r="C12" s="450">
        <v>129325410.07000014</v>
      </c>
      <c r="D12" s="453">
        <v>106303802.22999993</v>
      </c>
      <c r="E12" s="450">
        <v>61515226.999999978</v>
      </c>
      <c r="F12" s="450">
        <v>6181223.4200000009</v>
      </c>
      <c r="G12" s="451">
        <v>288159379.58400005</v>
      </c>
    </row>
    <row r="13" spans="1:7">
      <c r="A13" s="448">
        <v>6</v>
      </c>
      <c r="B13" s="452" t="s">
        <v>509</v>
      </c>
      <c r="C13" s="450">
        <v>31366687.510000028</v>
      </c>
      <c r="D13" s="453">
        <v>10532436.889999999</v>
      </c>
      <c r="E13" s="450">
        <v>16858923.899999999</v>
      </c>
      <c r="F13" s="450">
        <v>360886.86</v>
      </c>
      <c r="G13" s="451">
        <v>29559467.580000013</v>
      </c>
    </row>
    <row r="14" spans="1:7">
      <c r="A14" s="448">
        <v>7</v>
      </c>
      <c r="B14" s="449" t="s">
        <v>510</v>
      </c>
      <c r="C14" s="450">
        <f t="shared" ref="C14:F14" si="1">SUM(C15:C16)</f>
        <v>224895398.73999989</v>
      </c>
      <c r="D14" s="450">
        <f t="shared" si="1"/>
        <v>246761267.70999998</v>
      </c>
      <c r="E14" s="450">
        <f t="shared" si="1"/>
        <v>106283866.33999999</v>
      </c>
      <c r="F14" s="450">
        <f t="shared" si="1"/>
        <v>37800</v>
      </c>
      <c r="G14" s="451">
        <f>SUM(G15:G16)</f>
        <v>177366849.34499997</v>
      </c>
    </row>
    <row r="15" spans="1:7" ht="51.75">
      <c r="A15" s="448">
        <v>8</v>
      </c>
      <c r="B15" s="452" t="s">
        <v>511</v>
      </c>
      <c r="C15" s="450">
        <v>211848276.7599999</v>
      </c>
      <c r="D15" s="453">
        <v>36563755.590000004</v>
      </c>
      <c r="E15" s="450">
        <v>57470513.290000007</v>
      </c>
      <c r="F15" s="450">
        <v>37800</v>
      </c>
      <c r="G15" s="451">
        <v>152960172.81999996</v>
      </c>
    </row>
    <row r="16" spans="1:7" ht="26.25">
      <c r="A16" s="448">
        <v>9</v>
      </c>
      <c r="B16" s="452" t="s">
        <v>512</v>
      </c>
      <c r="C16" s="450">
        <v>13047121.98</v>
      </c>
      <c r="D16" s="453">
        <v>210197512.11999997</v>
      </c>
      <c r="E16" s="450">
        <v>48813353.049999982</v>
      </c>
      <c r="F16" s="450">
        <v>0</v>
      </c>
      <c r="G16" s="451">
        <v>24406676.524999991</v>
      </c>
    </row>
    <row r="17" spans="1:7">
      <c r="A17" s="448">
        <v>10</v>
      </c>
      <c r="B17" s="449" t="s">
        <v>513</v>
      </c>
      <c r="C17" s="450">
        <v>0</v>
      </c>
      <c r="D17" s="453">
        <v>0</v>
      </c>
      <c r="E17" s="450">
        <v>0</v>
      </c>
      <c r="F17" s="450">
        <v>0</v>
      </c>
      <c r="G17" s="451">
        <v>0</v>
      </c>
    </row>
    <row r="18" spans="1:7">
      <c r="A18" s="448">
        <v>11</v>
      </c>
      <c r="B18" s="449" t="s">
        <v>95</v>
      </c>
      <c r="C18" s="450">
        <f>SUM(C19:C20)</f>
        <v>0</v>
      </c>
      <c r="D18" s="453">
        <f t="shared" ref="D18:G18" si="2">SUM(D19:D20)</f>
        <v>13755302.310000015</v>
      </c>
      <c r="E18" s="450">
        <f t="shared" si="2"/>
        <v>5275905.5599999996</v>
      </c>
      <c r="F18" s="450">
        <f t="shared" si="2"/>
        <v>10924890.689999999</v>
      </c>
      <c r="G18" s="451">
        <f t="shared" si="2"/>
        <v>0</v>
      </c>
    </row>
    <row r="19" spans="1:7">
      <c r="A19" s="448">
        <v>12</v>
      </c>
      <c r="B19" s="452" t="s">
        <v>514</v>
      </c>
      <c r="C19" s="614"/>
      <c r="D19" s="453">
        <v>201478.99000000022</v>
      </c>
      <c r="E19" s="450">
        <v>0</v>
      </c>
      <c r="F19" s="450">
        <v>0</v>
      </c>
      <c r="G19" s="451">
        <v>0</v>
      </c>
    </row>
    <row r="20" spans="1:7" ht="26.25">
      <c r="A20" s="448">
        <v>13</v>
      </c>
      <c r="B20" s="452" t="s">
        <v>515</v>
      </c>
      <c r="C20" s="450">
        <v>0</v>
      </c>
      <c r="D20" s="450">
        <v>13553823.320000015</v>
      </c>
      <c r="E20" s="450">
        <v>5275905.5599999996</v>
      </c>
      <c r="F20" s="450">
        <v>10924890.689999999</v>
      </c>
      <c r="G20" s="451">
        <v>0</v>
      </c>
    </row>
    <row r="21" spans="1:7">
      <c r="A21" s="454">
        <v>14</v>
      </c>
      <c r="B21" s="455" t="s">
        <v>516</v>
      </c>
      <c r="C21" s="614"/>
      <c r="D21" s="614"/>
      <c r="E21" s="614"/>
      <c r="F21" s="614"/>
      <c r="G21" s="456">
        <f>SUM(G8,G11,G14,G17,G18)</f>
        <v>893485637.47899985</v>
      </c>
    </row>
    <row r="22" spans="1:7">
      <c r="A22" s="457"/>
      <c r="B22" s="473" t="s">
        <v>517</v>
      </c>
      <c r="C22" s="458"/>
      <c r="D22" s="459"/>
      <c r="E22" s="458"/>
      <c r="F22" s="458"/>
      <c r="G22" s="460"/>
    </row>
    <row r="23" spans="1:7">
      <c r="A23" s="448">
        <v>15</v>
      </c>
      <c r="B23" s="449" t="s">
        <v>374</v>
      </c>
      <c r="C23" s="461">
        <v>183383516.27599999</v>
      </c>
      <c r="D23" s="462">
        <v>172191200</v>
      </c>
      <c r="E23" s="461">
        <v>0</v>
      </c>
      <c r="F23" s="461">
        <v>2051681.74</v>
      </c>
      <c r="G23" s="451">
        <v>11802818.1908</v>
      </c>
    </row>
    <row r="24" spans="1:7">
      <c r="A24" s="448">
        <v>16</v>
      </c>
      <c r="B24" s="449" t="s">
        <v>518</v>
      </c>
      <c r="C24" s="450">
        <f>SUM(C25:C27,C29,C31)</f>
        <v>425275.26</v>
      </c>
      <c r="D24" s="453">
        <f t="shared" ref="D24:G24" si="3">SUM(D25:D27,D29,D31)</f>
        <v>240918187.27313063</v>
      </c>
      <c r="E24" s="450">
        <f t="shared" si="3"/>
        <v>152768278.60528409</v>
      </c>
      <c r="F24" s="450">
        <f t="shared" si="3"/>
        <v>486678035.51279324</v>
      </c>
      <c r="G24" s="451">
        <f t="shared" si="3"/>
        <v>588124969.13402367</v>
      </c>
    </row>
    <row r="25" spans="1:7" ht="26.25">
      <c r="A25" s="448">
        <v>17</v>
      </c>
      <c r="B25" s="452" t="s">
        <v>519</v>
      </c>
      <c r="C25" s="450" t="s">
        <v>768</v>
      </c>
      <c r="D25" s="453">
        <v>0</v>
      </c>
      <c r="E25" s="450">
        <v>0</v>
      </c>
      <c r="F25" s="450">
        <v>0</v>
      </c>
      <c r="G25" s="451">
        <v>0</v>
      </c>
    </row>
    <row r="26" spans="1:7" ht="26.25">
      <c r="A26" s="448">
        <v>18</v>
      </c>
      <c r="B26" s="452" t="s">
        <v>520</v>
      </c>
      <c r="C26" s="450">
        <v>425275.26</v>
      </c>
      <c r="D26" s="453">
        <v>32563037.059999995</v>
      </c>
      <c r="E26" s="450">
        <v>3848518.2144747549</v>
      </c>
      <c r="F26" s="450">
        <v>925588.91992305405</v>
      </c>
      <c r="G26" s="451">
        <v>7798094.8751604306</v>
      </c>
    </row>
    <row r="27" spans="1:7">
      <c r="A27" s="448">
        <v>19</v>
      </c>
      <c r="B27" s="452" t="s">
        <v>521</v>
      </c>
      <c r="C27" s="450" t="s">
        <v>768</v>
      </c>
      <c r="D27" s="453">
        <v>88724342.972923458</v>
      </c>
      <c r="E27" s="450">
        <v>65000635.968051597</v>
      </c>
      <c r="F27" s="450">
        <v>173149562.97385854</v>
      </c>
      <c r="G27" s="451">
        <v>224039617.99826729</v>
      </c>
    </row>
    <row r="28" spans="1:7">
      <c r="A28" s="448">
        <v>20</v>
      </c>
      <c r="B28" s="463" t="s">
        <v>522</v>
      </c>
      <c r="C28" s="450">
        <v>0</v>
      </c>
      <c r="D28" s="453">
        <v>0</v>
      </c>
      <c r="E28" s="450">
        <v>0</v>
      </c>
      <c r="F28" s="450">
        <v>0</v>
      </c>
      <c r="G28" s="451">
        <v>0</v>
      </c>
    </row>
    <row r="29" spans="1:7">
      <c r="A29" s="448">
        <v>21</v>
      </c>
      <c r="B29" s="452" t="s">
        <v>523</v>
      </c>
      <c r="C29" s="450" t="s">
        <v>768</v>
      </c>
      <c r="D29" s="453">
        <v>118501699.27020715</v>
      </c>
      <c r="E29" s="450">
        <v>83004102.552757755</v>
      </c>
      <c r="F29" s="450">
        <v>307489966.93101162</v>
      </c>
      <c r="G29" s="451">
        <v>350919212.15579599</v>
      </c>
    </row>
    <row r="30" spans="1:7">
      <c r="A30" s="448">
        <v>22</v>
      </c>
      <c r="B30" s="463" t="s">
        <v>522</v>
      </c>
      <c r="C30" s="450">
        <v>0</v>
      </c>
      <c r="D30" s="453">
        <v>17430739.191418633</v>
      </c>
      <c r="E30" s="450">
        <v>14282192.426422555</v>
      </c>
      <c r="F30" s="450">
        <v>56000803.235231437</v>
      </c>
      <c r="G30" s="451">
        <v>52256987.91182103</v>
      </c>
    </row>
    <row r="31" spans="1:7" ht="26.25">
      <c r="A31" s="448">
        <v>23</v>
      </c>
      <c r="B31" s="452" t="s">
        <v>524</v>
      </c>
      <c r="C31" s="450" t="s">
        <v>768</v>
      </c>
      <c r="D31" s="453">
        <v>1129107.9699999997</v>
      </c>
      <c r="E31" s="450">
        <v>915021.87000000034</v>
      </c>
      <c r="F31" s="450">
        <v>5112916.6880000001</v>
      </c>
      <c r="G31" s="451">
        <v>5368044.1047999999</v>
      </c>
    </row>
    <row r="32" spans="1:7">
      <c r="A32" s="448">
        <v>24</v>
      </c>
      <c r="B32" s="449" t="s">
        <v>525</v>
      </c>
      <c r="C32" s="450">
        <v>0</v>
      </c>
      <c r="D32" s="453">
        <v>0</v>
      </c>
      <c r="E32" s="450">
        <v>0</v>
      </c>
      <c r="F32" s="450">
        <v>0</v>
      </c>
      <c r="G32" s="451">
        <v>0</v>
      </c>
    </row>
    <row r="33" spans="1:7">
      <c r="A33" s="448">
        <v>25</v>
      </c>
      <c r="B33" s="449" t="s">
        <v>165</v>
      </c>
      <c r="C33" s="450">
        <f>SUM(C34:C35)</f>
        <v>27672193.780000016</v>
      </c>
      <c r="D33" s="450">
        <f>SUM(D34:D35)</f>
        <v>3728440.6268237969</v>
      </c>
      <c r="E33" s="450">
        <f>SUM(E34:E35)</f>
        <v>3319812.0583815295</v>
      </c>
      <c r="F33" s="450">
        <f>SUM(F34:F35)</f>
        <v>95805821.934764385</v>
      </c>
      <c r="G33" s="451">
        <f>SUM(G34:G35)</f>
        <v>127184604.27736706</v>
      </c>
    </row>
    <row r="34" spans="1:7">
      <c r="A34" s="448">
        <v>26</v>
      </c>
      <c r="B34" s="452" t="s">
        <v>526</v>
      </c>
      <c r="C34" s="614"/>
      <c r="D34" s="453">
        <v>364924.44000000134</v>
      </c>
      <c r="E34" s="450">
        <v>0</v>
      </c>
      <c r="F34" s="450">
        <v>0</v>
      </c>
      <c r="G34" s="451">
        <v>364924.44000000134</v>
      </c>
    </row>
    <row r="35" spans="1:7">
      <c r="A35" s="448">
        <v>27</v>
      </c>
      <c r="B35" s="452" t="s">
        <v>527</v>
      </c>
      <c r="C35" s="450">
        <v>27672193.780000016</v>
      </c>
      <c r="D35" s="453">
        <v>3363516.1868237955</v>
      </c>
      <c r="E35" s="450">
        <v>3319812.0583815295</v>
      </c>
      <c r="F35" s="450">
        <v>95805821.934764385</v>
      </c>
      <c r="G35" s="451">
        <v>126819679.83736706</v>
      </c>
    </row>
    <row r="36" spans="1:7">
      <c r="A36" s="448">
        <v>28</v>
      </c>
      <c r="B36" s="449" t="s">
        <v>528</v>
      </c>
      <c r="C36" s="450">
        <v>0</v>
      </c>
      <c r="D36" s="453">
        <v>41733984.879999995</v>
      </c>
      <c r="E36" s="450">
        <v>22110854.779999997</v>
      </c>
      <c r="F36" s="450">
        <v>34679343.140000001</v>
      </c>
      <c r="G36" s="451">
        <v>9211220.1169999987</v>
      </c>
    </row>
    <row r="37" spans="1:7">
      <c r="A37" s="454">
        <v>29</v>
      </c>
      <c r="B37" s="455" t="s">
        <v>529</v>
      </c>
      <c r="C37" s="614"/>
      <c r="D37" s="614"/>
      <c r="E37" s="614"/>
      <c r="F37" s="614"/>
      <c r="G37" s="456">
        <f>SUM(G23:G24,G32:G33,G36)</f>
        <v>736323611.71919072</v>
      </c>
    </row>
    <row r="38" spans="1:7">
      <c r="A38" s="444"/>
      <c r="B38" s="464"/>
      <c r="C38" s="458"/>
      <c r="D38" s="458"/>
      <c r="E38" s="458"/>
      <c r="F38" s="458"/>
      <c r="G38" s="460"/>
    </row>
    <row r="39" spans="1:7" ht="15.75" thickBot="1">
      <c r="A39" s="465">
        <v>30</v>
      </c>
      <c r="B39" s="466" t="s">
        <v>497</v>
      </c>
      <c r="C39" s="615"/>
      <c r="D39" s="616"/>
      <c r="E39" s="616"/>
      <c r="F39" s="617"/>
      <c r="G39" s="618">
        <f>IFERROR(G21/G37,0)</f>
        <v>1.2134415130228711</v>
      </c>
    </row>
    <row r="42" spans="1:7" ht="39">
      <c r="B42" s="18"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33" activePane="bottomRight" state="frozen"/>
      <selection pane="topRight" activeCell="B1" sqref="B1"/>
      <selection pane="bottomLeft" activeCell="A6" sqref="A6"/>
      <selection pane="bottomRight" activeCell="C48" sqref="C48:G48"/>
    </sheetView>
  </sheetViews>
  <sheetFormatPr defaultRowHeight="15.75"/>
  <cols>
    <col min="1" max="1" width="9.5703125" style="15" bestFit="1" customWidth="1"/>
    <col min="2" max="2" width="88.42578125" style="13" customWidth="1"/>
    <col min="3" max="3" width="12.7109375" style="13" customWidth="1"/>
    <col min="4" max="7" width="12.7109375" style="1" customWidth="1"/>
    <col min="8" max="13" width="6.7109375" customWidth="1"/>
  </cols>
  <sheetData>
    <row r="1" spans="1:7">
      <c r="A1" s="14" t="s">
        <v>188</v>
      </c>
      <c r="B1" s="397" t="str">
        <f>Info!C2</f>
        <v>ს.ს. "ტერაბანკი"</v>
      </c>
    </row>
    <row r="2" spans="1:7">
      <c r="A2" s="14" t="s">
        <v>189</v>
      </c>
      <c r="B2" s="418">
        <v>44742</v>
      </c>
    </row>
    <row r="3" spans="1:7">
      <c r="A3" s="14"/>
    </row>
    <row r="4" spans="1:7" ht="16.5" thickBot="1">
      <c r="A4" s="62" t="s">
        <v>328</v>
      </c>
      <c r="B4" s="192" t="s">
        <v>223</v>
      </c>
      <c r="C4" s="193"/>
      <c r="D4" s="194"/>
      <c r="E4" s="194"/>
      <c r="F4" s="194"/>
      <c r="G4" s="194"/>
    </row>
    <row r="5" spans="1:7" ht="15">
      <c r="A5" s="281" t="s">
        <v>26</v>
      </c>
      <c r="B5" s="282"/>
      <c r="C5" s="419" t="str">
        <f>INT((MONTH($B$2))/3)&amp;"Q"&amp;"-"&amp;YEAR($B$2)</f>
        <v>2Q-2022</v>
      </c>
      <c r="D5" s="419" t="str">
        <f>IF(INT(MONTH($B$2))=3, "4"&amp;"Q"&amp;"-"&amp;YEAR($B$2)-1, IF(INT(MONTH($B$2))=6, "1"&amp;"Q"&amp;"-"&amp;YEAR($B$2), IF(INT(MONTH($B$2))=9, "2"&amp;"Q"&amp;"-"&amp;YEAR($B$2),IF(INT(MONTH($B$2))=12, "3"&amp;"Q"&amp;"-"&amp;YEAR($B$2), 0))))</f>
        <v>1Q-2022</v>
      </c>
      <c r="E5" s="419" t="str">
        <f>IF(INT(MONTH($B$2))=3, "3"&amp;"Q"&amp;"-"&amp;YEAR($B$2)-1, IF(INT(MONTH($B$2))=6, "4"&amp;"Q"&amp;"-"&amp;YEAR($B$2)-1, IF(INT(MONTH($B$2))=9, "1"&amp;"Q"&amp;"-"&amp;YEAR($B$2),IF(INT(MONTH($B$2))=12, "2"&amp;"Q"&amp;"-"&amp;YEAR($B$2), 0))))</f>
        <v>4Q-2021</v>
      </c>
      <c r="F5" s="419" t="str">
        <f>IF(INT(MONTH($B$2))=3, "2"&amp;"Q"&amp;"-"&amp;YEAR($B$2)-1, IF(INT(MONTH($B$2))=6, "3"&amp;"Q"&amp;"-"&amp;YEAR($B$2)-1, IF(INT(MONTH($B$2))=9, "4"&amp;"Q"&amp;"-"&amp;YEAR($B$2)-1,IF(INT(MONTH($B$2))=12, "1"&amp;"Q"&amp;"-"&amp;YEAR($B$2), 0))))</f>
        <v>3Q-2021</v>
      </c>
      <c r="G5" s="420" t="str">
        <f>IF(INT(MONTH($B$2))=3, "1"&amp;"Q"&amp;"-"&amp;YEAR($B$2)-1, IF(INT(MONTH($B$2))=6, "2"&amp;"Q"&amp;"-"&amp;YEAR($B$2)-1, IF(INT(MONTH($B$2))=9, "3"&amp;"Q"&amp;"-"&amp;YEAR($B$2)-1,IF(INT(MONTH($B$2))=12, "4"&amp;"Q"&amp;"-"&amp;YEAR($B$2)-1, 0))))</f>
        <v>2Q-2021</v>
      </c>
    </row>
    <row r="6" spans="1:7" ht="15">
      <c r="A6" s="421"/>
      <c r="B6" s="422" t="s">
        <v>186</v>
      </c>
      <c r="C6" s="283"/>
      <c r="D6" s="283"/>
      <c r="E6" s="283"/>
      <c r="F6" s="283"/>
      <c r="G6" s="284"/>
    </row>
    <row r="7" spans="1:7" ht="15">
      <c r="A7" s="421"/>
      <c r="B7" s="423" t="s">
        <v>190</v>
      </c>
      <c r="C7" s="283"/>
      <c r="D7" s="283"/>
      <c r="E7" s="283"/>
      <c r="F7" s="283"/>
      <c r="G7" s="284"/>
    </row>
    <row r="8" spans="1:7" ht="15">
      <c r="A8" s="401">
        <v>1</v>
      </c>
      <c r="B8" s="402" t="s">
        <v>23</v>
      </c>
      <c r="C8" s="424">
        <v>147181488.98999986</v>
      </c>
      <c r="D8" s="425">
        <v>140360990.93000007</v>
      </c>
      <c r="E8" s="425">
        <v>132094165.61000001</v>
      </c>
      <c r="F8" s="425">
        <v>126061369.7900002</v>
      </c>
      <c r="G8" s="426">
        <v>117539309.89999998</v>
      </c>
    </row>
    <row r="9" spans="1:7" ht="15">
      <c r="A9" s="401">
        <v>2</v>
      </c>
      <c r="B9" s="402" t="s">
        <v>89</v>
      </c>
      <c r="C9" s="424">
        <v>147181488.98999986</v>
      </c>
      <c r="D9" s="425">
        <v>140360990.93000007</v>
      </c>
      <c r="E9" s="425">
        <v>132094165.61000001</v>
      </c>
      <c r="F9" s="425">
        <v>126061369.7900002</v>
      </c>
      <c r="G9" s="426">
        <v>117539309.89999998</v>
      </c>
    </row>
    <row r="10" spans="1:7" ht="15">
      <c r="A10" s="401">
        <v>3</v>
      </c>
      <c r="B10" s="402" t="s">
        <v>88</v>
      </c>
      <c r="C10" s="424">
        <v>201106410.27410448</v>
      </c>
      <c r="D10" s="425">
        <v>201487619.53327212</v>
      </c>
      <c r="E10" s="425">
        <v>179552613.19339192</v>
      </c>
      <c r="F10" s="425">
        <v>176153056.92921895</v>
      </c>
      <c r="G10" s="426">
        <v>170432591.27043557</v>
      </c>
    </row>
    <row r="11" spans="1:7" ht="15">
      <c r="A11" s="401">
        <v>4</v>
      </c>
      <c r="B11" s="402" t="s">
        <v>488</v>
      </c>
      <c r="C11" s="424">
        <v>77464129.769991755</v>
      </c>
      <c r="D11" s="425">
        <v>77085616.011116952</v>
      </c>
      <c r="E11" s="425">
        <v>68689810.285512358</v>
      </c>
      <c r="F11" s="425">
        <v>66305258.451731682</v>
      </c>
      <c r="G11" s="426">
        <v>67562888.890113622</v>
      </c>
    </row>
    <row r="12" spans="1:7" ht="15">
      <c r="A12" s="401">
        <v>5</v>
      </c>
      <c r="B12" s="402" t="s">
        <v>489</v>
      </c>
      <c r="C12" s="424">
        <v>103317324.97125384</v>
      </c>
      <c r="D12" s="425">
        <v>102814354.3737711</v>
      </c>
      <c r="E12" s="425">
        <v>91617361.803543657</v>
      </c>
      <c r="F12" s="425">
        <v>88437457.124031246</v>
      </c>
      <c r="G12" s="426">
        <v>90117179.82104367</v>
      </c>
    </row>
    <row r="13" spans="1:7" ht="15">
      <c r="A13" s="401">
        <v>6</v>
      </c>
      <c r="B13" s="402" t="s">
        <v>490</v>
      </c>
      <c r="C13" s="424">
        <v>146365031.30004895</v>
      </c>
      <c r="D13" s="425">
        <v>145652618.20997047</v>
      </c>
      <c r="E13" s="425">
        <v>141656270.31281644</v>
      </c>
      <c r="F13" s="425">
        <v>136699169.77684066</v>
      </c>
      <c r="G13" s="426">
        <v>139149563.60297608</v>
      </c>
    </row>
    <row r="14" spans="1:7" ht="15">
      <c r="A14" s="421"/>
      <c r="B14" s="422" t="s">
        <v>492</v>
      </c>
      <c r="C14" s="283"/>
      <c r="D14" s="283"/>
      <c r="E14" s="283"/>
      <c r="F14" s="283"/>
      <c r="G14" s="284"/>
    </row>
    <row r="15" spans="1:7" ht="15" customHeight="1">
      <c r="A15" s="401">
        <v>7</v>
      </c>
      <c r="B15" s="402" t="s">
        <v>491</v>
      </c>
      <c r="C15" s="427">
        <v>1172205723.6921189</v>
      </c>
      <c r="D15" s="425">
        <v>1159483107.9255137</v>
      </c>
      <c r="E15" s="425">
        <v>1132332295.6451013</v>
      </c>
      <c r="F15" s="425">
        <v>1091463372.5874999</v>
      </c>
      <c r="G15" s="426">
        <v>1105639920.9348476</v>
      </c>
    </row>
    <row r="16" spans="1:7" ht="15">
      <c r="A16" s="421"/>
      <c r="B16" s="422" t="s">
        <v>496</v>
      </c>
      <c r="C16" s="283"/>
      <c r="D16" s="283"/>
      <c r="E16" s="283"/>
      <c r="F16" s="283"/>
      <c r="G16" s="284"/>
    </row>
    <row r="17" spans="1:7" ht="15">
      <c r="A17" s="401"/>
      <c r="B17" s="423" t="s">
        <v>477</v>
      </c>
      <c r="C17" s="283"/>
      <c r="D17" s="283"/>
      <c r="E17" s="283"/>
      <c r="F17" s="283"/>
      <c r="G17" s="284"/>
    </row>
    <row r="18" spans="1:7" ht="15">
      <c r="A18" s="401">
        <v>8</v>
      </c>
      <c r="B18" s="402" t="s">
        <v>486</v>
      </c>
      <c r="C18" s="436">
        <v>0.12555943552844931</v>
      </c>
      <c r="D18" s="437">
        <v>0.12105479585737698</v>
      </c>
      <c r="E18" s="437">
        <v>0.11665671474533421</v>
      </c>
      <c r="F18" s="437">
        <v>0.11549757230162497</v>
      </c>
      <c r="G18" s="438">
        <v>0.10630885125838926</v>
      </c>
    </row>
    <row r="19" spans="1:7" ht="15" customHeight="1">
      <c r="A19" s="401">
        <v>9</v>
      </c>
      <c r="B19" s="402" t="s">
        <v>485</v>
      </c>
      <c r="C19" s="436">
        <v>0.12555943552844931</v>
      </c>
      <c r="D19" s="437">
        <v>0.12105479585737698</v>
      </c>
      <c r="E19" s="437">
        <v>0.11665671474533421</v>
      </c>
      <c r="F19" s="437">
        <v>0.11549757230162497</v>
      </c>
      <c r="G19" s="438">
        <v>0.10630885125838926</v>
      </c>
    </row>
    <row r="20" spans="1:7" ht="15">
      <c r="A20" s="401">
        <v>10</v>
      </c>
      <c r="B20" s="402" t="s">
        <v>487</v>
      </c>
      <c r="C20" s="436">
        <v>0.17156238551768521</v>
      </c>
      <c r="D20" s="437">
        <v>0.1737736566889389</v>
      </c>
      <c r="E20" s="437">
        <v>0.15856883521201606</v>
      </c>
      <c r="F20" s="437">
        <v>0.1613916337949281</v>
      </c>
      <c r="G20" s="438">
        <v>0.15414836968470741</v>
      </c>
    </row>
    <row r="21" spans="1:7" ht="15">
      <c r="A21" s="401">
        <v>11</v>
      </c>
      <c r="B21" s="402" t="s">
        <v>488</v>
      </c>
      <c r="C21" s="436">
        <v>6.6084073984898739E-2</v>
      </c>
      <c r="D21" s="437">
        <v>6.6482741735698486E-2</v>
      </c>
      <c r="E21" s="437">
        <v>6.0662237180455117E-2</v>
      </c>
      <c r="F21" s="437">
        <v>6.0748954217807391E-2</v>
      </c>
      <c r="G21" s="438">
        <v>6.110749766794548E-2</v>
      </c>
    </row>
    <row r="22" spans="1:7" ht="15">
      <c r="A22" s="401">
        <v>12</v>
      </c>
      <c r="B22" s="402" t="s">
        <v>489</v>
      </c>
      <c r="C22" s="436">
        <v>8.8139242867568746E-2</v>
      </c>
      <c r="D22" s="437">
        <v>8.8672576315252355E-2</v>
      </c>
      <c r="E22" s="437">
        <v>8.0910314185950433E-2</v>
      </c>
      <c r="F22" s="437">
        <v>8.1026500151237496E-2</v>
      </c>
      <c r="G22" s="438">
        <v>8.1506807157295136E-2</v>
      </c>
    </row>
    <row r="23" spans="1:7" ht="15">
      <c r="A23" s="401">
        <v>13</v>
      </c>
      <c r="B23" s="402" t="s">
        <v>490</v>
      </c>
      <c r="C23" s="436">
        <v>0.1248629215348311</v>
      </c>
      <c r="D23" s="437">
        <v>0.1256185771180095</v>
      </c>
      <c r="E23" s="437">
        <v>0.12510132481217751</v>
      </c>
      <c r="F23" s="437">
        <v>0.12524393691083924</v>
      </c>
      <c r="G23" s="438">
        <v>0.12585432288418227</v>
      </c>
    </row>
    <row r="24" spans="1:7" ht="15">
      <c r="A24" s="421"/>
      <c r="B24" s="422" t="s">
        <v>6</v>
      </c>
      <c r="C24" s="283"/>
      <c r="D24" s="283"/>
      <c r="E24" s="283"/>
      <c r="F24" s="283"/>
      <c r="G24" s="284"/>
    </row>
    <row r="25" spans="1:7" ht="15" customHeight="1">
      <c r="A25" s="428">
        <v>14</v>
      </c>
      <c r="B25" s="429" t="s">
        <v>7</v>
      </c>
      <c r="C25" s="527">
        <v>9.0969951291550111E-2</v>
      </c>
      <c r="D25" s="528">
        <v>8.7629368918025183E-2</v>
      </c>
      <c r="E25" s="528">
        <v>8.1407699924392674E-2</v>
      </c>
      <c r="F25" s="528">
        <v>7.9673400568681094E-2</v>
      </c>
      <c r="G25" s="529">
        <v>7.7078535087239275E-2</v>
      </c>
    </row>
    <row r="26" spans="1:7" ht="15">
      <c r="A26" s="428">
        <v>15</v>
      </c>
      <c r="B26" s="429" t="s">
        <v>8</v>
      </c>
      <c r="C26" s="527">
        <v>4.9009852396435405E-2</v>
      </c>
      <c r="D26" s="528">
        <v>4.6258252485603363E-2</v>
      </c>
      <c r="E26" s="528">
        <v>4.2895664133038941E-2</v>
      </c>
      <c r="F26" s="528">
        <v>4.2108829354622609E-2</v>
      </c>
      <c r="G26" s="529">
        <v>4.1002177850396088E-2</v>
      </c>
    </row>
    <row r="27" spans="1:7" ht="15">
      <c r="A27" s="428">
        <v>16</v>
      </c>
      <c r="B27" s="429" t="s">
        <v>9</v>
      </c>
      <c r="C27" s="527">
        <v>3.0651050792935543E-2</v>
      </c>
      <c r="D27" s="528">
        <v>3.1613178582611791E-2</v>
      </c>
      <c r="E27" s="528">
        <v>2.3647321788586275E-2</v>
      </c>
      <c r="F27" s="528">
        <v>2.4470489234487754E-2</v>
      </c>
      <c r="G27" s="529">
        <v>2.254420603586782E-2</v>
      </c>
    </row>
    <row r="28" spans="1:7" ht="15">
      <c r="A28" s="428">
        <v>17</v>
      </c>
      <c r="B28" s="429" t="s">
        <v>224</v>
      </c>
      <c r="C28" s="527">
        <v>4.1960098895114713E-2</v>
      </c>
      <c r="D28" s="528">
        <v>4.1371116432421827E-2</v>
      </c>
      <c r="E28" s="528">
        <v>3.8512035791353726E-2</v>
      </c>
      <c r="F28" s="528">
        <v>3.756457121405847E-2</v>
      </c>
      <c r="G28" s="529">
        <v>3.6076357236843201E-2</v>
      </c>
    </row>
    <row r="29" spans="1:7" ht="15">
      <c r="A29" s="428">
        <v>18</v>
      </c>
      <c r="B29" s="429" t="s">
        <v>10</v>
      </c>
      <c r="C29" s="527">
        <v>2.2405068460032141E-2</v>
      </c>
      <c r="D29" s="528">
        <v>2.359717230241799E-2</v>
      </c>
      <c r="E29" s="528">
        <v>2.2684375095189592E-2</v>
      </c>
      <c r="F29" s="528">
        <v>2.4116924625292611E-2</v>
      </c>
      <c r="G29" s="529">
        <v>2.2942414711770685E-2</v>
      </c>
    </row>
    <row r="30" spans="1:7" ht="15">
      <c r="A30" s="428">
        <v>19</v>
      </c>
      <c r="B30" s="429" t="s">
        <v>11</v>
      </c>
      <c r="C30" s="527">
        <v>0.18734699703910487</v>
      </c>
      <c r="D30" s="528">
        <v>0.19948786315211625</v>
      </c>
      <c r="E30" s="528">
        <v>0.21262853875767876</v>
      </c>
      <c r="F30" s="528">
        <v>0.23172308209424497</v>
      </c>
      <c r="G30" s="529">
        <v>0.22635155335517654</v>
      </c>
    </row>
    <row r="31" spans="1:7" ht="15">
      <c r="A31" s="421"/>
      <c r="B31" s="422" t="s">
        <v>12</v>
      </c>
      <c r="C31" s="283"/>
      <c r="D31" s="283"/>
      <c r="E31" s="283"/>
      <c r="F31" s="283"/>
      <c r="G31" s="284"/>
    </row>
    <row r="32" spans="1:7" ht="15">
      <c r="A32" s="428">
        <v>20</v>
      </c>
      <c r="B32" s="429" t="s">
        <v>13</v>
      </c>
      <c r="C32" s="527">
        <v>5.2621833045376321E-2</v>
      </c>
      <c r="D32" s="528">
        <v>5.7773456518902901E-2</v>
      </c>
      <c r="E32" s="528">
        <v>5.9586424067900788E-2</v>
      </c>
      <c r="F32" s="528">
        <v>6.9173317370169463E-2</v>
      </c>
      <c r="G32" s="529">
        <v>6.8140105477074983E-2</v>
      </c>
    </row>
    <row r="33" spans="1:7" ht="15" customHeight="1">
      <c r="A33" s="428">
        <v>21</v>
      </c>
      <c r="B33" s="429" t="s">
        <v>14</v>
      </c>
      <c r="C33" s="527">
        <v>4.5680692422519355E-2</v>
      </c>
      <c r="D33" s="528">
        <v>4.9058974879818619E-2</v>
      </c>
      <c r="E33" s="528">
        <v>5.0474461513308665E-2</v>
      </c>
      <c r="F33" s="528">
        <v>5.4881063425804739E-2</v>
      </c>
      <c r="G33" s="529">
        <v>5.6147245315285484E-2</v>
      </c>
    </row>
    <row r="34" spans="1:7" ht="15">
      <c r="A34" s="428">
        <v>22</v>
      </c>
      <c r="B34" s="429" t="s">
        <v>15</v>
      </c>
      <c r="C34" s="527">
        <v>0.50662487402461864</v>
      </c>
      <c r="D34" s="528">
        <v>0.53697496059372707</v>
      </c>
      <c r="E34" s="528">
        <v>0.54831104305934319</v>
      </c>
      <c r="F34" s="528">
        <v>0.56253793200296776</v>
      </c>
      <c r="G34" s="529">
        <v>0.59519210904633968</v>
      </c>
    </row>
    <row r="35" spans="1:7" ht="15" customHeight="1">
      <c r="A35" s="428">
        <v>23</v>
      </c>
      <c r="B35" s="429" t="s">
        <v>16</v>
      </c>
      <c r="C35" s="527">
        <v>0.46043628209534926</v>
      </c>
      <c r="D35" s="528">
        <v>0.49414954060062338</v>
      </c>
      <c r="E35" s="528">
        <v>0.52256613429798482</v>
      </c>
      <c r="F35" s="528">
        <v>0.53907638258451596</v>
      </c>
      <c r="G35" s="529">
        <v>0.55583691322547357</v>
      </c>
    </row>
    <row r="36" spans="1:7" ht="15">
      <c r="A36" s="428">
        <v>24</v>
      </c>
      <c r="B36" s="429" t="s">
        <v>17</v>
      </c>
      <c r="C36" s="527">
        <v>4.3158569182993933E-2</v>
      </c>
      <c r="D36" s="528">
        <v>2.9696467801209134E-2</v>
      </c>
      <c r="E36" s="528">
        <v>4.8954349786696126E-2</v>
      </c>
      <c r="F36" s="528">
        <v>6.6499750621765831E-3</v>
      </c>
      <c r="G36" s="529">
        <v>2.4399238775824207E-2</v>
      </c>
    </row>
    <row r="37" spans="1:7" ht="15" customHeight="1">
      <c r="A37" s="421"/>
      <c r="B37" s="422" t="s">
        <v>18</v>
      </c>
      <c r="C37" s="283"/>
      <c r="D37" s="283"/>
      <c r="E37" s="283"/>
      <c r="F37" s="283"/>
      <c r="G37" s="284"/>
    </row>
    <row r="38" spans="1:7" ht="15" customHeight="1">
      <c r="A38" s="428">
        <v>25</v>
      </c>
      <c r="B38" s="429" t="s">
        <v>19</v>
      </c>
      <c r="C38" s="527">
        <v>0.1429314741768449</v>
      </c>
      <c r="D38" s="527">
        <v>0.19558109810215574</v>
      </c>
      <c r="E38" s="527">
        <v>0.19024479559002699</v>
      </c>
      <c r="F38" s="527">
        <v>0.22084150666972671</v>
      </c>
      <c r="G38" s="530">
        <v>0.20821737052630823</v>
      </c>
    </row>
    <row r="39" spans="1:7" ht="15" customHeight="1">
      <c r="A39" s="428">
        <v>26</v>
      </c>
      <c r="B39" s="429" t="s">
        <v>20</v>
      </c>
      <c r="C39" s="527">
        <v>0.50137678110475548</v>
      </c>
      <c r="D39" s="527">
        <v>0.56675338994670166</v>
      </c>
      <c r="E39" s="527">
        <v>0.59388580922853151</v>
      </c>
      <c r="F39" s="527">
        <v>0.59417310265790146</v>
      </c>
      <c r="G39" s="530">
        <v>0.61261553221846121</v>
      </c>
    </row>
    <row r="40" spans="1:7" ht="15" customHeight="1">
      <c r="A40" s="428">
        <v>27</v>
      </c>
      <c r="B40" s="430" t="s">
        <v>21</v>
      </c>
      <c r="C40" s="527">
        <v>0.29172575249097576</v>
      </c>
      <c r="D40" s="527">
        <v>0.33051840558519974</v>
      </c>
      <c r="E40" s="527">
        <v>0.3595499817004702</v>
      </c>
      <c r="F40" s="527">
        <v>0.34842923736870068</v>
      </c>
      <c r="G40" s="530">
        <v>0.35948163206570921</v>
      </c>
    </row>
    <row r="41" spans="1:7" ht="15" customHeight="1">
      <c r="A41" s="434"/>
      <c r="B41" s="422" t="s">
        <v>398</v>
      </c>
      <c r="C41" s="283"/>
      <c r="D41" s="283"/>
      <c r="E41" s="283"/>
      <c r="F41" s="283"/>
      <c r="G41" s="284"/>
    </row>
    <row r="42" spans="1:7" ht="15" customHeight="1">
      <c r="A42" s="428">
        <v>28</v>
      </c>
      <c r="B42" s="472" t="s">
        <v>391</v>
      </c>
      <c r="C42" s="430">
        <v>221675880.14915442</v>
      </c>
      <c r="D42" s="430">
        <v>251578650.96751416</v>
      </c>
      <c r="E42" s="430">
        <v>269668116.44944865</v>
      </c>
      <c r="F42" s="430">
        <v>289264032.8139711</v>
      </c>
      <c r="G42" s="433">
        <v>241639004.83403173</v>
      </c>
    </row>
    <row r="43" spans="1:7" ht="15">
      <c r="A43" s="428">
        <v>29</v>
      </c>
      <c r="B43" s="429" t="s">
        <v>392</v>
      </c>
      <c r="C43" s="430">
        <v>180484726.91332838</v>
      </c>
      <c r="D43" s="431">
        <v>212518595.29342759</v>
      </c>
      <c r="E43" s="431">
        <v>214239102.67260239</v>
      </c>
      <c r="F43" s="431">
        <v>240778295.8594408</v>
      </c>
      <c r="G43" s="432">
        <v>193745939.50013483</v>
      </c>
    </row>
    <row r="44" spans="1:7" ht="15">
      <c r="A44" s="467">
        <v>30</v>
      </c>
      <c r="B44" s="468" t="s">
        <v>390</v>
      </c>
      <c r="C44" s="527">
        <v>1.2282251464724032</v>
      </c>
      <c r="D44" s="527">
        <v>1.1837959432216074</v>
      </c>
      <c r="E44" s="527">
        <v>1.2471951951997609</v>
      </c>
      <c r="F44" s="527">
        <v>1.3697866908315508</v>
      </c>
      <c r="G44" s="530">
        <v>1.4934462376281263</v>
      </c>
    </row>
    <row r="45" spans="1:7" ht="15">
      <c r="A45" s="467"/>
      <c r="B45" s="422" t="s">
        <v>497</v>
      </c>
      <c r="C45" s="283"/>
      <c r="D45" s="283"/>
      <c r="E45" s="283"/>
      <c r="F45" s="283"/>
      <c r="G45" s="284"/>
    </row>
    <row r="46" spans="1:7" ht="15">
      <c r="A46" s="467">
        <v>31</v>
      </c>
      <c r="B46" s="468" t="s">
        <v>504</v>
      </c>
      <c r="C46" s="469">
        <v>893485637.47899914</v>
      </c>
      <c r="D46" s="470">
        <v>931298886.4194144</v>
      </c>
      <c r="E46" s="470">
        <v>880992061.38761473</v>
      </c>
      <c r="F46" s="470">
        <v>859381553.06921077</v>
      </c>
      <c r="G46" s="471">
        <v>863149939.6906848</v>
      </c>
    </row>
    <row r="47" spans="1:7" ht="15">
      <c r="A47" s="467">
        <v>32</v>
      </c>
      <c r="B47" s="468" t="s">
        <v>517</v>
      </c>
      <c r="C47" s="469">
        <v>736323611.69107234</v>
      </c>
      <c r="D47" s="470">
        <v>716933227.6126318</v>
      </c>
      <c r="E47" s="470">
        <v>692488034.19852245</v>
      </c>
      <c r="F47" s="470">
        <v>668514503.70425463</v>
      </c>
      <c r="G47" s="471">
        <v>679319083.87367308</v>
      </c>
    </row>
    <row r="48" spans="1:7" thickBot="1">
      <c r="A48" s="111">
        <v>33</v>
      </c>
      <c r="B48" s="214" t="s">
        <v>531</v>
      </c>
      <c r="C48" s="619">
        <f>C46/C47</f>
        <v>1.2134415130692084</v>
      </c>
      <c r="D48" s="619">
        <f>D46/D47</f>
        <v>1.2990036596861529</v>
      </c>
      <c r="E48" s="619">
        <f t="shared" ref="E48:G48" si="0">E46/E47</f>
        <v>1.2722126851004214</v>
      </c>
      <c r="F48" s="619">
        <f t="shared" si="0"/>
        <v>1.2855092123018383</v>
      </c>
      <c r="G48" s="619">
        <f t="shared" si="0"/>
        <v>1.270610468895935</v>
      </c>
    </row>
    <row r="49" spans="1:2">
      <c r="A49" s="16"/>
    </row>
    <row r="50" spans="1:2" ht="39.75">
      <c r="B50" s="18" t="s">
        <v>476</v>
      </c>
    </row>
    <row r="51" spans="1:2" ht="65.25">
      <c r="B51" s="329"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G14" sqref="G14:G16"/>
    </sheetView>
  </sheetViews>
  <sheetFormatPr defaultColWidth="9.140625" defaultRowHeight="12.75"/>
  <cols>
    <col min="1" max="1" width="11.85546875" style="475" bestFit="1" customWidth="1"/>
    <col min="2" max="2" width="105.140625" style="475" bestFit="1" customWidth="1"/>
    <col min="3" max="3" width="15.140625" style="475" bestFit="1" customWidth="1"/>
    <col min="4" max="6" width="12.5703125" style="475" bestFit="1" customWidth="1"/>
    <col min="7" max="7" width="26.7109375" style="475" bestFit="1" customWidth="1"/>
    <col min="8" max="8" width="14.28515625" style="475" bestFit="1" customWidth="1"/>
    <col min="9" max="16384" width="9.140625" style="475"/>
  </cols>
  <sheetData>
    <row r="1" spans="1:8">
      <c r="A1" s="474" t="s">
        <v>188</v>
      </c>
      <c r="B1" s="612" t="str">
        <f>'1. key ratios'!B1</f>
        <v>ს.ს. "ტერაბანკი"</v>
      </c>
    </row>
    <row r="2" spans="1:8">
      <c r="A2" s="474" t="s">
        <v>189</v>
      </c>
    </row>
    <row r="3" spans="1:8">
      <c r="A3" s="476" t="s">
        <v>533</v>
      </c>
      <c r="B3" s="477">
        <f>'1. key ratios'!B2</f>
        <v>44742</v>
      </c>
    </row>
    <row r="5" spans="1:8">
      <c r="A5" s="670" t="s">
        <v>534</v>
      </c>
      <c r="B5" s="671"/>
      <c r="C5" s="676" t="s">
        <v>535</v>
      </c>
      <c r="D5" s="677"/>
      <c r="E5" s="677"/>
      <c r="F5" s="677"/>
      <c r="G5" s="677"/>
      <c r="H5" s="678"/>
    </row>
    <row r="6" spans="1:8">
      <c r="A6" s="672"/>
      <c r="B6" s="673"/>
      <c r="C6" s="679"/>
      <c r="D6" s="680"/>
      <c r="E6" s="680"/>
      <c r="F6" s="680"/>
      <c r="G6" s="680"/>
      <c r="H6" s="681"/>
    </row>
    <row r="7" spans="1:8" ht="25.5">
      <c r="A7" s="674"/>
      <c r="B7" s="675"/>
      <c r="C7" s="478" t="s">
        <v>536</v>
      </c>
      <c r="D7" s="478" t="s">
        <v>537</v>
      </c>
      <c r="E7" s="478" t="s">
        <v>538</v>
      </c>
      <c r="F7" s="478" t="s">
        <v>539</v>
      </c>
      <c r="G7" s="478" t="s">
        <v>713</v>
      </c>
      <c r="H7" s="478" t="s">
        <v>68</v>
      </c>
    </row>
    <row r="8" spans="1:8">
      <c r="A8" s="482">
        <v>1</v>
      </c>
      <c r="B8" s="481" t="s">
        <v>216</v>
      </c>
      <c r="C8" s="577">
        <v>126868087.36</v>
      </c>
      <c r="D8" s="577">
        <v>70957728.430000007</v>
      </c>
      <c r="E8" s="577">
        <v>70388658.859999999</v>
      </c>
      <c r="F8" s="577">
        <v>10790000</v>
      </c>
      <c r="G8" s="577">
        <v>0</v>
      </c>
      <c r="H8" s="577">
        <f>SUM(C8:G8)</f>
        <v>279004474.65000004</v>
      </c>
    </row>
    <row r="9" spans="1:8">
      <c r="A9" s="482">
        <v>2</v>
      </c>
      <c r="B9" s="481" t="s">
        <v>217</v>
      </c>
      <c r="C9" s="577">
        <v>0</v>
      </c>
      <c r="D9" s="577">
        <v>0</v>
      </c>
      <c r="E9" s="577">
        <v>0</v>
      </c>
      <c r="F9" s="577">
        <v>0</v>
      </c>
      <c r="G9" s="577">
        <v>0</v>
      </c>
      <c r="H9" s="577">
        <f t="shared" ref="H9:H21" si="0">SUM(C9:G9)</f>
        <v>0</v>
      </c>
    </row>
    <row r="10" spans="1:8">
      <c r="A10" s="482">
        <v>3</v>
      </c>
      <c r="B10" s="481" t="s">
        <v>218</v>
      </c>
      <c r="C10" s="577">
        <v>0</v>
      </c>
      <c r="D10" s="577">
        <v>0</v>
      </c>
      <c r="E10" s="577">
        <v>0</v>
      </c>
      <c r="F10" s="577">
        <v>0</v>
      </c>
      <c r="G10" s="577">
        <v>0</v>
      </c>
      <c r="H10" s="577">
        <f t="shared" si="0"/>
        <v>0</v>
      </c>
    </row>
    <row r="11" spans="1:8">
      <c r="A11" s="482">
        <v>4</v>
      </c>
      <c r="B11" s="481" t="s">
        <v>219</v>
      </c>
      <c r="C11" s="577">
        <v>0</v>
      </c>
      <c r="D11" s="577">
        <v>0</v>
      </c>
      <c r="E11" s="577">
        <v>0</v>
      </c>
      <c r="F11" s="577">
        <v>0</v>
      </c>
      <c r="G11" s="577">
        <v>0</v>
      </c>
      <c r="H11" s="577">
        <f t="shared" si="0"/>
        <v>0</v>
      </c>
    </row>
    <row r="12" spans="1:8">
      <c r="A12" s="482">
        <v>5</v>
      </c>
      <c r="B12" s="481" t="s">
        <v>220</v>
      </c>
      <c r="C12" s="577">
        <v>0</v>
      </c>
      <c r="D12" s="577">
        <v>0</v>
      </c>
      <c r="E12" s="577">
        <v>0</v>
      </c>
      <c r="F12" s="577">
        <v>0</v>
      </c>
      <c r="G12" s="577">
        <v>0</v>
      </c>
      <c r="H12" s="577">
        <f t="shared" si="0"/>
        <v>0</v>
      </c>
    </row>
    <row r="13" spans="1:8">
      <c r="A13" s="482">
        <v>6</v>
      </c>
      <c r="B13" s="481" t="s">
        <v>221</v>
      </c>
      <c r="C13" s="577">
        <v>7856780.1099999994</v>
      </c>
      <c r="D13" s="577">
        <v>0</v>
      </c>
      <c r="E13" s="577">
        <v>0</v>
      </c>
      <c r="F13" s="577">
        <v>2051681.74</v>
      </c>
      <c r="G13" s="577">
        <v>0</v>
      </c>
      <c r="H13" s="577">
        <f t="shared" si="0"/>
        <v>9908461.8499999996</v>
      </c>
    </row>
    <row r="14" spans="1:8">
      <c r="A14" s="482">
        <v>7</v>
      </c>
      <c r="B14" s="481" t="s">
        <v>73</v>
      </c>
      <c r="C14" s="577">
        <v>0</v>
      </c>
      <c r="D14" s="577">
        <v>119004341.76180714</v>
      </c>
      <c r="E14" s="577">
        <v>178342883.15769306</v>
      </c>
      <c r="F14" s="577">
        <v>311381122.2935046</v>
      </c>
      <c r="G14" s="577">
        <v>387813.36868141906</v>
      </c>
      <c r="H14" s="577">
        <f t="shared" si="0"/>
        <v>609116160.58168626</v>
      </c>
    </row>
    <row r="15" spans="1:8">
      <c r="A15" s="482">
        <v>8</v>
      </c>
      <c r="B15" s="481" t="s">
        <v>74</v>
      </c>
      <c r="C15" s="577">
        <v>0</v>
      </c>
      <c r="D15" s="577">
        <v>17056594.439935025</v>
      </c>
      <c r="E15" s="577">
        <v>118565643.52018334</v>
      </c>
      <c r="F15" s="577">
        <v>129217833.48825438</v>
      </c>
      <c r="G15" s="577">
        <v>242589.20147064011</v>
      </c>
      <c r="H15" s="577">
        <f t="shared" si="0"/>
        <v>265082660.64984336</v>
      </c>
    </row>
    <row r="16" spans="1:8">
      <c r="A16" s="482">
        <v>9</v>
      </c>
      <c r="B16" s="481" t="s">
        <v>75</v>
      </c>
      <c r="C16" s="577">
        <v>0</v>
      </c>
      <c r="D16" s="577">
        <v>4436835.419305345</v>
      </c>
      <c r="E16" s="577">
        <v>32262611.960405894</v>
      </c>
      <c r="F16" s="577">
        <v>74367730.801988944</v>
      </c>
      <c r="G16" s="577">
        <v>219387.31302314901</v>
      </c>
      <c r="H16" s="577">
        <f t="shared" si="0"/>
        <v>111286565.49472333</v>
      </c>
    </row>
    <row r="17" spans="1:8">
      <c r="A17" s="482">
        <v>10</v>
      </c>
      <c r="B17" s="593" t="s">
        <v>561</v>
      </c>
      <c r="C17" s="577">
        <v>0</v>
      </c>
      <c r="D17" s="577">
        <v>1119590.267630694</v>
      </c>
      <c r="E17" s="577">
        <v>6057760.5585855665</v>
      </c>
      <c r="F17" s="577">
        <v>2536728.1751926965</v>
      </c>
      <c r="G17" s="577">
        <v>0</v>
      </c>
      <c r="H17" s="577">
        <f t="shared" si="0"/>
        <v>9714079.0014089569</v>
      </c>
    </row>
    <row r="18" spans="1:8">
      <c r="A18" s="482">
        <v>11</v>
      </c>
      <c r="B18" s="481" t="s">
        <v>70</v>
      </c>
      <c r="C18" s="577">
        <v>0</v>
      </c>
      <c r="D18" s="577">
        <v>1834087.9992047499</v>
      </c>
      <c r="E18" s="577">
        <v>13475488.897588154</v>
      </c>
      <c r="F18" s="577">
        <v>29846526.182955787</v>
      </c>
      <c r="G18" s="577">
        <v>0</v>
      </c>
      <c r="H18" s="577">
        <f t="shared" si="0"/>
        <v>45156103.07974869</v>
      </c>
    </row>
    <row r="19" spans="1:8">
      <c r="A19" s="482">
        <v>12</v>
      </c>
      <c r="B19" s="481" t="s">
        <v>71</v>
      </c>
      <c r="C19" s="577">
        <v>0</v>
      </c>
      <c r="D19" s="577">
        <v>0</v>
      </c>
      <c r="E19" s="577">
        <v>0</v>
      </c>
      <c r="F19" s="577">
        <v>0</v>
      </c>
      <c r="G19" s="577">
        <v>0</v>
      </c>
      <c r="H19" s="577">
        <f t="shared" si="0"/>
        <v>0</v>
      </c>
    </row>
    <row r="20" spans="1:8">
      <c r="A20" s="482">
        <v>13</v>
      </c>
      <c r="B20" s="481" t="s">
        <v>72</v>
      </c>
      <c r="C20" s="577">
        <v>0</v>
      </c>
      <c r="D20" s="577">
        <v>0</v>
      </c>
      <c r="E20" s="577">
        <v>0</v>
      </c>
      <c r="F20" s="577">
        <v>0</v>
      </c>
      <c r="G20" s="577">
        <v>0</v>
      </c>
      <c r="H20" s="577">
        <f t="shared" si="0"/>
        <v>0</v>
      </c>
    </row>
    <row r="21" spans="1:8">
      <c r="A21" s="482">
        <v>14</v>
      </c>
      <c r="B21" s="481" t="s">
        <v>540</v>
      </c>
      <c r="C21" s="577">
        <v>33597037.74000001</v>
      </c>
      <c r="D21" s="577">
        <v>0</v>
      </c>
      <c r="E21" s="577">
        <v>0</v>
      </c>
      <c r="F21" s="577">
        <v>5802526.0240000002</v>
      </c>
      <c r="G21" s="577">
        <v>27672786.910000015</v>
      </c>
      <c r="H21" s="577">
        <f t="shared" si="0"/>
        <v>67072350.674000025</v>
      </c>
    </row>
    <row r="22" spans="1:8">
      <c r="A22" s="483">
        <v>15</v>
      </c>
      <c r="B22" s="480" t="s">
        <v>68</v>
      </c>
      <c r="C22" s="577">
        <f>SUM(C18:C21)+SUM(C8:C16)</f>
        <v>168321905.21000001</v>
      </c>
      <c r="D22" s="577">
        <f t="shared" ref="D22:G22" si="1">SUM(D18:D21)+SUM(D8:D16)</f>
        <v>213289588.05025229</v>
      </c>
      <c r="E22" s="577">
        <f t="shared" si="1"/>
        <v>413035286.39587039</v>
      </c>
      <c r="F22" s="577">
        <f t="shared" si="1"/>
        <v>563457420.53070378</v>
      </c>
      <c r="G22" s="577">
        <f t="shared" si="1"/>
        <v>28522576.793175224</v>
      </c>
      <c r="H22" s="577">
        <f>SUM(H18:H21)+SUM(H8:H16)</f>
        <v>1386626776.9800017</v>
      </c>
    </row>
    <row r="26" spans="1:8" ht="38.25">
      <c r="B26" s="594" t="s">
        <v>712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1" zoomScaleNormal="100" workbookViewId="0">
      <selection activeCell="B2" sqref="B2"/>
    </sheetView>
  </sheetViews>
  <sheetFormatPr defaultColWidth="9.140625" defaultRowHeight="12.75"/>
  <cols>
    <col min="1" max="1" width="11.85546875" style="484" bestFit="1" customWidth="1"/>
    <col min="2" max="2" width="114.7109375" style="475" customWidth="1"/>
    <col min="3" max="3" width="22.42578125" style="475" customWidth="1"/>
    <col min="4" max="4" width="23.5703125" style="475" customWidth="1"/>
    <col min="5" max="8" width="22.140625" style="475" customWidth="1"/>
    <col min="9" max="9" width="41.42578125" style="475" customWidth="1"/>
    <col min="10" max="16384" width="9.140625" style="475"/>
  </cols>
  <sheetData>
    <row r="1" spans="1:9">
      <c r="A1" s="474" t="s">
        <v>188</v>
      </c>
      <c r="B1" s="612" t="str">
        <f>'1. key ratios'!B1</f>
        <v>ს.ს. "ტერაბანკი"</v>
      </c>
    </row>
    <row r="2" spans="1:9">
      <c r="A2" s="474" t="s">
        <v>189</v>
      </c>
    </row>
    <row r="3" spans="1:9">
      <c r="A3" s="476" t="s">
        <v>541</v>
      </c>
      <c r="B3" s="477">
        <f>'1. key ratios'!B2</f>
        <v>44742</v>
      </c>
    </row>
    <row r="4" spans="1:9">
      <c r="C4" s="485" t="s">
        <v>542</v>
      </c>
      <c r="D4" s="485" t="s">
        <v>543</v>
      </c>
      <c r="E4" s="485" t="s">
        <v>544</v>
      </c>
      <c r="F4" s="485" t="s">
        <v>545</v>
      </c>
      <c r="G4" s="485" t="s">
        <v>546</v>
      </c>
      <c r="H4" s="485" t="s">
        <v>547</v>
      </c>
      <c r="I4" s="485" t="s">
        <v>550</v>
      </c>
    </row>
    <row r="5" spans="1:9" ht="33.950000000000003" customHeight="1">
      <c r="A5" s="670" t="s">
        <v>551</v>
      </c>
      <c r="B5" s="671"/>
      <c r="C5" s="684" t="s">
        <v>552</v>
      </c>
      <c r="D5" s="684"/>
      <c r="E5" s="684" t="s">
        <v>553</v>
      </c>
      <c r="F5" s="684" t="s">
        <v>554</v>
      </c>
      <c r="G5" s="682" t="s">
        <v>555</v>
      </c>
      <c r="H5" s="682" t="s">
        <v>556</v>
      </c>
      <c r="I5" s="486" t="s">
        <v>557</v>
      </c>
    </row>
    <row r="6" spans="1:9" ht="38.25">
      <c r="A6" s="674"/>
      <c r="B6" s="675"/>
      <c r="C6" s="520" t="s">
        <v>558</v>
      </c>
      <c r="D6" s="520" t="s">
        <v>559</v>
      </c>
      <c r="E6" s="684"/>
      <c r="F6" s="684"/>
      <c r="G6" s="683"/>
      <c r="H6" s="683"/>
      <c r="I6" s="486" t="s">
        <v>560</v>
      </c>
    </row>
    <row r="7" spans="1:9">
      <c r="A7" s="487">
        <v>1</v>
      </c>
      <c r="B7" s="479" t="s">
        <v>216</v>
      </c>
      <c r="C7" s="578">
        <v>0</v>
      </c>
      <c r="D7" s="578">
        <v>279004474.6500001</v>
      </c>
      <c r="E7" s="578">
        <v>0</v>
      </c>
      <c r="F7" s="578">
        <v>0</v>
      </c>
      <c r="G7" s="578">
        <v>0</v>
      </c>
      <c r="H7" s="578">
        <v>0</v>
      </c>
      <c r="I7" s="489">
        <f t="shared" ref="I7:I23" si="0">C7+D7-E7-F7-G7</f>
        <v>279004474.6500001</v>
      </c>
    </row>
    <row r="8" spans="1:9">
      <c r="A8" s="487">
        <v>2</v>
      </c>
      <c r="B8" s="479" t="s">
        <v>217</v>
      </c>
      <c r="C8" s="578">
        <v>0</v>
      </c>
      <c r="D8" s="578">
        <v>0</v>
      </c>
      <c r="E8" s="578">
        <v>0</v>
      </c>
      <c r="F8" s="578">
        <v>0</v>
      </c>
      <c r="G8" s="578">
        <v>0</v>
      </c>
      <c r="H8" s="578">
        <v>0</v>
      </c>
      <c r="I8" s="489">
        <f t="shared" si="0"/>
        <v>0</v>
      </c>
    </row>
    <row r="9" spans="1:9">
      <c r="A9" s="487">
        <v>3</v>
      </c>
      <c r="B9" s="479" t="s">
        <v>218</v>
      </c>
      <c r="C9" s="578">
        <v>0</v>
      </c>
      <c r="D9" s="578">
        <v>0</v>
      </c>
      <c r="E9" s="578">
        <v>0</v>
      </c>
      <c r="F9" s="578">
        <v>0</v>
      </c>
      <c r="G9" s="578">
        <v>0</v>
      </c>
      <c r="H9" s="578">
        <v>0</v>
      </c>
      <c r="I9" s="489">
        <f t="shared" si="0"/>
        <v>0</v>
      </c>
    </row>
    <row r="10" spans="1:9">
      <c r="A10" s="487">
        <v>4</v>
      </c>
      <c r="B10" s="479" t="s">
        <v>219</v>
      </c>
      <c r="C10" s="578">
        <v>0</v>
      </c>
      <c r="D10" s="578">
        <v>0</v>
      </c>
      <c r="E10" s="578">
        <v>0</v>
      </c>
      <c r="F10" s="578">
        <v>0</v>
      </c>
      <c r="G10" s="578">
        <v>0</v>
      </c>
      <c r="H10" s="578">
        <v>0</v>
      </c>
      <c r="I10" s="489">
        <f t="shared" si="0"/>
        <v>0</v>
      </c>
    </row>
    <row r="11" spans="1:9">
      <c r="A11" s="487">
        <v>5</v>
      </c>
      <c r="B11" s="479" t="s">
        <v>220</v>
      </c>
      <c r="C11" s="578">
        <v>0</v>
      </c>
      <c r="D11" s="578">
        <v>0</v>
      </c>
      <c r="E11" s="578">
        <v>0</v>
      </c>
      <c r="F11" s="578">
        <v>0</v>
      </c>
      <c r="G11" s="578">
        <v>0</v>
      </c>
      <c r="H11" s="578">
        <v>0</v>
      </c>
      <c r="I11" s="489">
        <f t="shared" si="0"/>
        <v>0</v>
      </c>
    </row>
    <row r="12" spans="1:9">
      <c r="A12" s="487">
        <v>6</v>
      </c>
      <c r="B12" s="479" t="s">
        <v>221</v>
      </c>
      <c r="C12" s="578">
        <v>66423.87</v>
      </c>
      <c r="D12" s="578">
        <v>9908461.8499999996</v>
      </c>
      <c r="E12" s="578">
        <v>66423.87</v>
      </c>
      <c r="F12" s="578">
        <v>0</v>
      </c>
      <c r="G12" s="578">
        <v>0</v>
      </c>
      <c r="H12" s="578">
        <v>0</v>
      </c>
      <c r="I12" s="489">
        <f t="shared" si="0"/>
        <v>9908461.8499999996</v>
      </c>
    </row>
    <row r="13" spans="1:9">
      <c r="A13" s="487">
        <v>7</v>
      </c>
      <c r="B13" s="479" t="s">
        <v>73</v>
      </c>
      <c r="C13" s="578">
        <v>9516014.8594628386</v>
      </c>
      <c r="D13" s="578">
        <v>607342914.14377403</v>
      </c>
      <c r="E13" s="578">
        <v>7496243.2399976645</v>
      </c>
      <c r="F13" s="578">
        <v>11027414.904848857</v>
      </c>
      <c r="G13" s="578">
        <v>246525.18155694817</v>
      </c>
      <c r="H13" s="578">
        <v>0</v>
      </c>
      <c r="I13" s="489">
        <f t="shared" si="0"/>
        <v>598088745.67683351</v>
      </c>
    </row>
    <row r="14" spans="1:9">
      <c r="A14" s="487">
        <v>8</v>
      </c>
      <c r="B14" s="481" t="s">
        <v>74</v>
      </c>
      <c r="C14" s="578">
        <v>33919310.435324542</v>
      </c>
      <c r="D14" s="578">
        <v>247540480.52241233</v>
      </c>
      <c r="E14" s="578">
        <v>15924435.937621947</v>
      </c>
      <c r="F14" s="578">
        <v>4251988.0654128669</v>
      </c>
      <c r="G14" s="578">
        <v>452694.37027301983</v>
      </c>
      <c r="H14" s="578">
        <v>1058614.0400000003</v>
      </c>
      <c r="I14" s="489">
        <f t="shared" si="0"/>
        <v>260830672.584429</v>
      </c>
    </row>
    <row r="15" spans="1:9">
      <c r="A15" s="487">
        <v>9</v>
      </c>
      <c r="B15" s="479" t="s">
        <v>75</v>
      </c>
      <c r="C15" s="578">
        <v>11410583.635212604</v>
      </c>
      <c r="D15" s="578">
        <v>105110508.84854609</v>
      </c>
      <c r="E15" s="578">
        <v>4919450.4153803764</v>
      </c>
      <c r="F15" s="578">
        <v>1890169.4286752592</v>
      </c>
      <c r="G15" s="578">
        <v>315076.57365493383</v>
      </c>
      <c r="H15" s="578">
        <v>0</v>
      </c>
      <c r="I15" s="489">
        <f t="shared" si="0"/>
        <v>109396396.06604812</v>
      </c>
    </row>
    <row r="16" spans="1:9">
      <c r="A16" s="487">
        <v>10</v>
      </c>
      <c r="B16" s="593" t="s">
        <v>561</v>
      </c>
      <c r="C16" s="578">
        <v>17247635.27999999</v>
      </c>
      <c r="D16" s="578">
        <v>475715.68</v>
      </c>
      <c r="E16" s="578">
        <v>7996776.7719999999</v>
      </c>
      <c r="F16" s="578">
        <v>0</v>
      </c>
      <c r="G16" s="578">
        <v>12495.186591043592</v>
      </c>
      <c r="H16" s="578">
        <v>424815.79999999987</v>
      </c>
      <c r="I16" s="489">
        <f t="shared" si="0"/>
        <v>9714079.0014089458</v>
      </c>
    </row>
    <row r="17" spans="1:9">
      <c r="A17" s="487">
        <v>11</v>
      </c>
      <c r="B17" s="479" t="s">
        <v>70</v>
      </c>
      <c r="C17" s="578">
        <v>136221.07999999999</v>
      </c>
      <c r="D17" s="578">
        <v>45445707.565263741</v>
      </c>
      <c r="E17" s="578">
        <v>141019.69100000002</v>
      </c>
      <c r="F17" s="578">
        <v>879858.58766304189</v>
      </c>
      <c r="G17" s="578">
        <v>284805.87451509712</v>
      </c>
      <c r="H17" s="578">
        <v>0</v>
      </c>
      <c r="I17" s="489">
        <f t="shared" si="0"/>
        <v>44276244.492085606</v>
      </c>
    </row>
    <row r="18" spans="1:9">
      <c r="A18" s="487">
        <v>12</v>
      </c>
      <c r="B18" s="479" t="s">
        <v>71</v>
      </c>
      <c r="C18" s="578">
        <v>0</v>
      </c>
      <c r="D18" s="578">
        <v>0</v>
      </c>
      <c r="E18" s="578">
        <v>0</v>
      </c>
      <c r="F18" s="578">
        <v>0</v>
      </c>
      <c r="G18" s="578">
        <v>0</v>
      </c>
      <c r="H18" s="578">
        <v>0</v>
      </c>
      <c r="I18" s="489">
        <f t="shared" si="0"/>
        <v>0</v>
      </c>
    </row>
    <row r="19" spans="1:9">
      <c r="A19" s="490">
        <v>13</v>
      </c>
      <c r="B19" s="481" t="s">
        <v>72</v>
      </c>
      <c r="C19" s="578">
        <v>0</v>
      </c>
      <c r="D19" s="578">
        <v>0</v>
      </c>
      <c r="E19" s="578">
        <v>0</v>
      </c>
      <c r="F19" s="578">
        <v>0</v>
      </c>
      <c r="G19" s="578">
        <v>0</v>
      </c>
      <c r="H19" s="578">
        <v>0</v>
      </c>
      <c r="I19" s="489">
        <f t="shared" si="0"/>
        <v>0</v>
      </c>
    </row>
    <row r="20" spans="1:9">
      <c r="A20" s="487">
        <v>14</v>
      </c>
      <c r="B20" s="479" t="s">
        <v>540</v>
      </c>
      <c r="C20" s="578">
        <v>29447980.019999996</v>
      </c>
      <c r="D20" s="578">
        <v>86203086.181999967</v>
      </c>
      <c r="E20" s="578">
        <v>24927819.641999993</v>
      </c>
      <c r="F20" s="578">
        <v>0</v>
      </c>
      <c r="G20" s="578">
        <v>0</v>
      </c>
      <c r="H20" s="578">
        <v>0</v>
      </c>
      <c r="I20" s="489">
        <f t="shared" si="0"/>
        <v>90723246.559999973</v>
      </c>
    </row>
    <row r="21" spans="1:9" s="492" customFormat="1">
      <c r="A21" s="491">
        <v>15</v>
      </c>
      <c r="B21" s="480" t="s">
        <v>68</v>
      </c>
      <c r="C21" s="577">
        <f>SUM(C7:C15)+SUM(C17:C20)</f>
        <v>84496533.899999976</v>
      </c>
      <c r="D21" s="577">
        <f t="shared" ref="D21:H21" si="1">SUM(D7:D15)+SUM(D17:D20)</f>
        <v>1380555633.7619963</v>
      </c>
      <c r="E21" s="577">
        <f t="shared" si="1"/>
        <v>53475392.795999981</v>
      </c>
      <c r="F21" s="577">
        <f t="shared" si="1"/>
        <v>18049430.986600026</v>
      </c>
      <c r="G21" s="579">
        <v>1299101.9999999991</v>
      </c>
      <c r="H21" s="577">
        <f t="shared" si="1"/>
        <v>1058614.0400000003</v>
      </c>
      <c r="I21" s="489">
        <f t="shared" si="0"/>
        <v>1392228241.8793964</v>
      </c>
    </row>
    <row r="22" spans="1:9">
      <c r="A22" s="493">
        <v>16</v>
      </c>
      <c r="B22" s="494" t="s">
        <v>562</v>
      </c>
      <c r="C22" s="578">
        <v>54982130.009999976</v>
      </c>
      <c r="D22" s="578">
        <v>1000417764.1599962</v>
      </c>
      <c r="E22" s="578">
        <v>28481149.283999994</v>
      </c>
      <c r="F22" s="578">
        <v>17949430.986600026</v>
      </c>
      <c r="G22" s="578">
        <v>1299101.9999999991</v>
      </c>
      <c r="H22" s="578">
        <v>1058614.0400000003</v>
      </c>
      <c r="I22" s="489">
        <f t="shared" si="0"/>
        <v>1007670211.8993961</v>
      </c>
    </row>
    <row r="23" spans="1:9">
      <c r="A23" s="493">
        <v>17</v>
      </c>
      <c r="B23" s="494" t="s">
        <v>563</v>
      </c>
      <c r="C23" s="578">
        <v>0</v>
      </c>
      <c r="D23" s="578">
        <v>154782099.54999998</v>
      </c>
      <c r="E23" s="578">
        <v>0</v>
      </c>
      <c r="F23" s="578">
        <v>0</v>
      </c>
      <c r="G23" s="578">
        <v>0</v>
      </c>
      <c r="H23" s="578">
        <v>0</v>
      </c>
      <c r="I23" s="489">
        <f t="shared" si="0"/>
        <v>154782099.54999998</v>
      </c>
    </row>
    <row r="26" spans="1:9" ht="42.6" customHeight="1">
      <c r="B26" s="594" t="s">
        <v>712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topLeftCell="B13" zoomScale="70" zoomScaleNormal="70" workbookViewId="0">
      <selection activeCell="E41" sqref="E41"/>
    </sheetView>
  </sheetViews>
  <sheetFormatPr defaultColWidth="9.140625" defaultRowHeight="12.75"/>
  <cols>
    <col min="1" max="1" width="11" style="475" bestFit="1" customWidth="1"/>
    <col min="2" max="2" width="93.42578125" style="475" customWidth="1"/>
    <col min="3" max="8" width="22" style="475" customWidth="1"/>
    <col min="9" max="9" width="42.28515625" style="475" bestFit="1" customWidth="1"/>
    <col min="10" max="16384" width="9.140625" style="475"/>
  </cols>
  <sheetData>
    <row r="1" spans="1:9">
      <c r="A1" s="474" t="s">
        <v>188</v>
      </c>
      <c r="B1" s="612" t="str">
        <f>'1. key ratios'!B1</f>
        <v>ს.ს. "ტერაბანკი"</v>
      </c>
    </row>
    <row r="2" spans="1:9">
      <c r="A2" s="474" t="s">
        <v>189</v>
      </c>
    </row>
    <row r="3" spans="1:9">
      <c r="A3" s="476" t="s">
        <v>564</v>
      </c>
      <c r="B3" s="477">
        <f>'1. key ratios'!B2</f>
        <v>44742</v>
      </c>
    </row>
    <row r="4" spans="1:9">
      <c r="C4" s="485" t="s">
        <v>542</v>
      </c>
      <c r="D4" s="485" t="s">
        <v>543</v>
      </c>
      <c r="E4" s="485" t="s">
        <v>544</v>
      </c>
      <c r="F4" s="485" t="s">
        <v>545</v>
      </c>
      <c r="G4" s="485" t="s">
        <v>546</v>
      </c>
      <c r="H4" s="485" t="s">
        <v>547</v>
      </c>
      <c r="I4" s="485" t="s">
        <v>550</v>
      </c>
    </row>
    <row r="5" spans="1:9" ht="41.45" customHeight="1">
      <c r="A5" s="670" t="s">
        <v>716</v>
      </c>
      <c r="B5" s="671"/>
      <c r="C5" s="684" t="s">
        <v>552</v>
      </c>
      <c r="D5" s="684"/>
      <c r="E5" s="684" t="s">
        <v>553</v>
      </c>
      <c r="F5" s="684" t="s">
        <v>554</v>
      </c>
      <c r="G5" s="682" t="s">
        <v>555</v>
      </c>
      <c r="H5" s="682" t="s">
        <v>556</v>
      </c>
      <c r="I5" s="486" t="s">
        <v>557</v>
      </c>
    </row>
    <row r="6" spans="1:9" ht="41.45" customHeight="1">
      <c r="A6" s="674"/>
      <c r="B6" s="675"/>
      <c r="C6" s="520" t="s">
        <v>558</v>
      </c>
      <c r="D6" s="520" t="s">
        <v>559</v>
      </c>
      <c r="E6" s="684"/>
      <c r="F6" s="684"/>
      <c r="G6" s="683"/>
      <c r="H6" s="683"/>
      <c r="I6" s="486" t="s">
        <v>560</v>
      </c>
    </row>
    <row r="7" spans="1:9">
      <c r="A7" s="488">
        <v>1</v>
      </c>
      <c r="B7" s="495" t="s">
        <v>565</v>
      </c>
      <c r="C7" s="578">
        <v>2007366.6374000001</v>
      </c>
      <c r="D7" s="578">
        <v>347263245.02810025</v>
      </c>
      <c r="E7" s="578">
        <v>1277123.4925999988</v>
      </c>
      <c r="F7" s="578">
        <v>1285679.4224999989</v>
      </c>
      <c r="G7" s="578">
        <v>427966.485107432</v>
      </c>
      <c r="H7" s="578">
        <v>102686.89999999998</v>
      </c>
      <c r="I7" s="489">
        <v>346279842.26529276</v>
      </c>
    </row>
    <row r="8" spans="1:9">
      <c r="A8" s="488">
        <v>2</v>
      </c>
      <c r="B8" s="495" t="s">
        <v>566</v>
      </c>
      <c r="C8" s="578">
        <v>421607.88059999997</v>
      </c>
      <c r="D8" s="578">
        <v>48259340.404600009</v>
      </c>
      <c r="E8" s="578">
        <v>297374.3112</v>
      </c>
      <c r="F8" s="578">
        <v>743738.52260000014</v>
      </c>
      <c r="G8" s="578">
        <v>88454.820302483771</v>
      </c>
      <c r="H8" s="578">
        <v>23500</v>
      </c>
      <c r="I8" s="489">
        <v>47551380.631097518</v>
      </c>
    </row>
    <row r="9" spans="1:9">
      <c r="A9" s="488">
        <v>3</v>
      </c>
      <c r="B9" s="495" t="s">
        <v>567</v>
      </c>
      <c r="C9" s="578">
        <v>0</v>
      </c>
      <c r="D9" s="578">
        <v>30478669.781800006</v>
      </c>
      <c r="E9" s="578">
        <v>5795.5316000000003</v>
      </c>
      <c r="F9" s="578">
        <v>607749.98539999989</v>
      </c>
      <c r="G9" s="578">
        <v>104.84188037407679</v>
      </c>
      <c r="H9" s="578">
        <v>0</v>
      </c>
      <c r="I9" s="489">
        <v>29865019.422919635</v>
      </c>
    </row>
    <row r="10" spans="1:9">
      <c r="A10" s="488">
        <v>4</v>
      </c>
      <c r="B10" s="495" t="s">
        <v>568</v>
      </c>
      <c r="C10" s="578">
        <v>990082.20160000003</v>
      </c>
      <c r="D10" s="578">
        <v>85282562.958499998</v>
      </c>
      <c r="E10" s="578">
        <v>785927.06200000003</v>
      </c>
      <c r="F10" s="578">
        <v>1601218.8603999992</v>
      </c>
      <c r="G10" s="578">
        <v>35123.389330060032</v>
      </c>
      <c r="H10" s="578">
        <v>0</v>
      </c>
      <c r="I10" s="489">
        <v>83850375.848369926</v>
      </c>
    </row>
    <row r="11" spans="1:9">
      <c r="A11" s="488">
        <v>5</v>
      </c>
      <c r="B11" s="495" t="s">
        <v>569</v>
      </c>
      <c r="C11" s="578">
        <v>6282955.6121999994</v>
      </c>
      <c r="D11" s="578">
        <v>85585230.08039999</v>
      </c>
      <c r="E11" s="578">
        <v>3310732.6496999995</v>
      </c>
      <c r="F11" s="578">
        <v>1488887.3860000006</v>
      </c>
      <c r="G11" s="578">
        <v>38985.383288285972</v>
      </c>
      <c r="H11" s="578">
        <v>0</v>
      </c>
      <c r="I11" s="489">
        <v>87029580.273611695</v>
      </c>
    </row>
    <row r="12" spans="1:9">
      <c r="A12" s="488">
        <v>6</v>
      </c>
      <c r="B12" s="495" t="s">
        <v>570</v>
      </c>
      <c r="C12" s="578">
        <v>2000541.5356999999</v>
      </c>
      <c r="D12" s="578">
        <v>29897473.207600001</v>
      </c>
      <c r="E12" s="578">
        <v>820400.69609999994</v>
      </c>
      <c r="F12" s="578">
        <v>570064.0480999999</v>
      </c>
      <c r="G12" s="578">
        <v>47907.378597225797</v>
      </c>
      <c r="H12" s="578">
        <v>17929.310000000001</v>
      </c>
      <c r="I12" s="489">
        <v>30459642.620502777</v>
      </c>
    </row>
    <row r="13" spans="1:9">
      <c r="A13" s="488">
        <v>7</v>
      </c>
      <c r="B13" s="495" t="s">
        <v>571</v>
      </c>
      <c r="C13" s="578">
        <v>1331737.3848000001</v>
      </c>
      <c r="D13" s="578">
        <v>56582970.39419999</v>
      </c>
      <c r="E13" s="578">
        <v>470757.48590000003</v>
      </c>
      <c r="F13" s="578">
        <v>1112649.5710999998</v>
      </c>
      <c r="G13" s="578">
        <v>1494.2291466124248</v>
      </c>
      <c r="H13" s="578">
        <v>0</v>
      </c>
      <c r="I13" s="489">
        <v>56329806.492853381</v>
      </c>
    </row>
    <row r="14" spans="1:9">
      <c r="A14" s="488">
        <v>8</v>
      </c>
      <c r="B14" s="495" t="s">
        <v>572</v>
      </c>
      <c r="C14" s="578">
        <v>1793787.4083000002</v>
      </c>
      <c r="D14" s="578">
        <v>44553732.391199999</v>
      </c>
      <c r="E14" s="578">
        <v>767327.6730999999</v>
      </c>
      <c r="F14" s="578">
        <v>853187.42340000032</v>
      </c>
      <c r="G14" s="578">
        <v>1664.5944370768311</v>
      </c>
      <c r="H14" s="578">
        <v>0</v>
      </c>
      <c r="I14" s="489">
        <v>44725340.108562917</v>
      </c>
    </row>
    <row r="15" spans="1:9">
      <c r="A15" s="488">
        <v>9</v>
      </c>
      <c r="B15" s="495" t="s">
        <v>573</v>
      </c>
      <c r="C15" s="578">
        <v>51805.13</v>
      </c>
      <c r="D15" s="578">
        <v>28624128.782500003</v>
      </c>
      <c r="E15" s="578">
        <v>152615.32019999999</v>
      </c>
      <c r="F15" s="578">
        <v>541184.22479999997</v>
      </c>
      <c r="G15" s="578">
        <v>399.93558273215837</v>
      </c>
      <c r="H15" s="578">
        <v>0</v>
      </c>
      <c r="I15" s="489">
        <v>27981734.431917269</v>
      </c>
    </row>
    <row r="16" spans="1:9">
      <c r="A16" s="488">
        <v>10</v>
      </c>
      <c r="B16" s="495" t="s">
        <v>574</v>
      </c>
      <c r="C16" s="578">
        <v>757590.56270000001</v>
      </c>
      <c r="D16" s="578">
        <v>12181003.688699996</v>
      </c>
      <c r="E16" s="578">
        <v>447585.7634</v>
      </c>
      <c r="F16" s="578">
        <v>198504.73609999995</v>
      </c>
      <c r="G16" s="578">
        <v>87.9979891277425</v>
      </c>
      <c r="H16" s="578">
        <v>19762.8</v>
      </c>
      <c r="I16" s="489">
        <v>12292415.753910869</v>
      </c>
    </row>
    <row r="17" spans="1:9">
      <c r="A17" s="488">
        <v>11</v>
      </c>
      <c r="B17" s="495" t="s">
        <v>575</v>
      </c>
      <c r="C17" s="578">
        <v>889151.95270000002</v>
      </c>
      <c r="D17" s="578">
        <v>6652399.6345000016</v>
      </c>
      <c r="E17" s="578">
        <v>508295.62939999998</v>
      </c>
      <c r="F17" s="578">
        <v>112960.97899999996</v>
      </c>
      <c r="G17" s="578">
        <v>230.88906762607417</v>
      </c>
      <c r="H17" s="578">
        <v>0</v>
      </c>
      <c r="I17" s="489">
        <v>6920064.0897323759</v>
      </c>
    </row>
    <row r="18" spans="1:9">
      <c r="A18" s="488">
        <v>12</v>
      </c>
      <c r="B18" s="495" t="s">
        <v>576</v>
      </c>
      <c r="C18" s="578">
        <v>5196743.0691</v>
      </c>
      <c r="D18" s="578">
        <v>66803677.56759993</v>
      </c>
      <c r="E18" s="578">
        <v>2612725.4141999995</v>
      </c>
      <c r="F18" s="578">
        <v>1128501.5974000003</v>
      </c>
      <c r="G18" s="578">
        <v>63853.34469409287</v>
      </c>
      <c r="H18" s="578">
        <v>166064.66999999998</v>
      </c>
      <c r="I18" s="489">
        <v>68195340.280405849</v>
      </c>
    </row>
    <row r="19" spans="1:9">
      <c r="A19" s="488">
        <v>13</v>
      </c>
      <c r="B19" s="495" t="s">
        <v>577</v>
      </c>
      <c r="C19" s="578">
        <v>1053113.8214</v>
      </c>
      <c r="D19" s="578">
        <v>14213638.245100003</v>
      </c>
      <c r="E19" s="578">
        <v>597244.62109999999</v>
      </c>
      <c r="F19" s="578">
        <v>247620.9418</v>
      </c>
      <c r="G19" s="578">
        <v>9359.0407333216426</v>
      </c>
      <c r="H19" s="578">
        <v>0</v>
      </c>
      <c r="I19" s="489">
        <v>14412527.462866681</v>
      </c>
    </row>
    <row r="20" spans="1:9">
      <c r="A20" s="488">
        <v>14</v>
      </c>
      <c r="B20" s="495" t="s">
        <v>578</v>
      </c>
      <c r="C20" s="578">
        <v>9946311.3916000016</v>
      </c>
      <c r="D20" s="578">
        <v>78339146.512699991</v>
      </c>
      <c r="E20" s="578">
        <v>4821241.4440999981</v>
      </c>
      <c r="F20" s="578">
        <v>1162398.5034000003</v>
      </c>
      <c r="G20" s="578">
        <v>17771.483580460437</v>
      </c>
      <c r="H20" s="578">
        <v>18412.719999999998</v>
      </c>
      <c r="I20" s="489">
        <v>82284046.473219544</v>
      </c>
    </row>
    <row r="21" spans="1:9">
      <c r="A21" s="488">
        <v>15</v>
      </c>
      <c r="B21" s="495" t="s">
        <v>579</v>
      </c>
      <c r="C21" s="578">
        <v>1197994.5302000002</v>
      </c>
      <c r="D21" s="578">
        <v>30233102.634099994</v>
      </c>
      <c r="E21" s="578">
        <v>1687535.3599999996</v>
      </c>
      <c r="F21" s="578">
        <v>342308.44490000018</v>
      </c>
      <c r="G21" s="578">
        <v>6050.0613340909604</v>
      </c>
      <c r="H21" s="578">
        <v>1395.98</v>
      </c>
      <c r="I21" s="489">
        <v>29395203.298065905</v>
      </c>
    </row>
    <row r="22" spans="1:9">
      <c r="A22" s="488">
        <v>16</v>
      </c>
      <c r="B22" s="495" t="s">
        <v>580</v>
      </c>
      <c r="C22" s="578">
        <v>0</v>
      </c>
      <c r="D22" s="578">
        <v>375515.0861999999</v>
      </c>
      <c r="E22" s="578">
        <v>0</v>
      </c>
      <c r="F22" s="578">
        <v>7414.4694</v>
      </c>
      <c r="G22" s="578">
        <v>2349.8182223517738</v>
      </c>
      <c r="H22" s="578">
        <v>0</v>
      </c>
      <c r="I22" s="489">
        <v>365750.79857764812</v>
      </c>
    </row>
    <row r="23" spans="1:9">
      <c r="A23" s="488">
        <v>17</v>
      </c>
      <c r="B23" s="495" t="s">
        <v>581</v>
      </c>
      <c r="C23" s="578">
        <v>1579569.4445</v>
      </c>
      <c r="D23" s="578">
        <v>3283243.9665999999</v>
      </c>
      <c r="E23" s="578">
        <v>677445.12859999994</v>
      </c>
      <c r="F23" s="578">
        <v>37952.984199999999</v>
      </c>
      <c r="G23" s="578">
        <v>646.32764509849608</v>
      </c>
      <c r="H23" s="578">
        <v>0</v>
      </c>
      <c r="I23" s="489">
        <v>4146768.970654902</v>
      </c>
    </row>
    <row r="24" spans="1:9">
      <c r="A24" s="488">
        <v>18</v>
      </c>
      <c r="B24" s="495" t="s">
        <v>582</v>
      </c>
      <c r="C24" s="578">
        <v>0</v>
      </c>
      <c r="D24" s="578">
        <v>17575449.410800003</v>
      </c>
      <c r="E24" s="578">
        <v>0</v>
      </c>
      <c r="F24" s="578">
        <v>344487.08130000002</v>
      </c>
      <c r="G24" s="578">
        <v>2726.633339239766</v>
      </c>
      <c r="H24" s="578">
        <v>0</v>
      </c>
      <c r="I24" s="489">
        <v>17228235.69616076</v>
      </c>
    </row>
    <row r="25" spans="1:9">
      <c r="A25" s="488">
        <v>19</v>
      </c>
      <c r="B25" s="495" t="s">
        <v>583</v>
      </c>
      <c r="C25" s="578">
        <v>26983.356899999999</v>
      </c>
      <c r="D25" s="578">
        <v>14418893.2577</v>
      </c>
      <c r="E25" s="578">
        <v>25376.294099999999</v>
      </c>
      <c r="F25" s="578">
        <v>125520.83860000002</v>
      </c>
      <c r="G25" s="578">
        <v>489.40212450226187</v>
      </c>
      <c r="H25" s="578">
        <v>0</v>
      </c>
      <c r="I25" s="489">
        <v>14294490.079775497</v>
      </c>
    </row>
    <row r="26" spans="1:9">
      <c r="A26" s="488">
        <v>20</v>
      </c>
      <c r="B26" s="495" t="s">
        <v>584</v>
      </c>
      <c r="C26" s="578">
        <v>330347.30720000004</v>
      </c>
      <c r="D26" s="578">
        <v>33873649.781900011</v>
      </c>
      <c r="E26" s="578">
        <v>321053.62310000003</v>
      </c>
      <c r="F26" s="578">
        <v>634404.25449999946</v>
      </c>
      <c r="G26" s="578">
        <v>54619.621340300575</v>
      </c>
      <c r="H26" s="578">
        <v>231992.55</v>
      </c>
      <c r="I26" s="489">
        <v>33193919.590159714</v>
      </c>
    </row>
    <row r="27" spans="1:9">
      <c r="A27" s="488">
        <v>21</v>
      </c>
      <c r="B27" s="495" t="s">
        <v>585</v>
      </c>
      <c r="C27" s="578">
        <v>74814.600000000006</v>
      </c>
      <c r="D27" s="578">
        <v>4234921.0127000008</v>
      </c>
      <c r="E27" s="578">
        <v>57540.0213</v>
      </c>
      <c r="F27" s="578">
        <v>80025.418099999995</v>
      </c>
      <c r="G27" s="578">
        <v>7974.6267321109162</v>
      </c>
      <c r="H27" s="578">
        <v>0</v>
      </c>
      <c r="I27" s="489">
        <v>4164195.5465678894</v>
      </c>
    </row>
    <row r="28" spans="1:9">
      <c r="A28" s="488">
        <v>22</v>
      </c>
      <c r="B28" s="495" t="s">
        <v>586</v>
      </c>
      <c r="C28" s="578">
        <v>22857.6368</v>
      </c>
      <c r="D28" s="578">
        <v>1206617.6703999999</v>
      </c>
      <c r="E28" s="578">
        <v>83990.498900000006</v>
      </c>
      <c r="F28" s="578">
        <v>10498.536899999999</v>
      </c>
      <c r="G28" s="578">
        <v>3396.8534719004124</v>
      </c>
      <c r="H28" s="578">
        <v>0</v>
      </c>
      <c r="I28" s="489">
        <v>1131589.4179280996</v>
      </c>
    </row>
    <row r="29" spans="1:9">
      <c r="A29" s="488">
        <v>23</v>
      </c>
      <c r="B29" s="495" t="s">
        <v>587</v>
      </c>
      <c r="C29" s="578">
        <v>8165513.4202999994</v>
      </c>
      <c r="D29" s="578">
        <v>79806931.20930019</v>
      </c>
      <c r="E29" s="578">
        <v>3559913.7230999987</v>
      </c>
      <c r="F29" s="578">
        <v>1475866.3817999985</v>
      </c>
      <c r="G29" s="578">
        <v>83071.998007010581</v>
      </c>
      <c r="H29" s="578">
        <v>5000</v>
      </c>
      <c r="I29" s="489">
        <v>82853592.526693195</v>
      </c>
    </row>
    <row r="30" spans="1:9">
      <c r="A30" s="488">
        <v>24</v>
      </c>
      <c r="B30" s="495" t="s">
        <v>588</v>
      </c>
      <c r="C30" s="578">
        <v>4639682.1687000003</v>
      </c>
      <c r="D30" s="578">
        <v>109655756.77959991</v>
      </c>
      <c r="E30" s="578">
        <v>2457715.6170999995</v>
      </c>
      <c r="F30" s="578">
        <v>2046156.4471999994</v>
      </c>
      <c r="G30" s="578">
        <v>8080.1245774077715</v>
      </c>
      <c r="H30" s="578">
        <v>32884.89</v>
      </c>
      <c r="I30" s="489">
        <v>109783486.7594225</v>
      </c>
    </row>
    <row r="31" spans="1:9">
      <c r="A31" s="488">
        <v>25</v>
      </c>
      <c r="B31" s="495" t="s">
        <v>589</v>
      </c>
      <c r="C31" s="578">
        <v>3958650.0861</v>
      </c>
      <c r="D31" s="578">
        <v>43604584.453100003</v>
      </c>
      <c r="E31" s="578">
        <v>1609777.8512999997</v>
      </c>
      <c r="F31" s="578">
        <v>902820.12320000015</v>
      </c>
      <c r="G31" s="578">
        <v>249236.99820928011</v>
      </c>
      <c r="H31" s="578">
        <v>438983.73999999982</v>
      </c>
      <c r="I31" s="489">
        <v>44801399.566490717</v>
      </c>
    </row>
    <row r="32" spans="1:9">
      <c r="A32" s="488">
        <v>26</v>
      </c>
      <c r="B32" s="495" t="s">
        <v>590</v>
      </c>
      <c r="C32" s="578">
        <v>2329346.7240999998</v>
      </c>
      <c r="D32" s="578">
        <v>21366663.464500003</v>
      </c>
      <c r="E32" s="578">
        <v>1192079.4408000004</v>
      </c>
      <c r="F32" s="578">
        <v>387630.93400000018</v>
      </c>
      <c r="G32" s="578">
        <v>147055.7212597921</v>
      </c>
      <c r="H32" s="578">
        <v>0</v>
      </c>
      <c r="I32" s="489">
        <v>21969244.092540212</v>
      </c>
    </row>
    <row r="33" spans="1:9">
      <c r="A33" s="488">
        <v>27</v>
      </c>
      <c r="B33" s="488" t="s">
        <v>165</v>
      </c>
      <c r="C33" s="578">
        <v>29447980.019999996</v>
      </c>
      <c r="D33" s="578">
        <v>86203086.181999967</v>
      </c>
      <c r="E33" s="578">
        <v>24927819.641999993</v>
      </c>
      <c r="F33" s="578">
        <v>0</v>
      </c>
      <c r="G33" s="578">
        <v>0</v>
      </c>
      <c r="H33" s="578">
        <v>0</v>
      </c>
      <c r="I33" s="489">
        <v>90723246.559999973</v>
      </c>
    </row>
    <row r="34" spans="1:9">
      <c r="A34" s="488">
        <v>28</v>
      </c>
      <c r="B34" s="480" t="s">
        <v>68</v>
      </c>
      <c r="C34" s="577">
        <v>84496533.8829</v>
      </c>
      <c r="D34" s="577">
        <v>1380555633.5864</v>
      </c>
      <c r="E34" s="577">
        <v>53475394.294899993</v>
      </c>
      <c r="F34" s="577">
        <v>18049432.116099998</v>
      </c>
      <c r="G34" s="577">
        <v>1299101.9999999974</v>
      </c>
      <c r="H34" s="577">
        <v>1058613.5599999998</v>
      </c>
      <c r="I34" s="489">
        <v>1392228239.0583</v>
      </c>
    </row>
    <row r="35" spans="1:9">
      <c r="A35" s="492"/>
      <c r="B35" s="492"/>
    </row>
    <row r="36" spans="1:9">
      <c r="A36" s="492"/>
      <c r="B36" s="49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2" sqref="B2"/>
    </sheetView>
  </sheetViews>
  <sheetFormatPr defaultColWidth="9.140625" defaultRowHeight="12.75"/>
  <cols>
    <col min="1" max="1" width="11.85546875" style="475" bestFit="1" customWidth="1"/>
    <col min="2" max="2" width="108" style="475" bestFit="1" customWidth="1"/>
    <col min="3" max="3" width="35.5703125" style="475" customWidth="1"/>
    <col min="4" max="4" width="38.42578125" style="475" customWidth="1"/>
    <col min="5" max="16384" width="9.140625" style="475"/>
  </cols>
  <sheetData>
    <row r="1" spans="1:4">
      <c r="A1" s="474" t="s">
        <v>188</v>
      </c>
      <c r="B1" s="612" t="str">
        <f>'1. key ratios'!B1</f>
        <v>ს.ს. "ტერაბანკი"</v>
      </c>
    </row>
    <row r="2" spans="1:4">
      <c r="A2" s="474" t="s">
        <v>189</v>
      </c>
    </row>
    <row r="3" spans="1:4">
      <c r="A3" s="476" t="s">
        <v>591</v>
      </c>
      <c r="B3" s="477">
        <f>'1. key ratios'!B2</f>
        <v>44742</v>
      </c>
    </row>
    <row r="5" spans="1:4" ht="51">
      <c r="A5" s="685" t="s">
        <v>592</v>
      </c>
      <c r="B5" s="685"/>
      <c r="C5" s="478" t="s">
        <v>593</v>
      </c>
      <c r="D5" s="478" t="s">
        <v>594</v>
      </c>
    </row>
    <row r="6" spans="1:4">
      <c r="A6" s="497">
        <v>1</v>
      </c>
      <c r="B6" s="498" t="s">
        <v>595</v>
      </c>
      <c r="C6" s="577">
        <v>49138707.470000327</v>
      </c>
      <c r="D6" s="577">
        <v>100000</v>
      </c>
    </row>
    <row r="7" spans="1:4">
      <c r="A7" s="499">
        <v>2</v>
      </c>
      <c r="B7" s="498" t="s">
        <v>596</v>
      </c>
      <c r="C7" s="577">
        <f>SUM(C8:C11)</f>
        <v>6543525.1549267173</v>
      </c>
      <c r="D7" s="577">
        <f>SUM(D8:D11)</f>
        <v>0</v>
      </c>
    </row>
    <row r="8" spans="1:4">
      <c r="A8" s="499">
        <v>2.1</v>
      </c>
      <c r="B8" s="500" t="s">
        <v>597</v>
      </c>
      <c r="C8" s="578">
        <v>4484683.2331720004</v>
      </c>
      <c r="D8" s="578">
        <v>0</v>
      </c>
    </row>
    <row r="9" spans="1:4">
      <c r="A9" s="499">
        <v>2.2000000000000002</v>
      </c>
      <c r="B9" s="500" t="s">
        <v>598</v>
      </c>
      <c r="C9" s="578">
        <v>2058841.9217547174</v>
      </c>
      <c r="D9" s="578">
        <v>0</v>
      </c>
    </row>
    <row r="10" spans="1:4">
      <c r="A10" s="499">
        <v>2.2999999999999998</v>
      </c>
      <c r="B10" s="500" t="s">
        <v>599</v>
      </c>
      <c r="C10" s="578">
        <v>0</v>
      </c>
      <c r="D10" s="578">
        <v>0</v>
      </c>
    </row>
    <row r="11" spans="1:4">
      <c r="A11" s="499">
        <v>2.4</v>
      </c>
      <c r="B11" s="500" t="s">
        <v>600</v>
      </c>
      <c r="C11" s="578">
        <v>0</v>
      </c>
      <c r="D11" s="578">
        <v>0</v>
      </c>
    </row>
    <row r="12" spans="1:4">
      <c r="A12" s="497">
        <v>3</v>
      </c>
      <c r="B12" s="498" t="s">
        <v>601</v>
      </c>
      <c r="C12" s="577">
        <f>SUM(C13:C18)</f>
        <v>7952580.6249269992</v>
      </c>
      <c r="D12" s="577">
        <f>SUM(D13:D18)</f>
        <v>0</v>
      </c>
    </row>
    <row r="13" spans="1:4">
      <c r="A13" s="499">
        <v>3.1</v>
      </c>
      <c r="B13" s="500" t="s">
        <v>602</v>
      </c>
      <c r="C13" s="578">
        <v>703913.91999999993</v>
      </c>
      <c r="D13" s="578">
        <v>0</v>
      </c>
    </row>
    <row r="14" spans="1:4">
      <c r="A14" s="499">
        <v>3.2</v>
      </c>
      <c r="B14" s="500" t="s">
        <v>603</v>
      </c>
      <c r="C14" s="578">
        <v>1702460.7947299997</v>
      </c>
      <c r="D14" s="578">
        <v>0</v>
      </c>
    </row>
    <row r="15" spans="1:4">
      <c r="A15" s="499">
        <v>3.3</v>
      </c>
      <c r="B15" s="500" t="s">
        <v>604</v>
      </c>
      <c r="C15" s="578">
        <v>2230200.5534730004</v>
      </c>
      <c r="D15" s="578">
        <v>0</v>
      </c>
    </row>
    <row r="16" spans="1:4">
      <c r="A16" s="499">
        <v>3.4</v>
      </c>
      <c r="B16" s="500" t="s">
        <v>605</v>
      </c>
      <c r="C16" s="578">
        <v>1126422.148358</v>
      </c>
      <c r="D16" s="578">
        <v>0</v>
      </c>
    </row>
    <row r="17" spans="1:4">
      <c r="A17" s="499">
        <v>3.5</v>
      </c>
      <c r="B17" s="500" t="s">
        <v>606</v>
      </c>
      <c r="C17" s="578">
        <v>2189583.2083659996</v>
      </c>
      <c r="D17" s="578">
        <v>0</v>
      </c>
    </row>
    <row r="18" spans="1:4">
      <c r="A18" s="499">
        <v>3.6</v>
      </c>
      <c r="B18" s="500" t="s">
        <v>607</v>
      </c>
      <c r="C18" s="578">
        <v>0</v>
      </c>
      <c r="D18" s="578">
        <v>0</v>
      </c>
    </row>
    <row r="19" spans="1:4">
      <c r="A19" s="501">
        <v>4</v>
      </c>
      <c r="B19" s="498" t="s">
        <v>608</v>
      </c>
      <c r="C19" s="577">
        <f>C6+C7-C12</f>
        <v>47729652.000000045</v>
      </c>
      <c r="D19" s="577">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13" sqref="C13:C14"/>
    </sheetView>
  </sheetViews>
  <sheetFormatPr defaultColWidth="9.140625" defaultRowHeight="12.75"/>
  <cols>
    <col min="1" max="1" width="11.85546875" style="475" bestFit="1" customWidth="1"/>
    <col min="2" max="2" width="124.7109375" style="475" customWidth="1"/>
    <col min="3" max="3" width="21.5703125" style="475" customWidth="1"/>
    <col min="4" max="4" width="49.140625" style="475" customWidth="1"/>
    <col min="5" max="16384" width="9.140625" style="475"/>
  </cols>
  <sheetData>
    <row r="1" spans="1:4">
      <c r="A1" s="474" t="s">
        <v>188</v>
      </c>
      <c r="B1" s="612" t="str">
        <f>'1. key ratios'!B1</f>
        <v>ს.ს. "ტერაბანკი"</v>
      </c>
    </row>
    <row r="2" spans="1:4">
      <c r="A2" s="474" t="s">
        <v>189</v>
      </c>
    </row>
    <row r="3" spans="1:4">
      <c r="A3" s="476" t="s">
        <v>609</v>
      </c>
      <c r="B3" s="477">
        <f>'1. key ratios'!B2</f>
        <v>44742</v>
      </c>
    </row>
    <row r="4" spans="1:4">
      <c r="A4" s="476"/>
    </row>
    <row r="5" spans="1:4" ht="15" customHeight="1">
      <c r="A5" s="686" t="s">
        <v>610</v>
      </c>
      <c r="B5" s="687"/>
      <c r="C5" s="676" t="s">
        <v>611</v>
      </c>
      <c r="D5" s="690" t="s">
        <v>612</v>
      </c>
    </row>
    <row r="6" spans="1:4">
      <c r="A6" s="688"/>
      <c r="B6" s="689"/>
      <c r="C6" s="679"/>
      <c r="D6" s="690"/>
    </row>
    <row r="7" spans="1:4">
      <c r="A7" s="480">
        <v>1</v>
      </c>
      <c r="B7" s="480" t="s">
        <v>613</v>
      </c>
      <c r="C7" s="577">
        <v>57867352.664560355</v>
      </c>
      <c r="D7" s="502"/>
    </row>
    <row r="8" spans="1:4">
      <c r="A8" s="488">
        <v>2</v>
      </c>
      <c r="B8" s="488" t="s">
        <v>614</v>
      </c>
      <c r="C8" s="578">
        <v>5470409.2193000009</v>
      </c>
      <c r="D8" s="502"/>
    </row>
    <row r="9" spans="1:4">
      <c r="A9" s="488">
        <v>3</v>
      </c>
      <c r="B9" s="503" t="s">
        <v>615</v>
      </c>
      <c r="C9" s="578">
        <v>0</v>
      </c>
      <c r="D9" s="502"/>
    </row>
    <row r="10" spans="1:4">
      <c r="A10" s="488">
        <v>4</v>
      </c>
      <c r="B10" s="488" t="s">
        <v>616</v>
      </c>
      <c r="C10" s="578">
        <f>SUM(C11:C18)</f>
        <v>8355631.6475999998</v>
      </c>
      <c r="D10" s="502"/>
    </row>
    <row r="11" spans="1:4">
      <c r="A11" s="488">
        <v>5</v>
      </c>
      <c r="B11" s="504" t="s">
        <v>617</v>
      </c>
      <c r="C11" s="578">
        <v>1020984.7978000001</v>
      </c>
      <c r="D11" s="502"/>
    </row>
    <row r="12" spans="1:4">
      <c r="A12" s="488">
        <v>6</v>
      </c>
      <c r="B12" s="504" t="s">
        <v>618</v>
      </c>
      <c r="C12" s="578">
        <v>522100.12239999999</v>
      </c>
      <c r="D12" s="502"/>
    </row>
    <row r="13" spans="1:4">
      <c r="A13" s="488">
        <v>7</v>
      </c>
      <c r="B13" s="504" t="s">
        <v>619</v>
      </c>
      <c r="C13" s="578">
        <v>2965053.6206219383</v>
      </c>
      <c r="D13" s="502"/>
    </row>
    <row r="14" spans="1:4">
      <c r="A14" s="488">
        <v>8</v>
      </c>
      <c r="B14" s="504" t="s">
        <v>620</v>
      </c>
      <c r="C14" s="578">
        <v>638049.28980000003</v>
      </c>
      <c r="D14" s="578">
        <v>0</v>
      </c>
    </row>
    <row r="15" spans="1:4">
      <c r="A15" s="488">
        <v>9</v>
      </c>
      <c r="B15" s="504" t="s">
        <v>621</v>
      </c>
      <c r="C15" s="578">
        <v>0</v>
      </c>
      <c r="D15" s="578">
        <v>0</v>
      </c>
    </row>
    <row r="16" spans="1:4">
      <c r="A16" s="488">
        <v>10</v>
      </c>
      <c r="B16" s="504" t="s">
        <v>622</v>
      </c>
      <c r="C16" s="578">
        <v>437108.88999999996</v>
      </c>
      <c r="D16" s="502"/>
    </row>
    <row r="17" spans="1:4">
      <c r="A17" s="488">
        <v>11</v>
      </c>
      <c r="B17" s="504" t="s">
        <v>623</v>
      </c>
      <c r="C17" s="578">
        <v>0</v>
      </c>
      <c r="D17" s="578">
        <v>0</v>
      </c>
    </row>
    <row r="18" spans="1:4" ht="25.5">
      <c r="A18" s="488">
        <v>12</v>
      </c>
      <c r="B18" s="504" t="s">
        <v>624</v>
      </c>
      <c r="C18" s="578">
        <v>2772334.9269780619</v>
      </c>
      <c r="D18" s="502"/>
    </row>
    <row r="19" spans="1:4">
      <c r="A19" s="480">
        <v>13</v>
      </c>
      <c r="B19" s="505" t="s">
        <v>625</v>
      </c>
      <c r="C19" s="577">
        <f>C7+C8+C9-C10</f>
        <v>54982130.236260355</v>
      </c>
      <c r="D19" s="506"/>
    </row>
    <row r="22" spans="1:4">
      <c r="B22" s="474"/>
    </row>
    <row r="23" spans="1:4">
      <c r="B23" s="474"/>
    </row>
    <row r="24" spans="1:4">
      <c r="B24" s="4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Normal="100" workbookViewId="0">
      <selection activeCell="C10" sqref="C10"/>
    </sheetView>
  </sheetViews>
  <sheetFormatPr defaultColWidth="9.140625" defaultRowHeight="12.75"/>
  <cols>
    <col min="1" max="1" width="11.85546875" style="475" bestFit="1" customWidth="1"/>
    <col min="2" max="2" width="80.7109375" style="475" customWidth="1"/>
    <col min="3" max="3" width="26.85546875" style="475" customWidth="1"/>
    <col min="4" max="5" width="22.28515625" style="475" customWidth="1"/>
    <col min="6" max="6" width="23.42578125" style="475" customWidth="1"/>
    <col min="7" max="14" width="22.28515625" style="475" customWidth="1"/>
    <col min="15" max="15" width="23.28515625" style="475" bestFit="1" customWidth="1"/>
    <col min="16" max="16" width="21.7109375" style="475" bestFit="1" customWidth="1"/>
    <col min="17" max="19" width="19" style="475" bestFit="1" customWidth="1"/>
    <col min="20" max="20" width="16.140625" style="475" customWidth="1"/>
    <col min="21" max="21" width="10.42578125" style="475" bestFit="1" customWidth="1"/>
    <col min="22" max="22" width="20" style="475" customWidth="1"/>
    <col min="23" max="16384" width="9.140625" style="475"/>
  </cols>
  <sheetData>
    <row r="1" spans="1:22">
      <c r="A1" s="474" t="s">
        <v>188</v>
      </c>
      <c r="B1" s="612" t="str">
        <f>'1. key ratios'!B1</f>
        <v>ს.ს. "ტერაბანკი"</v>
      </c>
    </row>
    <row r="2" spans="1:22">
      <c r="A2" s="474" t="s">
        <v>189</v>
      </c>
      <c r="B2" s="484"/>
      <c r="C2" s="484"/>
    </row>
    <row r="3" spans="1:22">
      <c r="A3" s="476" t="s">
        <v>626</v>
      </c>
      <c r="B3" s="477">
        <f>'1. key ratios'!B2</f>
        <v>44742</v>
      </c>
    </row>
    <row r="5" spans="1:22" ht="15" customHeight="1">
      <c r="A5" s="676" t="s">
        <v>627</v>
      </c>
      <c r="B5" s="678"/>
      <c r="C5" s="693" t="s">
        <v>628</v>
      </c>
      <c r="D5" s="694"/>
      <c r="E5" s="694"/>
      <c r="F5" s="694"/>
      <c r="G5" s="694"/>
      <c r="H5" s="694"/>
      <c r="I5" s="694"/>
      <c r="J5" s="694"/>
      <c r="K5" s="694"/>
      <c r="L5" s="694"/>
      <c r="M5" s="694"/>
      <c r="N5" s="694"/>
      <c r="O5" s="694"/>
      <c r="P5" s="694"/>
      <c r="Q5" s="694"/>
      <c r="R5" s="694"/>
      <c r="S5" s="694"/>
      <c r="T5" s="694"/>
      <c r="U5" s="695"/>
      <c r="V5" s="507"/>
    </row>
    <row r="6" spans="1:22">
      <c r="A6" s="691"/>
      <c r="B6" s="692"/>
      <c r="C6" s="696" t="s">
        <v>68</v>
      </c>
      <c r="D6" s="698" t="s">
        <v>629</v>
      </c>
      <c r="E6" s="698"/>
      <c r="F6" s="683"/>
      <c r="G6" s="699" t="s">
        <v>630</v>
      </c>
      <c r="H6" s="700"/>
      <c r="I6" s="700"/>
      <c r="J6" s="700"/>
      <c r="K6" s="701"/>
      <c r="L6" s="508"/>
      <c r="M6" s="702" t="s">
        <v>631</v>
      </c>
      <c r="N6" s="702"/>
      <c r="O6" s="683"/>
      <c r="P6" s="683"/>
      <c r="Q6" s="683"/>
      <c r="R6" s="683"/>
      <c r="S6" s="683"/>
      <c r="T6" s="683"/>
      <c r="U6" s="683"/>
      <c r="V6" s="508"/>
    </row>
    <row r="7" spans="1:22" ht="25.5">
      <c r="A7" s="679"/>
      <c r="B7" s="681"/>
      <c r="C7" s="697"/>
      <c r="D7" s="592"/>
      <c r="E7" s="486" t="s">
        <v>632</v>
      </c>
      <c r="F7" s="486" t="s">
        <v>633</v>
      </c>
      <c r="G7" s="484"/>
      <c r="H7" s="486" t="s">
        <v>632</v>
      </c>
      <c r="I7" s="486" t="s">
        <v>659</v>
      </c>
      <c r="J7" s="486" t="s">
        <v>634</v>
      </c>
      <c r="K7" s="486" t="s">
        <v>635</v>
      </c>
      <c r="L7" s="521"/>
      <c r="M7" s="520" t="s">
        <v>636</v>
      </c>
      <c r="N7" s="486" t="s">
        <v>634</v>
      </c>
      <c r="O7" s="486" t="s">
        <v>637</v>
      </c>
      <c r="P7" s="486" t="s">
        <v>638</v>
      </c>
      <c r="Q7" s="486" t="s">
        <v>639</v>
      </c>
      <c r="R7" s="486" t="s">
        <v>640</v>
      </c>
      <c r="S7" s="486" t="s">
        <v>641</v>
      </c>
      <c r="T7" s="591" t="s">
        <v>642</v>
      </c>
      <c r="U7" s="486" t="s">
        <v>643</v>
      </c>
      <c r="V7" s="507"/>
    </row>
    <row r="8" spans="1:22">
      <c r="A8" s="509">
        <v>1</v>
      </c>
      <c r="B8" s="480" t="s">
        <v>644</v>
      </c>
      <c r="C8" s="577">
        <v>1044853951.6152993</v>
      </c>
      <c r="D8" s="578">
        <v>908180614.83670032</v>
      </c>
      <c r="E8" s="578">
        <v>37064357.140000001</v>
      </c>
      <c r="F8" s="578">
        <v>1000000</v>
      </c>
      <c r="G8" s="578">
        <v>81691206.785699964</v>
      </c>
      <c r="H8" s="578">
        <v>12053009.2151</v>
      </c>
      <c r="I8" s="578">
        <v>4257084.8432</v>
      </c>
      <c r="J8" s="578">
        <v>772633.89720000001</v>
      </c>
      <c r="K8" s="578">
        <v>11394.05</v>
      </c>
      <c r="L8" s="578">
        <v>54982129.992900014</v>
      </c>
      <c r="M8" s="578">
        <v>6523402.1118999962</v>
      </c>
      <c r="N8" s="578">
        <v>1643959.3816</v>
      </c>
      <c r="O8" s="578">
        <v>3379145.99</v>
      </c>
      <c r="P8" s="578">
        <v>4819580.7942000013</v>
      </c>
      <c r="Q8" s="578">
        <v>7049867.2548000002</v>
      </c>
      <c r="R8" s="578">
        <v>1439129.7818</v>
      </c>
      <c r="S8" s="578">
        <v>0</v>
      </c>
      <c r="T8" s="578">
        <v>0</v>
      </c>
      <c r="U8" s="578">
        <v>1171754.6060000004</v>
      </c>
    </row>
    <row r="9" spans="1:22">
      <c r="A9" s="488">
        <v>1.1000000000000001</v>
      </c>
      <c r="B9" s="510" t="s">
        <v>645</v>
      </c>
      <c r="C9" s="580"/>
      <c r="D9" s="578"/>
      <c r="E9" s="578"/>
      <c r="F9" s="578"/>
      <c r="G9" s="578"/>
      <c r="H9" s="578"/>
      <c r="I9" s="578"/>
      <c r="J9" s="578"/>
      <c r="K9" s="578"/>
      <c r="L9" s="578"/>
      <c r="M9" s="578"/>
      <c r="N9" s="578"/>
      <c r="O9" s="578"/>
      <c r="P9" s="578"/>
      <c r="Q9" s="578"/>
      <c r="R9" s="578"/>
      <c r="S9" s="578"/>
      <c r="T9" s="578"/>
      <c r="U9" s="578"/>
    </row>
    <row r="10" spans="1:22">
      <c r="A10" s="488">
        <v>1.2</v>
      </c>
      <c r="B10" s="510" t="s">
        <v>646</v>
      </c>
      <c r="C10" s="580"/>
      <c r="D10" s="578"/>
      <c r="E10" s="578"/>
      <c r="F10" s="578"/>
      <c r="G10" s="578"/>
      <c r="H10" s="578"/>
      <c r="I10" s="578"/>
      <c r="J10" s="578"/>
      <c r="K10" s="578"/>
      <c r="L10" s="578"/>
      <c r="M10" s="578"/>
      <c r="N10" s="578"/>
      <c r="O10" s="578"/>
      <c r="P10" s="578"/>
      <c r="Q10" s="578"/>
      <c r="R10" s="578"/>
      <c r="S10" s="578"/>
      <c r="T10" s="578"/>
      <c r="U10" s="578"/>
    </row>
    <row r="11" spans="1:22">
      <c r="A11" s="488">
        <v>1.3</v>
      </c>
      <c r="B11" s="510" t="s">
        <v>647</v>
      </c>
      <c r="C11" s="580"/>
      <c r="D11" s="578"/>
      <c r="E11" s="578"/>
      <c r="F11" s="578"/>
      <c r="G11" s="578"/>
      <c r="H11" s="578"/>
      <c r="I11" s="578"/>
      <c r="J11" s="578"/>
      <c r="K11" s="578"/>
      <c r="L11" s="578"/>
      <c r="M11" s="578"/>
      <c r="N11" s="578"/>
      <c r="O11" s="578"/>
      <c r="P11" s="578"/>
      <c r="Q11" s="578"/>
      <c r="R11" s="578"/>
      <c r="S11" s="578"/>
      <c r="T11" s="578"/>
      <c r="U11" s="578"/>
    </row>
    <row r="12" spans="1:22">
      <c r="A12" s="488">
        <v>1.4</v>
      </c>
      <c r="B12" s="510" t="s">
        <v>648</v>
      </c>
      <c r="C12" s="580">
        <v>48812221.478599995</v>
      </c>
      <c r="D12" s="578">
        <v>48530736.995900005</v>
      </c>
      <c r="E12" s="578">
        <v>0</v>
      </c>
      <c r="F12" s="578">
        <v>0</v>
      </c>
      <c r="G12" s="578">
        <v>57955.315900000001</v>
      </c>
      <c r="H12" s="578">
        <v>57955.315900000001</v>
      </c>
      <c r="I12" s="578">
        <v>0</v>
      </c>
      <c r="J12" s="578">
        <v>0</v>
      </c>
      <c r="K12" s="578">
        <v>0</v>
      </c>
      <c r="L12" s="578">
        <v>223529.16680000001</v>
      </c>
      <c r="M12" s="578">
        <v>0</v>
      </c>
      <c r="N12" s="578">
        <v>0</v>
      </c>
      <c r="O12" s="578">
        <v>0</v>
      </c>
      <c r="P12" s="578">
        <v>0</v>
      </c>
      <c r="Q12" s="578">
        <v>54435.158799999997</v>
      </c>
      <c r="R12" s="578">
        <v>0</v>
      </c>
      <c r="S12" s="578">
        <v>0</v>
      </c>
      <c r="T12" s="578">
        <v>0</v>
      </c>
      <c r="U12" s="578">
        <v>0</v>
      </c>
    </row>
    <row r="13" spans="1:22">
      <c r="A13" s="488">
        <v>1.5</v>
      </c>
      <c r="B13" s="510" t="s">
        <v>649</v>
      </c>
      <c r="C13" s="580">
        <v>468063018.30849999</v>
      </c>
      <c r="D13" s="578">
        <v>415460934.81900001</v>
      </c>
      <c r="E13" s="578">
        <v>25297959.454100005</v>
      </c>
      <c r="F13" s="578">
        <v>1000000</v>
      </c>
      <c r="G13" s="578">
        <v>34444139.340899989</v>
      </c>
      <c r="H13" s="578">
        <v>5221015.8436000003</v>
      </c>
      <c r="I13" s="578">
        <v>2746375.9196000001</v>
      </c>
      <c r="J13" s="578">
        <v>581990.53059999994</v>
      </c>
      <c r="K13" s="578">
        <v>0</v>
      </c>
      <c r="L13" s="578">
        <v>18157944.148599993</v>
      </c>
      <c r="M13" s="578">
        <v>3159705.2490000003</v>
      </c>
      <c r="N13" s="578">
        <v>97476.603700000007</v>
      </c>
      <c r="O13" s="578">
        <v>563367.87580000004</v>
      </c>
      <c r="P13" s="578">
        <v>3229750.5605000001</v>
      </c>
      <c r="Q13" s="578">
        <v>2722857.7086</v>
      </c>
      <c r="R13" s="578">
        <v>593818.19990000001</v>
      </c>
      <c r="S13" s="578">
        <v>0</v>
      </c>
      <c r="T13" s="578">
        <v>0</v>
      </c>
      <c r="U13" s="578">
        <v>118912.17240000001</v>
      </c>
    </row>
    <row r="14" spans="1:22">
      <c r="A14" s="488">
        <v>1.6</v>
      </c>
      <c r="B14" s="510" t="s">
        <v>650</v>
      </c>
      <c r="C14" s="580">
        <v>527978711.82819939</v>
      </c>
      <c r="D14" s="578">
        <v>444188943.02180028</v>
      </c>
      <c r="E14" s="578">
        <v>11766397.685899997</v>
      </c>
      <c r="F14" s="578">
        <v>0</v>
      </c>
      <c r="G14" s="578">
        <v>47189112.128899969</v>
      </c>
      <c r="H14" s="578">
        <v>6774038.0555999996</v>
      </c>
      <c r="I14" s="578">
        <v>1510708.9235999999</v>
      </c>
      <c r="J14" s="578">
        <v>190643.36660000001</v>
      </c>
      <c r="K14" s="578">
        <v>11394.05</v>
      </c>
      <c r="L14" s="578">
        <v>36600656.677500024</v>
      </c>
      <c r="M14" s="578">
        <v>3363696.8628999963</v>
      </c>
      <c r="N14" s="578">
        <v>1546482.7778999999</v>
      </c>
      <c r="O14" s="578">
        <v>2815778.1142000002</v>
      </c>
      <c r="P14" s="578">
        <v>1589830.2337000007</v>
      </c>
      <c r="Q14" s="578">
        <v>4272574.3874000004</v>
      </c>
      <c r="R14" s="578">
        <v>845311.58189999999</v>
      </c>
      <c r="S14" s="578">
        <v>0</v>
      </c>
      <c r="T14" s="578">
        <v>0</v>
      </c>
      <c r="U14" s="578">
        <v>1052842.4336000003</v>
      </c>
    </row>
    <row r="15" spans="1:22">
      <c r="A15" s="509">
        <v>2</v>
      </c>
      <c r="B15" s="480" t="s">
        <v>651</v>
      </c>
      <c r="C15" s="577">
        <f>SUM(C16:C21)</f>
        <v>153215320.19999999</v>
      </c>
      <c r="D15" s="577">
        <f t="shared" ref="D15" si="0">SUM(D16:D21)</f>
        <v>153215320.19999999</v>
      </c>
      <c r="E15" s="578">
        <v>0</v>
      </c>
      <c r="F15" s="578">
        <v>0</v>
      </c>
      <c r="G15" s="578">
        <v>0</v>
      </c>
      <c r="H15" s="578">
        <v>0</v>
      </c>
      <c r="I15" s="578">
        <v>0</v>
      </c>
      <c r="J15" s="578">
        <v>0</v>
      </c>
      <c r="K15" s="578">
        <v>0</v>
      </c>
      <c r="L15" s="578">
        <v>0</v>
      </c>
      <c r="M15" s="578">
        <v>0</v>
      </c>
      <c r="N15" s="578">
        <v>0</v>
      </c>
      <c r="O15" s="578">
        <v>0</v>
      </c>
      <c r="P15" s="578">
        <v>0</v>
      </c>
      <c r="Q15" s="578">
        <v>0</v>
      </c>
      <c r="R15" s="578">
        <v>0</v>
      </c>
      <c r="S15" s="578">
        <v>0</v>
      </c>
      <c r="T15" s="578">
        <v>0</v>
      </c>
      <c r="U15" s="578">
        <v>0</v>
      </c>
    </row>
    <row r="16" spans="1:22">
      <c r="A16" s="488">
        <v>2.1</v>
      </c>
      <c r="B16" s="510" t="s">
        <v>645</v>
      </c>
      <c r="C16" s="580">
        <v>6529506.5099999998</v>
      </c>
      <c r="D16" s="578">
        <v>6529506.5099999998</v>
      </c>
      <c r="E16" s="578">
        <v>0</v>
      </c>
      <c r="F16" s="578">
        <v>0</v>
      </c>
      <c r="G16" s="578">
        <v>0</v>
      </c>
      <c r="H16" s="578">
        <v>0</v>
      </c>
      <c r="I16" s="578">
        <v>0</v>
      </c>
      <c r="J16" s="578">
        <v>0</v>
      </c>
      <c r="K16" s="578">
        <v>0</v>
      </c>
      <c r="L16" s="578">
        <v>0</v>
      </c>
      <c r="M16" s="578">
        <v>0</v>
      </c>
      <c r="N16" s="578">
        <v>0</v>
      </c>
      <c r="O16" s="578">
        <v>0</v>
      </c>
      <c r="P16" s="578">
        <v>0</v>
      </c>
      <c r="Q16" s="578">
        <v>0</v>
      </c>
      <c r="R16" s="578">
        <v>0</v>
      </c>
      <c r="S16" s="578">
        <v>0</v>
      </c>
      <c r="T16" s="578">
        <v>0</v>
      </c>
      <c r="U16" s="578">
        <v>0</v>
      </c>
    </row>
    <row r="17" spans="1:21">
      <c r="A17" s="488">
        <v>2.2000000000000002</v>
      </c>
      <c r="B17" s="510" t="s">
        <v>646</v>
      </c>
      <c r="C17" s="580">
        <v>77685813.689999983</v>
      </c>
      <c r="D17" s="578">
        <v>77685813.689999983</v>
      </c>
      <c r="E17" s="578">
        <v>0</v>
      </c>
      <c r="F17" s="578">
        <v>0</v>
      </c>
      <c r="G17" s="578">
        <v>0</v>
      </c>
      <c r="H17" s="578">
        <v>0</v>
      </c>
      <c r="I17" s="578">
        <v>0</v>
      </c>
      <c r="J17" s="578">
        <v>0</v>
      </c>
      <c r="K17" s="578">
        <v>0</v>
      </c>
      <c r="L17" s="578">
        <v>0</v>
      </c>
      <c r="M17" s="578">
        <v>0</v>
      </c>
      <c r="N17" s="578">
        <v>0</v>
      </c>
      <c r="O17" s="578">
        <v>0</v>
      </c>
      <c r="P17" s="578">
        <v>0</v>
      </c>
      <c r="Q17" s="578">
        <v>0</v>
      </c>
      <c r="R17" s="578">
        <v>0</v>
      </c>
      <c r="S17" s="578">
        <v>0</v>
      </c>
      <c r="T17" s="578">
        <v>0</v>
      </c>
      <c r="U17" s="578">
        <v>0</v>
      </c>
    </row>
    <row r="18" spans="1:21">
      <c r="A18" s="488">
        <v>2.2999999999999998</v>
      </c>
      <c r="B18" s="510" t="s">
        <v>647</v>
      </c>
      <c r="C18" s="580">
        <v>64000000</v>
      </c>
      <c r="D18" s="578">
        <v>64000000</v>
      </c>
      <c r="E18" s="578">
        <v>0</v>
      </c>
      <c r="F18" s="578">
        <v>0</v>
      </c>
      <c r="G18" s="578">
        <v>0</v>
      </c>
      <c r="H18" s="578">
        <v>0</v>
      </c>
      <c r="I18" s="578">
        <v>0</v>
      </c>
      <c r="J18" s="578">
        <v>0</v>
      </c>
      <c r="K18" s="578">
        <v>0</v>
      </c>
      <c r="L18" s="578">
        <v>0</v>
      </c>
      <c r="M18" s="578">
        <v>0</v>
      </c>
      <c r="N18" s="578">
        <v>0</v>
      </c>
      <c r="O18" s="578">
        <v>0</v>
      </c>
      <c r="P18" s="578">
        <v>0</v>
      </c>
      <c r="Q18" s="578">
        <v>0</v>
      </c>
      <c r="R18" s="578">
        <v>0</v>
      </c>
      <c r="S18" s="578">
        <v>0</v>
      </c>
      <c r="T18" s="578">
        <v>0</v>
      </c>
      <c r="U18" s="578">
        <v>0</v>
      </c>
    </row>
    <row r="19" spans="1:21">
      <c r="A19" s="488">
        <v>2.4</v>
      </c>
      <c r="B19" s="510" t="s">
        <v>648</v>
      </c>
      <c r="C19" s="580">
        <v>5000000</v>
      </c>
      <c r="D19" s="578">
        <v>5000000</v>
      </c>
      <c r="E19" s="578">
        <v>0</v>
      </c>
      <c r="F19" s="578">
        <v>0</v>
      </c>
      <c r="G19" s="578">
        <v>0</v>
      </c>
      <c r="H19" s="578">
        <v>0</v>
      </c>
      <c r="I19" s="578">
        <v>0</v>
      </c>
      <c r="J19" s="578">
        <v>0</v>
      </c>
      <c r="K19" s="578">
        <v>0</v>
      </c>
      <c r="L19" s="578">
        <v>0</v>
      </c>
      <c r="M19" s="578">
        <v>0</v>
      </c>
      <c r="N19" s="578">
        <v>0</v>
      </c>
      <c r="O19" s="578">
        <v>0</v>
      </c>
      <c r="P19" s="578">
        <v>0</v>
      </c>
      <c r="Q19" s="578">
        <v>0</v>
      </c>
      <c r="R19" s="578">
        <v>0</v>
      </c>
      <c r="S19" s="578">
        <v>0</v>
      </c>
      <c r="T19" s="578">
        <v>0</v>
      </c>
      <c r="U19" s="578">
        <v>0</v>
      </c>
    </row>
    <row r="20" spans="1:21">
      <c r="A20" s="488">
        <v>2.5</v>
      </c>
      <c r="B20" s="510" t="s">
        <v>649</v>
      </c>
      <c r="C20" s="580">
        <v>0</v>
      </c>
      <c r="D20" s="578">
        <v>0</v>
      </c>
      <c r="E20" s="578">
        <v>0</v>
      </c>
      <c r="F20" s="578">
        <v>0</v>
      </c>
      <c r="G20" s="578">
        <v>0</v>
      </c>
      <c r="H20" s="578">
        <v>0</v>
      </c>
      <c r="I20" s="578">
        <v>0</v>
      </c>
      <c r="J20" s="578">
        <v>0</v>
      </c>
      <c r="K20" s="578">
        <v>0</v>
      </c>
      <c r="L20" s="578">
        <v>0</v>
      </c>
      <c r="M20" s="578">
        <v>0</v>
      </c>
      <c r="N20" s="578">
        <v>0</v>
      </c>
      <c r="O20" s="578">
        <v>0</v>
      </c>
      <c r="P20" s="578">
        <v>0</v>
      </c>
      <c r="Q20" s="578">
        <v>0</v>
      </c>
      <c r="R20" s="578">
        <v>0</v>
      </c>
      <c r="S20" s="578">
        <v>0</v>
      </c>
      <c r="T20" s="578">
        <v>0</v>
      </c>
      <c r="U20" s="578">
        <v>0</v>
      </c>
    </row>
    <row r="21" spans="1:21">
      <c r="A21" s="488">
        <v>2.6</v>
      </c>
      <c r="B21" s="510" t="s">
        <v>650</v>
      </c>
      <c r="C21" s="580">
        <v>0</v>
      </c>
      <c r="D21" s="578">
        <v>0</v>
      </c>
      <c r="E21" s="578">
        <v>0</v>
      </c>
      <c r="F21" s="578">
        <v>0</v>
      </c>
      <c r="G21" s="578">
        <v>0</v>
      </c>
      <c r="H21" s="578">
        <v>0</v>
      </c>
      <c r="I21" s="578">
        <v>0</v>
      </c>
      <c r="J21" s="578">
        <v>0</v>
      </c>
      <c r="K21" s="578">
        <v>0</v>
      </c>
      <c r="L21" s="578">
        <v>0</v>
      </c>
      <c r="M21" s="578">
        <v>0</v>
      </c>
      <c r="N21" s="578">
        <v>0</v>
      </c>
      <c r="O21" s="578">
        <v>0</v>
      </c>
      <c r="P21" s="578">
        <v>0</v>
      </c>
      <c r="Q21" s="578">
        <v>0</v>
      </c>
      <c r="R21" s="578">
        <v>0</v>
      </c>
      <c r="S21" s="578">
        <v>0</v>
      </c>
      <c r="T21" s="578">
        <v>0</v>
      </c>
      <c r="U21" s="578">
        <v>0</v>
      </c>
    </row>
    <row r="22" spans="1:21">
      <c r="A22" s="509">
        <v>3</v>
      </c>
      <c r="B22" s="480" t="s">
        <v>652</v>
      </c>
      <c r="C22" s="577">
        <v>99964636.655400068</v>
      </c>
      <c r="D22" s="578">
        <v>66884991.635400005</v>
      </c>
      <c r="E22" s="578">
        <v>4358156</v>
      </c>
      <c r="F22" s="581"/>
      <c r="G22" s="578">
        <v>1415394</v>
      </c>
      <c r="H22" s="581"/>
      <c r="I22" s="581"/>
      <c r="J22" s="581"/>
      <c r="K22" s="581"/>
      <c r="L22" s="578">
        <v>0</v>
      </c>
      <c r="M22" s="581"/>
      <c r="N22" s="581"/>
      <c r="O22" s="581"/>
      <c r="P22" s="581"/>
      <c r="Q22" s="581"/>
      <c r="R22" s="581"/>
      <c r="S22" s="581"/>
      <c r="T22" s="581"/>
      <c r="U22" s="578">
        <v>0</v>
      </c>
    </row>
    <row r="23" spans="1:21">
      <c r="A23" s="488">
        <v>3.1</v>
      </c>
      <c r="B23" s="510" t="s">
        <v>645</v>
      </c>
      <c r="C23" s="580">
        <v>0</v>
      </c>
      <c r="D23" s="578">
        <v>0</v>
      </c>
      <c r="E23" s="578">
        <v>0</v>
      </c>
      <c r="F23" s="581"/>
      <c r="G23" s="578">
        <v>0</v>
      </c>
      <c r="H23" s="581"/>
      <c r="I23" s="581"/>
      <c r="J23" s="581"/>
      <c r="K23" s="581"/>
      <c r="L23" s="578">
        <v>0</v>
      </c>
      <c r="M23" s="581"/>
      <c r="N23" s="581"/>
      <c r="O23" s="581"/>
      <c r="P23" s="581"/>
      <c r="Q23" s="581"/>
      <c r="R23" s="581"/>
      <c r="S23" s="581"/>
      <c r="T23" s="581"/>
      <c r="U23" s="578">
        <v>0</v>
      </c>
    </row>
    <row r="24" spans="1:21">
      <c r="A24" s="488">
        <v>3.2</v>
      </c>
      <c r="B24" s="510" t="s">
        <v>646</v>
      </c>
      <c r="C24" s="580">
        <v>0</v>
      </c>
      <c r="D24" s="578">
        <v>0</v>
      </c>
      <c r="E24" s="578">
        <v>0</v>
      </c>
      <c r="F24" s="581"/>
      <c r="G24" s="578">
        <v>0</v>
      </c>
      <c r="H24" s="581"/>
      <c r="I24" s="581"/>
      <c r="J24" s="581"/>
      <c r="K24" s="581"/>
      <c r="L24" s="578">
        <v>0</v>
      </c>
      <c r="M24" s="581"/>
      <c r="N24" s="581"/>
      <c r="O24" s="581"/>
      <c r="P24" s="581"/>
      <c r="Q24" s="581"/>
      <c r="R24" s="581"/>
      <c r="S24" s="581"/>
      <c r="T24" s="581"/>
      <c r="U24" s="578">
        <v>0</v>
      </c>
    </row>
    <row r="25" spans="1:21">
      <c r="A25" s="488">
        <v>3.3</v>
      </c>
      <c r="B25" s="510" t="s">
        <v>647</v>
      </c>
      <c r="C25" s="580">
        <v>0</v>
      </c>
      <c r="D25" s="578">
        <v>0</v>
      </c>
      <c r="E25" s="578">
        <v>0</v>
      </c>
      <c r="F25" s="581"/>
      <c r="G25" s="578">
        <v>0</v>
      </c>
      <c r="H25" s="581"/>
      <c r="I25" s="581"/>
      <c r="J25" s="581"/>
      <c r="K25" s="581"/>
      <c r="L25" s="578">
        <v>0</v>
      </c>
      <c r="M25" s="581"/>
      <c r="N25" s="581"/>
      <c r="O25" s="581"/>
      <c r="P25" s="581"/>
      <c r="Q25" s="581"/>
      <c r="R25" s="581"/>
      <c r="S25" s="581"/>
      <c r="T25" s="581"/>
      <c r="U25" s="578">
        <v>0</v>
      </c>
    </row>
    <row r="26" spans="1:21">
      <c r="A26" s="488">
        <v>3.4</v>
      </c>
      <c r="B26" s="510" t="s">
        <v>648</v>
      </c>
      <c r="C26" s="580">
        <v>2163840.9300000002</v>
      </c>
      <c r="D26" s="578">
        <v>1122118.2</v>
      </c>
      <c r="E26" s="578">
        <v>0</v>
      </c>
      <c r="F26" s="581"/>
      <c r="G26" s="578">
        <v>0</v>
      </c>
      <c r="H26" s="581"/>
      <c r="I26" s="581"/>
      <c r="J26" s="581"/>
      <c r="K26" s="581"/>
      <c r="L26" s="578">
        <v>0</v>
      </c>
      <c r="M26" s="581"/>
      <c r="N26" s="581"/>
      <c r="O26" s="581"/>
      <c r="P26" s="581"/>
      <c r="Q26" s="581"/>
      <c r="R26" s="581"/>
      <c r="S26" s="581"/>
      <c r="T26" s="581"/>
      <c r="U26" s="578">
        <v>0</v>
      </c>
    </row>
    <row r="27" spans="1:21">
      <c r="A27" s="488">
        <v>3.5</v>
      </c>
      <c r="B27" s="510" t="s">
        <v>649</v>
      </c>
      <c r="C27" s="580">
        <v>97800795.72540006</v>
      </c>
      <c r="D27" s="578">
        <v>65762873.435400002</v>
      </c>
      <c r="E27" s="578">
        <v>4358156</v>
      </c>
      <c r="F27" s="581"/>
      <c r="G27" s="578">
        <v>1415394</v>
      </c>
      <c r="H27" s="581"/>
      <c r="I27" s="581"/>
      <c r="J27" s="581"/>
      <c r="K27" s="581"/>
      <c r="L27" s="578">
        <v>0</v>
      </c>
      <c r="M27" s="581"/>
      <c r="N27" s="581"/>
      <c r="O27" s="581"/>
      <c r="P27" s="581"/>
      <c r="Q27" s="581"/>
      <c r="R27" s="581"/>
      <c r="S27" s="581"/>
      <c r="T27" s="581"/>
      <c r="U27" s="578">
        <v>0</v>
      </c>
    </row>
    <row r="28" spans="1:21">
      <c r="A28" s="488">
        <v>3.6</v>
      </c>
      <c r="B28" s="510" t="s">
        <v>650</v>
      </c>
      <c r="C28" s="580">
        <v>0</v>
      </c>
      <c r="D28" s="578">
        <v>0</v>
      </c>
      <c r="E28" s="578">
        <v>0</v>
      </c>
      <c r="F28" s="581"/>
      <c r="G28" s="578">
        <v>0</v>
      </c>
      <c r="H28" s="581"/>
      <c r="I28" s="581"/>
      <c r="J28" s="581"/>
      <c r="K28" s="581"/>
      <c r="L28" s="578">
        <v>0</v>
      </c>
      <c r="M28" s="581"/>
      <c r="N28" s="581"/>
      <c r="O28" s="581"/>
      <c r="P28" s="581"/>
      <c r="Q28" s="581"/>
      <c r="R28" s="581"/>
      <c r="S28" s="581"/>
      <c r="T28" s="581"/>
      <c r="U28" s="578">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A8" workbookViewId="0">
      <selection activeCell="B2" sqref="B2"/>
    </sheetView>
  </sheetViews>
  <sheetFormatPr defaultColWidth="9.140625" defaultRowHeight="12.75"/>
  <cols>
    <col min="1" max="1" width="11.85546875" style="475" bestFit="1" customWidth="1"/>
    <col min="2" max="2" width="90.28515625" style="475" bestFit="1" customWidth="1"/>
    <col min="3" max="3" width="20.140625" style="475" customWidth="1"/>
    <col min="4" max="4" width="22.28515625" style="475" customWidth="1"/>
    <col min="5" max="5" width="17.140625" style="475" customWidth="1"/>
    <col min="6" max="7" width="22.28515625" style="475" customWidth="1"/>
    <col min="8" max="8" width="17.140625" style="475" customWidth="1"/>
    <col min="9" max="14" width="22.28515625" style="475" customWidth="1"/>
    <col min="15" max="15" width="23.28515625" style="475" bestFit="1" customWidth="1"/>
    <col min="16" max="16" width="21.7109375" style="475" bestFit="1" customWidth="1"/>
    <col min="17" max="19" width="19" style="475" bestFit="1" customWidth="1"/>
    <col min="20" max="20" width="15.42578125" style="475" customWidth="1"/>
    <col min="21" max="21" width="20" style="475" customWidth="1"/>
    <col min="22" max="16384" width="9.140625" style="475"/>
  </cols>
  <sheetData>
    <row r="1" spans="1:21">
      <c r="A1" s="474" t="s">
        <v>188</v>
      </c>
      <c r="B1" s="612" t="str">
        <f>'1. key ratios'!B1</f>
        <v>ს.ს. "ტერაბანკი"</v>
      </c>
    </row>
    <row r="2" spans="1:21">
      <c r="A2" s="474" t="s">
        <v>189</v>
      </c>
    </row>
    <row r="3" spans="1:21">
      <c r="A3" s="476" t="s">
        <v>653</v>
      </c>
      <c r="B3" s="477">
        <f>'1. key ratios'!B2</f>
        <v>44742</v>
      </c>
      <c r="C3" s="477"/>
    </row>
    <row r="4" spans="1:21">
      <c r="A4" s="476"/>
      <c r="B4" s="477"/>
      <c r="C4" s="477"/>
    </row>
    <row r="5" spans="1:21" ht="13.5" customHeight="1">
      <c r="A5" s="703" t="s">
        <v>654</v>
      </c>
      <c r="B5" s="704"/>
      <c r="C5" s="709" t="s">
        <v>655</v>
      </c>
      <c r="D5" s="710"/>
      <c r="E5" s="710"/>
      <c r="F5" s="710"/>
      <c r="G5" s="710"/>
      <c r="H5" s="710"/>
      <c r="I5" s="710"/>
      <c r="J5" s="710"/>
      <c r="K5" s="710"/>
      <c r="L5" s="710"/>
      <c r="M5" s="710"/>
      <c r="N5" s="710"/>
      <c r="O5" s="710"/>
      <c r="P5" s="710"/>
      <c r="Q5" s="710"/>
      <c r="R5" s="710"/>
      <c r="S5" s="710"/>
      <c r="T5" s="711"/>
      <c r="U5" s="507"/>
    </row>
    <row r="6" spans="1:21">
      <c r="A6" s="705"/>
      <c r="B6" s="706"/>
      <c r="C6" s="690" t="s">
        <v>68</v>
      </c>
      <c r="D6" s="709" t="s">
        <v>656</v>
      </c>
      <c r="E6" s="710"/>
      <c r="F6" s="711"/>
      <c r="G6" s="709" t="s">
        <v>657</v>
      </c>
      <c r="H6" s="710"/>
      <c r="I6" s="710"/>
      <c r="J6" s="710"/>
      <c r="K6" s="711"/>
      <c r="L6" s="712" t="s">
        <v>658</v>
      </c>
      <c r="M6" s="713"/>
      <c r="N6" s="713"/>
      <c r="O6" s="713"/>
      <c r="P6" s="713"/>
      <c r="Q6" s="713"/>
      <c r="R6" s="713"/>
      <c r="S6" s="713"/>
      <c r="T6" s="714"/>
      <c r="U6" s="508"/>
    </row>
    <row r="7" spans="1:21" ht="25.5">
      <c r="A7" s="707"/>
      <c r="B7" s="708"/>
      <c r="C7" s="690"/>
      <c r="E7" s="520" t="s">
        <v>632</v>
      </c>
      <c r="F7" s="486" t="s">
        <v>633</v>
      </c>
      <c r="H7" s="520" t="s">
        <v>632</v>
      </c>
      <c r="I7" s="486" t="s">
        <v>659</v>
      </c>
      <c r="J7" s="486" t="s">
        <v>634</v>
      </c>
      <c r="K7" s="486" t="s">
        <v>635</v>
      </c>
      <c r="L7" s="511"/>
      <c r="M7" s="520" t="s">
        <v>636</v>
      </c>
      <c r="N7" s="486" t="s">
        <v>634</v>
      </c>
      <c r="O7" s="486" t="s">
        <v>637</v>
      </c>
      <c r="P7" s="486" t="s">
        <v>638</v>
      </c>
      <c r="Q7" s="486" t="s">
        <v>639</v>
      </c>
      <c r="R7" s="486" t="s">
        <v>640</v>
      </c>
      <c r="S7" s="486" t="s">
        <v>641</v>
      </c>
      <c r="T7" s="591" t="s">
        <v>642</v>
      </c>
      <c r="U7" s="507"/>
    </row>
    <row r="8" spans="1:21">
      <c r="A8" s="511">
        <v>1</v>
      </c>
      <c r="B8" s="505" t="s">
        <v>644</v>
      </c>
      <c r="C8" s="582">
        <v>1044853951.8300055</v>
      </c>
      <c r="D8" s="578">
        <v>908180614.87000489</v>
      </c>
      <c r="E8" s="578">
        <v>37064357.129999995</v>
      </c>
      <c r="F8" s="578">
        <v>1000000</v>
      </c>
      <c r="G8" s="578">
        <v>81691206.749999985</v>
      </c>
      <c r="H8" s="578">
        <v>12053009.219999997</v>
      </c>
      <c r="I8" s="578">
        <v>4257084.8499999996</v>
      </c>
      <c r="J8" s="578">
        <v>772633.89999999979</v>
      </c>
      <c r="K8" s="578">
        <v>11394.05</v>
      </c>
      <c r="L8" s="578">
        <v>54982130.209999979</v>
      </c>
      <c r="M8" s="578">
        <v>6523168.1400000006</v>
      </c>
      <c r="N8" s="578">
        <v>1643959.3799999997</v>
      </c>
      <c r="O8" s="578">
        <v>3379145.98</v>
      </c>
      <c r="P8" s="578">
        <v>4819580.78</v>
      </c>
      <c r="Q8" s="578">
        <v>7049867.2700000005</v>
      </c>
      <c r="R8" s="578">
        <v>1439129.78</v>
      </c>
      <c r="S8" s="578">
        <v>0</v>
      </c>
      <c r="T8" s="578">
        <v>0</v>
      </c>
    </row>
    <row r="9" spans="1:21">
      <c r="A9" s="510">
        <v>1.1000000000000001</v>
      </c>
      <c r="B9" s="510" t="s">
        <v>660</v>
      </c>
      <c r="C9" s="580">
        <v>263879942.87999979</v>
      </c>
      <c r="D9" s="578">
        <v>224673190.75999999</v>
      </c>
      <c r="E9" s="578">
        <v>6408669.4499999983</v>
      </c>
      <c r="F9" s="578">
        <v>0</v>
      </c>
      <c r="G9" s="578">
        <v>16734752.769999988</v>
      </c>
      <c r="H9" s="578">
        <v>3790097.85</v>
      </c>
      <c r="I9" s="578">
        <v>155934.04999999999</v>
      </c>
      <c r="J9" s="578">
        <v>135835.26</v>
      </c>
      <c r="K9" s="578">
        <v>0</v>
      </c>
      <c r="L9" s="578">
        <v>22471999.349999998</v>
      </c>
      <c r="M9" s="578">
        <v>1421936.7800000003</v>
      </c>
      <c r="N9" s="578">
        <v>1288098.1400000001</v>
      </c>
      <c r="O9" s="578">
        <v>1402977.81</v>
      </c>
      <c r="P9" s="578">
        <v>1451082.7</v>
      </c>
      <c r="Q9" s="578">
        <v>2623476.63</v>
      </c>
      <c r="R9" s="578">
        <v>606199.3899999999</v>
      </c>
      <c r="S9" s="578">
        <v>0</v>
      </c>
      <c r="T9" s="578">
        <v>0</v>
      </c>
    </row>
    <row r="10" spans="1:21">
      <c r="A10" s="512" t="s">
        <v>252</v>
      </c>
      <c r="B10" s="512" t="s">
        <v>661</v>
      </c>
      <c r="C10" s="583">
        <v>891665019.79999828</v>
      </c>
      <c r="D10" s="578">
        <v>759670162.90999973</v>
      </c>
      <c r="E10" s="578">
        <v>35059505.520000003</v>
      </c>
      <c r="F10" s="578">
        <v>1000000</v>
      </c>
      <c r="G10" s="578">
        <v>80087036.060000047</v>
      </c>
      <c r="H10" s="578">
        <v>11806286.589999998</v>
      </c>
      <c r="I10" s="578">
        <v>4044414.3100000005</v>
      </c>
      <c r="J10" s="578">
        <v>752018.64999999979</v>
      </c>
      <c r="K10" s="578">
        <v>11394.05</v>
      </c>
      <c r="L10" s="578">
        <v>51907820.829999991</v>
      </c>
      <c r="M10" s="578">
        <v>6135409.8900000006</v>
      </c>
      <c r="N10" s="578">
        <v>1484706.5099999998</v>
      </c>
      <c r="O10" s="578">
        <v>2904053.6399999997</v>
      </c>
      <c r="P10" s="578">
        <v>3928658.7199999997</v>
      </c>
      <c r="Q10" s="578">
        <v>6936491.7800000003</v>
      </c>
      <c r="R10" s="578">
        <v>1404511.32</v>
      </c>
      <c r="S10" s="578">
        <v>0</v>
      </c>
      <c r="T10" s="578">
        <v>0</v>
      </c>
    </row>
    <row r="11" spans="1:21">
      <c r="A11" s="513" t="s">
        <v>662</v>
      </c>
      <c r="B11" s="513" t="s">
        <v>663</v>
      </c>
      <c r="C11" s="584">
        <v>510056644.39999962</v>
      </c>
      <c r="D11" s="578">
        <v>429343638.35000068</v>
      </c>
      <c r="E11" s="578">
        <v>16189530.200000001</v>
      </c>
      <c r="F11" s="578">
        <v>1000000</v>
      </c>
      <c r="G11" s="578">
        <v>50600423.920000061</v>
      </c>
      <c r="H11" s="578">
        <v>8539531.8699999992</v>
      </c>
      <c r="I11" s="578">
        <v>925921.1</v>
      </c>
      <c r="J11" s="578">
        <v>752018.64999999979</v>
      </c>
      <c r="K11" s="578">
        <v>0</v>
      </c>
      <c r="L11" s="578">
        <v>30112582.129999999</v>
      </c>
      <c r="M11" s="578">
        <v>4358828.17</v>
      </c>
      <c r="N11" s="578">
        <v>386958.48</v>
      </c>
      <c r="O11" s="578">
        <v>2148359.1800000002</v>
      </c>
      <c r="P11" s="578">
        <v>1207252.21</v>
      </c>
      <c r="Q11" s="578">
        <v>1340699.6299999999</v>
      </c>
      <c r="R11" s="578">
        <v>1043158.8699999999</v>
      </c>
      <c r="S11" s="578">
        <v>0</v>
      </c>
      <c r="T11" s="578">
        <v>0</v>
      </c>
    </row>
    <row r="12" spans="1:21">
      <c r="A12" s="513" t="s">
        <v>664</v>
      </c>
      <c r="B12" s="513" t="s">
        <v>665</v>
      </c>
      <c r="C12" s="584">
        <v>214411519.20000002</v>
      </c>
      <c r="D12" s="578">
        <v>181791810.87999994</v>
      </c>
      <c r="E12" s="578">
        <v>8311070.6299999999</v>
      </c>
      <c r="F12" s="578">
        <v>0</v>
      </c>
      <c r="G12" s="578">
        <v>22769004.249999993</v>
      </c>
      <c r="H12" s="578">
        <v>2462527.69</v>
      </c>
      <c r="I12" s="578">
        <v>3118493.2099999995</v>
      </c>
      <c r="J12" s="578">
        <v>0</v>
      </c>
      <c r="K12" s="578">
        <v>0</v>
      </c>
      <c r="L12" s="578">
        <v>9850704.0700000003</v>
      </c>
      <c r="M12" s="578">
        <v>1073047.6299999999</v>
      </c>
      <c r="N12" s="578">
        <v>0</v>
      </c>
      <c r="O12" s="578">
        <v>647569.28999999992</v>
      </c>
      <c r="P12" s="578">
        <v>1846967.0899999999</v>
      </c>
      <c r="Q12" s="578">
        <v>2367663.06</v>
      </c>
      <c r="R12" s="578">
        <v>361352.45</v>
      </c>
      <c r="S12" s="578">
        <v>0</v>
      </c>
      <c r="T12" s="578">
        <v>0</v>
      </c>
    </row>
    <row r="13" spans="1:21">
      <c r="A13" s="513" t="s">
        <v>666</v>
      </c>
      <c r="B13" s="513" t="s">
        <v>667</v>
      </c>
      <c r="C13" s="584">
        <v>66859082.389999978</v>
      </c>
      <c r="D13" s="578">
        <v>56515576.350000016</v>
      </c>
      <c r="E13" s="578">
        <v>3375206.1000000006</v>
      </c>
      <c r="F13" s="578">
        <v>0</v>
      </c>
      <c r="G13" s="578">
        <v>1948291.52</v>
      </c>
      <c r="H13" s="578">
        <v>660142.84</v>
      </c>
      <c r="I13" s="578">
        <v>0</v>
      </c>
      <c r="J13" s="578">
        <v>0</v>
      </c>
      <c r="K13" s="578">
        <v>0</v>
      </c>
      <c r="L13" s="578">
        <v>8395214.5200000014</v>
      </c>
      <c r="M13" s="578">
        <v>644826.80000000005</v>
      </c>
      <c r="N13" s="578">
        <v>1083041.31</v>
      </c>
      <c r="O13" s="578">
        <v>80793.98</v>
      </c>
      <c r="P13" s="578">
        <v>757590.56</v>
      </c>
      <c r="Q13" s="578">
        <v>1984881.9300000002</v>
      </c>
      <c r="R13" s="578">
        <v>0</v>
      </c>
      <c r="S13" s="578">
        <v>0</v>
      </c>
      <c r="T13" s="578">
        <v>0</v>
      </c>
    </row>
    <row r="14" spans="1:21">
      <c r="A14" s="513" t="s">
        <v>668</v>
      </c>
      <c r="B14" s="513" t="s">
        <v>669</v>
      </c>
      <c r="C14" s="584">
        <v>100337773.81000003</v>
      </c>
      <c r="D14" s="578">
        <v>92019137.330000028</v>
      </c>
      <c r="E14" s="578">
        <v>7183698.5899999989</v>
      </c>
      <c r="F14" s="578">
        <v>0</v>
      </c>
      <c r="G14" s="578">
        <v>4769316.37</v>
      </c>
      <c r="H14" s="578">
        <v>144084.19</v>
      </c>
      <c r="I14" s="578">
        <v>0</v>
      </c>
      <c r="J14" s="578">
        <v>0</v>
      </c>
      <c r="K14" s="578">
        <v>11394.05</v>
      </c>
      <c r="L14" s="578">
        <v>3549320.1100000003</v>
      </c>
      <c r="M14" s="578">
        <v>58707.29</v>
      </c>
      <c r="N14" s="578">
        <v>14706.72</v>
      </c>
      <c r="O14" s="578">
        <v>27331.190000000002</v>
      </c>
      <c r="P14" s="578">
        <v>116848.86000000002</v>
      </c>
      <c r="Q14" s="578">
        <v>1243247.1599999999</v>
      </c>
      <c r="R14" s="578">
        <v>0</v>
      </c>
      <c r="S14" s="578">
        <v>0</v>
      </c>
      <c r="T14" s="578">
        <v>0</v>
      </c>
    </row>
    <row r="15" spans="1:21">
      <c r="A15" s="514">
        <v>1.2</v>
      </c>
      <c r="B15" s="514" t="s">
        <v>670</v>
      </c>
      <c r="C15" s="585">
        <v>13858260.919999985</v>
      </c>
      <c r="D15" s="578">
        <v>4491745.1200000085</v>
      </c>
      <c r="E15" s="578">
        <v>128173.40999999999</v>
      </c>
      <c r="F15" s="578">
        <v>0</v>
      </c>
      <c r="G15" s="578">
        <v>1673475.3000000003</v>
      </c>
      <c r="H15" s="578">
        <v>379009.80000000005</v>
      </c>
      <c r="I15" s="578">
        <v>15593.41</v>
      </c>
      <c r="J15" s="578">
        <v>13583.51</v>
      </c>
      <c r="K15" s="578">
        <v>0</v>
      </c>
      <c r="L15" s="578">
        <v>7693040.4999999991</v>
      </c>
      <c r="M15" s="578">
        <v>456237.26999999996</v>
      </c>
      <c r="N15" s="578">
        <v>413896.76</v>
      </c>
      <c r="O15" s="578">
        <v>474293.5</v>
      </c>
      <c r="P15" s="578">
        <v>459197.99000000005</v>
      </c>
      <c r="Q15" s="578">
        <v>1311738.3500000001</v>
      </c>
      <c r="R15" s="578">
        <v>303099.74</v>
      </c>
      <c r="S15" s="578">
        <v>0</v>
      </c>
      <c r="T15" s="578">
        <v>0</v>
      </c>
    </row>
    <row r="16" spans="1:21">
      <c r="A16" s="510">
        <v>1.3</v>
      </c>
      <c r="B16" s="514" t="s">
        <v>671</v>
      </c>
      <c r="C16" s="586">
        <v>0</v>
      </c>
      <c r="D16" s="586">
        <v>0</v>
      </c>
      <c r="E16" s="586">
        <v>0</v>
      </c>
      <c r="F16" s="586">
        <v>0</v>
      </c>
      <c r="G16" s="586">
        <v>0</v>
      </c>
      <c r="H16" s="586">
        <v>0</v>
      </c>
      <c r="I16" s="586">
        <v>0</v>
      </c>
      <c r="J16" s="586">
        <v>0</v>
      </c>
      <c r="K16" s="586">
        <v>0</v>
      </c>
      <c r="L16" s="586">
        <v>0</v>
      </c>
      <c r="M16" s="586">
        <v>0</v>
      </c>
      <c r="N16" s="586">
        <v>0</v>
      </c>
      <c r="O16" s="586">
        <v>0</v>
      </c>
      <c r="P16" s="586">
        <v>0</v>
      </c>
      <c r="Q16" s="586">
        <v>0</v>
      </c>
      <c r="R16" s="586">
        <v>0</v>
      </c>
      <c r="S16" s="586">
        <v>0</v>
      </c>
      <c r="T16" s="586">
        <v>0</v>
      </c>
    </row>
    <row r="17" spans="1:20" ht="25.5">
      <c r="A17" s="515" t="s">
        <v>672</v>
      </c>
      <c r="B17" s="516" t="s">
        <v>673</v>
      </c>
      <c r="C17" s="587">
        <v>970862557.27000189</v>
      </c>
      <c r="D17" s="579">
        <v>838075797.15000069</v>
      </c>
      <c r="E17" s="579">
        <v>35991571.240000002</v>
      </c>
      <c r="F17" s="579">
        <v>1000000</v>
      </c>
      <c r="G17" s="579">
        <v>80256000.010000005</v>
      </c>
      <c r="H17" s="579">
        <v>11855211.380000001</v>
      </c>
      <c r="I17" s="579">
        <v>4130984.3000000003</v>
      </c>
      <c r="J17" s="579">
        <v>772633.89999999979</v>
      </c>
      <c r="K17" s="579">
        <v>11394.05</v>
      </c>
      <c r="L17" s="579">
        <v>52530760.109999999</v>
      </c>
      <c r="M17" s="579">
        <v>6333440.9200000009</v>
      </c>
      <c r="N17" s="579">
        <v>1505564.6999999997</v>
      </c>
      <c r="O17" s="579">
        <v>2976135.3899999997</v>
      </c>
      <c r="P17" s="579">
        <v>3983740.74</v>
      </c>
      <c r="Q17" s="579">
        <v>7024358.7800000003</v>
      </c>
      <c r="R17" s="579">
        <v>1439129.78</v>
      </c>
      <c r="S17" s="579">
        <v>0</v>
      </c>
      <c r="T17" s="579">
        <v>0</v>
      </c>
    </row>
    <row r="18" spans="1:20" ht="25.5">
      <c r="A18" s="517" t="s">
        <v>674</v>
      </c>
      <c r="B18" s="517" t="s">
        <v>675</v>
      </c>
      <c r="C18" s="588">
        <v>849245821.84999931</v>
      </c>
      <c r="D18" s="579">
        <v>719337059.23999906</v>
      </c>
      <c r="E18" s="579">
        <v>32735201.490000002</v>
      </c>
      <c r="F18" s="579">
        <v>1000000</v>
      </c>
      <c r="G18" s="579">
        <v>79018337.180000082</v>
      </c>
      <c r="H18" s="579">
        <v>11582167.140000002</v>
      </c>
      <c r="I18" s="579">
        <v>4044414.3100000005</v>
      </c>
      <c r="J18" s="579">
        <v>752018.64999999979</v>
      </c>
      <c r="K18" s="579">
        <v>4785.93</v>
      </c>
      <c r="L18" s="579">
        <v>50890425.429999985</v>
      </c>
      <c r="M18" s="579">
        <v>6126130.6200000001</v>
      </c>
      <c r="N18" s="579">
        <v>1475564.6999999997</v>
      </c>
      <c r="O18" s="579">
        <v>2903511.8699999996</v>
      </c>
      <c r="P18" s="579">
        <v>3918041.3200000003</v>
      </c>
      <c r="Q18" s="579">
        <v>6513336.6200000001</v>
      </c>
      <c r="R18" s="579">
        <v>1404511.32</v>
      </c>
      <c r="S18" s="579">
        <v>0</v>
      </c>
      <c r="T18" s="579">
        <v>0</v>
      </c>
    </row>
    <row r="19" spans="1:20">
      <c r="A19" s="515" t="s">
        <v>676</v>
      </c>
      <c r="B19" s="515" t="s">
        <v>677</v>
      </c>
      <c r="C19" s="589">
        <v>942912185.28999949</v>
      </c>
      <c r="D19" s="579">
        <v>813394923.15999877</v>
      </c>
      <c r="E19" s="579">
        <v>23844059.200000014</v>
      </c>
      <c r="F19" s="579">
        <v>965643.24</v>
      </c>
      <c r="G19" s="579">
        <v>77396681.130000055</v>
      </c>
      <c r="H19" s="579">
        <v>13186532.560000001</v>
      </c>
      <c r="I19" s="579">
        <v>2261654.38</v>
      </c>
      <c r="J19" s="579">
        <v>708783.63000000012</v>
      </c>
      <c r="K19" s="579">
        <v>2249.4300000000003</v>
      </c>
      <c r="L19" s="579">
        <v>52120581</v>
      </c>
      <c r="M19" s="579">
        <v>7827729.7400000002</v>
      </c>
      <c r="N19" s="579">
        <v>599618.54</v>
      </c>
      <c r="O19" s="579">
        <v>4474365.9799999995</v>
      </c>
      <c r="P19" s="579">
        <v>4464489.9799999986</v>
      </c>
      <c r="Q19" s="579">
        <v>4200167.21</v>
      </c>
      <c r="R19" s="579">
        <v>1201137.9100000001</v>
      </c>
      <c r="S19" s="579">
        <v>0</v>
      </c>
      <c r="T19" s="579">
        <v>0</v>
      </c>
    </row>
    <row r="20" spans="1:20">
      <c r="A20" s="517" t="s">
        <v>678</v>
      </c>
      <c r="B20" s="517" t="s">
        <v>679</v>
      </c>
      <c r="C20" s="588">
        <v>845807961.62000144</v>
      </c>
      <c r="D20" s="579">
        <v>722056183.40999961</v>
      </c>
      <c r="E20" s="579">
        <v>20436542.520000011</v>
      </c>
      <c r="F20" s="579">
        <v>885628.8899999999</v>
      </c>
      <c r="G20" s="579">
        <v>74732965.309999987</v>
      </c>
      <c r="H20" s="579">
        <v>13039053.979999999</v>
      </c>
      <c r="I20" s="579">
        <v>2136003.4800000004</v>
      </c>
      <c r="J20" s="579">
        <v>698708.88</v>
      </c>
      <c r="K20" s="579">
        <v>0</v>
      </c>
      <c r="L20" s="579">
        <v>49018812.900000021</v>
      </c>
      <c r="M20" s="579">
        <v>7336342.2299999995</v>
      </c>
      <c r="N20" s="579">
        <v>591542.84000000008</v>
      </c>
      <c r="O20" s="579">
        <v>4331589.5499999989</v>
      </c>
      <c r="P20" s="579">
        <v>4084117.93</v>
      </c>
      <c r="Q20" s="579">
        <v>3482719.85</v>
      </c>
      <c r="R20" s="579">
        <v>964539.23</v>
      </c>
      <c r="S20" s="579">
        <v>0</v>
      </c>
      <c r="T20" s="579">
        <v>0</v>
      </c>
    </row>
    <row r="21" spans="1:20">
      <c r="A21" s="518">
        <v>1.4</v>
      </c>
      <c r="B21" s="526" t="s">
        <v>714</v>
      </c>
      <c r="C21" s="590">
        <v>17131396.340000004</v>
      </c>
      <c r="D21" s="579">
        <v>17073798.110000003</v>
      </c>
      <c r="E21" s="579">
        <v>1179635.54</v>
      </c>
      <c r="F21" s="579">
        <v>0</v>
      </c>
      <c r="G21" s="579">
        <v>38576.020000000004</v>
      </c>
      <c r="H21" s="579">
        <v>12688.21</v>
      </c>
      <c r="I21" s="579">
        <v>0</v>
      </c>
      <c r="J21" s="579">
        <v>0</v>
      </c>
      <c r="K21" s="579">
        <v>0</v>
      </c>
      <c r="L21" s="579">
        <v>19022.21</v>
      </c>
      <c r="M21" s="579">
        <v>0</v>
      </c>
      <c r="N21" s="579">
        <v>0</v>
      </c>
      <c r="O21" s="579">
        <v>0</v>
      </c>
      <c r="P21" s="579">
        <v>0</v>
      </c>
      <c r="Q21" s="579">
        <v>0</v>
      </c>
      <c r="R21" s="579">
        <v>0</v>
      </c>
      <c r="S21" s="579">
        <v>0</v>
      </c>
      <c r="T21" s="579">
        <v>0</v>
      </c>
    </row>
    <row r="22" spans="1:20">
      <c r="A22" s="518">
        <v>1.5</v>
      </c>
      <c r="B22" s="526" t="s">
        <v>715</v>
      </c>
      <c r="C22" s="590">
        <v>0</v>
      </c>
      <c r="D22" s="579">
        <v>0</v>
      </c>
      <c r="E22" s="579">
        <v>0</v>
      </c>
      <c r="F22" s="579">
        <v>0</v>
      </c>
      <c r="G22" s="579">
        <v>0</v>
      </c>
      <c r="H22" s="579">
        <v>0</v>
      </c>
      <c r="I22" s="579">
        <v>0</v>
      </c>
      <c r="J22" s="579">
        <v>0</v>
      </c>
      <c r="K22" s="579">
        <v>0</v>
      </c>
      <c r="L22" s="579">
        <v>0</v>
      </c>
      <c r="M22" s="579">
        <v>0</v>
      </c>
      <c r="N22" s="579">
        <v>0</v>
      </c>
      <c r="O22" s="579">
        <v>0</v>
      </c>
      <c r="P22" s="579">
        <v>0</v>
      </c>
      <c r="Q22" s="579">
        <v>0</v>
      </c>
      <c r="R22" s="579">
        <v>0</v>
      </c>
      <c r="S22" s="579">
        <v>0</v>
      </c>
      <c r="T22" s="579">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1"/>
  <sheetViews>
    <sheetView showGridLines="0" topLeftCell="A18" zoomScale="85" zoomScaleNormal="85" workbookViewId="0">
      <selection activeCell="H42" sqref="H42"/>
    </sheetView>
  </sheetViews>
  <sheetFormatPr defaultColWidth="9.140625" defaultRowHeight="12.75"/>
  <cols>
    <col min="1" max="1" width="11.85546875" style="475" bestFit="1" customWidth="1"/>
    <col min="2" max="2" width="93.42578125" style="475" customWidth="1"/>
    <col min="3" max="3" width="16.140625" style="475" bestFit="1" customWidth="1"/>
    <col min="4" max="4" width="14.85546875" style="475" bestFit="1" customWidth="1"/>
    <col min="5" max="5" width="13.85546875" style="475" bestFit="1" customWidth="1"/>
    <col min="6" max="6" width="18" style="507" bestFit="1" customWidth="1"/>
    <col min="7" max="7" width="12" style="507" bestFit="1" customWidth="1"/>
    <col min="8" max="8" width="11.140625" style="475" bestFit="1" customWidth="1"/>
    <col min="9" max="9" width="11.28515625" style="475" bestFit="1" customWidth="1"/>
    <col min="10" max="10" width="14.85546875" style="507" bestFit="1" customWidth="1"/>
    <col min="11" max="11" width="13.85546875" style="507" bestFit="1" customWidth="1"/>
    <col min="12" max="12" width="18" style="507" bestFit="1" customWidth="1"/>
    <col min="13" max="14" width="11.140625" style="507" bestFit="1" customWidth="1"/>
    <col min="15" max="15" width="19" style="475" bestFit="1" customWidth="1"/>
    <col min="16" max="16384" width="9.140625" style="475"/>
  </cols>
  <sheetData>
    <row r="1" spans="1:15">
      <c r="A1" s="474" t="s">
        <v>188</v>
      </c>
      <c r="B1" s="612" t="str">
        <f>'1. key ratios'!B1</f>
        <v>ს.ს. "ტერაბანკი"</v>
      </c>
      <c r="F1" s="475"/>
      <c r="G1" s="475"/>
      <c r="J1" s="475"/>
      <c r="K1" s="475"/>
      <c r="L1" s="475"/>
      <c r="M1" s="475"/>
      <c r="N1" s="475"/>
    </row>
    <row r="2" spans="1:15">
      <c r="A2" s="474" t="s">
        <v>189</v>
      </c>
      <c r="F2" s="475"/>
      <c r="G2" s="475"/>
      <c r="J2" s="475"/>
      <c r="K2" s="475"/>
      <c r="L2" s="475"/>
      <c r="M2" s="475"/>
      <c r="N2" s="475"/>
    </row>
    <row r="3" spans="1:15">
      <c r="A3" s="476" t="s">
        <v>682</v>
      </c>
      <c r="B3" s="477">
        <f>'1. key ratios'!B2</f>
        <v>44742</v>
      </c>
      <c r="F3" s="475"/>
      <c r="G3" s="475"/>
      <c r="J3" s="475"/>
      <c r="K3" s="475"/>
      <c r="L3" s="475"/>
      <c r="M3" s="475"/>
      <c r="N3" s="475"/>
    </row>
    <row r="4" spans="1:15">
      <c r="F4" s="475"/>
      <c r="G4" s="475"/>
      <c r="J4" s="475"/>
      <c r="K4" s="475"/>
      <c r="L4" s="475"/>
      <c r="M4" s="475"/>
      <c r="N4" s="475"/>
    </row>
    <row r="5" spans="1:15" ht="37.5" customHeight="1">
      <c r="A5" s="670" t="s">
        <v>683</v>
      </c>
      <c r="B5" s="671"/>
      <c r="C5" s="715" t="s">
        <v>684</v>
      </c>
      <c r="D5" s="716"/>
      <c r="E5" s="716"/>
      <c r="F5" s="716"/>
      <c r="G5" s="716"/>
      <c r="H5" s="717"/>
      <c r="I5" s="715" t="s">
        <v>685</v>
      </c>
      <c r="J5" s="718"/>
      <c r="K5" s="718"/>
      <c r="L5" s="718"/>
      <c r="M5" s="718"/>
      <c r="N5" s="719"/>
      <c r="O5" s="720" t="s">
        <v>555</v>
      </c>
    </row>
    <row r="6" spans="1:15" ht="39.6" customHeight="1">
      <c r="A6" s="674"/>
      <c r="B6" s="675"/>
      <c r="C6" s="519"/>
      <c r="D6" s="520" t="s">
        <v>686</v>
      </c>
      <c r="E6" s="520" t="s">
        <v>687</v>
      </c>
      <c r="F6" s="520" t="s">
        <v>688</v>
      </c>
      <c r="G6" s="520" t="s">
        <v>689</v>
      </c>
      <c r="H6" s="520" t="s">
        <v>690</v>
      </c>
      <c r="I6" s="521"/>
      <c r="J6" s="520" t="s">
        <v>686</v>
      </c>
      <c r="K6" s="520" t="s">
        <v>687</v>
      </c>
      <c r="L6" s="520" t="s">
        <v>688</v>
      </c>
      <c r="M6" s="520" t="s">
        <v>689</v>
      </c>
      <c r="N6" s="520" t="s">
        <v>690</v>
      </c>
      <c r="O6" s="721"/>
    </row>
    <row r="7" spans="1:15">
      <c r="A7" s="488">
        <v>1</v>
      </c>
      <c r="B7" s="495" t="s">
        <v>565</v>
      </c>
      <c r="C7" s="595">
        <v>69569289.421499997</v>
      </c>
      <c r="D7" s="578">
        <v>64304488.268100001</v>
      </c>
      <c r="E7" s="578">
        <v>3257434.5159999998</v>
      </c>
      <c r="F7" s="596">
        <v>1104590.1621000001</v>
      </c>
      <c r="G7" s="596">
        <v>565547.24490000005</v>
      </c>
      <c r="H7" s="578">
        <v>337229.2304</v>
      </c>
      <c r="I7" s="578">
        <v>2562802.9150999999</v>
      </c>
      <c r="J7" s="596">
        <v>1285679.4224999999</v>
      </c>
      <c r="K7" s="596">
        <v>325743.5025</v>
      </c>
      <c r="L7" s="596">
        <v>331377.03330000001</v>
      </c>
      <c r="M7" s="596">
        <v>282773.72639999999</v>
      </c>
      <c r="N7" s="596">
        <v>337229.2304</v>
      </c>
      <c r="O7" s="578">
        <v>427966.485107432</v>
      </c>
    </row>
    <row r="8" spans="1:15">
      <c r="A8" s="488">
        <v>2</v>
      </c>
      <c r="B8" s="495" t="s">
        <v>566</v>
      </c>
      <c r="C8" s="595">
        <v>33402283.919699997</v>
      </c>
      <c r="D8" s="578">
        <v>32198126.632300001</v>
      </c>
      <c r="E8" s="578">
        <v>848973.27679999999</v>
      </c>
      <c r="F8" s="596">
        <v>191189.39799999999</v>
      </c>
      <c r="G8" s="596">
        <v>150596.79879999999</v>
      </c>
      <c r="H8" s="578">
        <v>13397.8138</v>
      </c>
      <c r="I8" s="578">
        <v>874688.96379999991</v>
      </c>
      <c r="J8" s="596">
        <v>643738.52259999991</v>
      </c>
      <c r="K8" s="596">
        <v>84897.386800000007</v>
      </c>
      <c r="L8" s="596">
        <v>57356.816500000001</v>
      </c>
      <c r="M8" s="596">
        <v>75298.424100000004</v>
      </c>
      <c r="N8" s="596">
        <v>13397.8138</v>
      </c>
      <c r="O8" s="578">
        <v>88454.820302483771</v>
      </c>
    </row>
    <row r="9" spans="1:15">
      <c r="A9" s="488">
        <v>3</v>
      </c>
      <c r="B9" s="495" t="s">
        <v>567</v>
      </c>
      <c r="C9" s="595">
        <v>30445453.531800002</v>
      </c>
      <c r="D9" s="578">
        <v>30387498.2159</v>
      </c>
      <c r="E9" s="578">
        <v>57955.315900000001</v>
      </c>
      <c r="F9" s="597">
        <v>0</v>
      </c>
      <c r="G9" s="597">
        <v>0</v>
      </c>
      <c r="H9" s="578">
        <v>0</v>
      </c>
      <c r="I9" s="578">
        <v>613545.51699999999</v>
      </c>
      <c r="J9" s="597">
        <v>607749.98540000001</v>
      </c>
      <c r="K9" s="597">
        <v>5795.5316000000003</v>
      </c>
      <c r="L9" s="597">
        <v>0</v>
      </c>
      <c r="M9" s="597">
        <v>0</v>
      </c>
      <c r="N9" s="597">
        <v>0</v>
      </c>
      <c r="O9" s="578">
        <v>104.84188037407679</v>
      </c>
    </row>
    <row r="10" spans="1:15">
      <c r="A10" s="488">
        <v>4</v>
      </c>
      <c r="B10" s="495" t="s">
        <v>568</v>
      </c>
      <c r="C10" s="595">
        <v>85879951.856299996</v>
      </c>
      <c r="D10" s="578">
        <v>80060941.782399997</v>
      </c>
      <c r="E10" s="578">
        <v>4828927.8722999999</v>
      </c>
      <c r="F10" s="597">
        <v>981497.05220000003</v>
      </c>
      <c r="G10" s="597">
        <v>0</v>
      </c>
      <c r="H10" s="578">
        <v>8585.1494000000002</v>
      </c>
      <c r="I10" s="578">
        <v>2387145.9224</v>
      </c>
      <c r="J10" s="597">
        <v>1601218.8604000001</v>
      </c>
      <c r="K10" s="597">
        <v>482892.79399999999</v>
      </c>
      <c r="L10" s="597">
        <v>294449.11859999999</v>
      </c>
      <c r="M10" s="597">
        <v>0</v>
      </c>
      <c r="N10" s="597">
        <v>8585.1494000000002</v>
      </c>
      <c r="O10" s="578">
        <v>35123.389330060032</v>
      </c>
    </row>
    <row r="11" spans="1:15">
      <c r="A11" s="488">
        <v>5</v>
      </c>
      <c r="B11" s="495" t="s">
        <v>569</v>
      </c>
      <c r="C11" s="595">
        <v>91548822.216399997</v>
      </c>
      <c r="D11" s="578">
        <v>74444375.030699998</v>
      </c>
      <c r="E11" s="578">
        <v>10821491.5735</v>
      </c>
      <c r="F11" s="597">
        <v>4564471.9091999996</v>
      </c>
      <c r="G11" s="597">
        <v>1718483.703</v>
      </c>
      <c r="H11" s="578">
        <v>0</v>
      </c>
      <c r="I11" s="578">
        <v>4799620.0356999999</v>
      </c>
      <c r="J11" s="597">
        <v>1488887.3859999999</v>
      </c>
      <c r="K11" s="597">
        <v>1082149.1941</v>
      </c>
      <c r="L11" s="597">
        <v>1369341.6040999999</v>
      </c>
      <c r="M11" s="597">
        <v>859241.85149999999</v>
      </c>
      <c r="N11" s="597">
        <v>0</v>
      </c>
      <c r="O11" s="578">
        <v>38985.383288285972</v>
      </c>
    </row>
    <row r="12" spans="1:15">
      <c r="A12" s="488">
        <v>6</v>
      </c>
      <c r="B12" s="495" t="s">
        <v>570</v>
      </c>
      <c r="C12" s="595">
        <v>31768593.272100005</v>
      </c>
      <c r="D12" s="578">
        <v>28503199.138600003</v>
      </c>
      <c r="E12" s="578">
        <v>1264852.5978000001</v>
      </c>
      <c r="F12" s="597">
        <v>1623841.28</v>
      </c>
      <c r="G12" s="597">
        <v>339874.50569999998</v>
      </c>
      <c r="H12" s="578">
        <v>36825.75</v>
      </c>
      <c r="I12" s="578">
        <v>1390464.7441999998</v>
      </c>
      <c r="J12" s="597">
        <v>570064.04810000001</v>
      </c>
      <c r="K12" s="597">
        <v>126485.27360000001</v>
      </c>
      <c r="L12" s="597">
        <v>487152.39</v>
      </c>
      <c r="M12" s="597">
        <v>169937.2825</v>
      </c>
      <c r="N12" s="597">
        <v>36825.75</v>
      </c>
      <c r="O12" s="578">
        <v>47907.378597225797</v>
      </c>
    </row>
    <row r="13" spans="1:15">
      <c r="A13" s="488">
        <v>7</v>
      </c>
      <c r="B13" s="495" t="s">
        <v>571</v>
      </c>
      <c r="C13" s="595">
        <v>57587980.482299998</v>
      </c>
      <c r="D13" s="578">
        <v>55632474.997699998</v>
      </c>
      <c r="E13" s="578">
        <v>623768.09979999997</v>
      </c>
      <c r="F13" s="597">
        <v>1287440.0248</v>
      </c>
      <c r="G13" s="597">
        <v>44297.36</v>
      </c>
      <c r="H13" s="578">
        <v>0</v>
      </c>
      <c r="I13" s="578">
        <v>1583407.0569999998</v>
      </c>
      <c r="J13" s="597">
        <v>1112649.5710999998</v>
      </c>
      <c r="K13" s="597">
        <v>62376.803199999995</v>
      </c>
      <c r="L13" s="597">
        <v>386231.9927</v>
      </c>
      <c r="M13" s="597">
        <v>22148.69</v>
      </c>
      <c r="N13" s="597">
        <v>0</v>
      </c>
      <c r="O13" s="578">
        <v>1494.2291466124248</v>
      </c>
    </row>
    <row r="14" spans="1:15">
      <c r="A14" s="488">
        <v>8</v>
      </c>
      <c r="B14" s="495" t="s">
        <v>572</v>
      </c>
      <c r="C14" s="595">
        <v>46130692.947899997</v>
      </c>
      <c r="D14" s="578">
        <v>42659372.969300002</v>
      </c>
      <c r="E14" s="578">
        <v>1677532.5703000003</v>
      </c>
      <c r="F14" s="597">
        <v>1493599.7882999999</v>
      </c>
      <c r="G14" s="597">
        <v>297386.3</v>
      </c>
      <c r="H14" s="578">
        <v>2801.32</v>
      </c>
      <c r="I14" s="578">
        <v>1620515.0965</v>
      </c>
      <c r="J14" s="597">
        <v>853187.42340000009</v>
      </c>
      <c r="K14" s="597">
        <v>167753.25379999998</v>
      </c>
      <c r="L14" s="597">
        <v>448079.92930000002</v>
      </c>
      <c r="M14" s="597">
        <v>148693.17000000001</v>
      </c>
      <c r="N14" s="597">
        <v>2801.32</v>
      </c>
      <c r="O14" s="578">
        <v>1664.5944370768311</v>
      </c>
    </row>
    <row r="15" spans="1:15">
      <c r="A15" s="488">
        <v>9</v>
      </c>
      <c r="B15" s="495" t="s">
        <v>573</v>
      </c>
      <c r="C15" s="595">
        <v>28401752.961999997</v>
      </c>
      <c r="D15" s="578">
        <v>27059210.058499999</v>
      </c>
      <c r="E15" s="578">
        <v>1290737.7735000001</v>
      </c>
      <c r="F15" s="597">
        <v>11805.13</v>
      </c>
      <c r="G15" s="597">
        <v>40000</v>
      </c>
      <c r="H15" s="578">
        <v>0</v>
      </c>
      <c r="I15" s="578">
        <v>693799.54500000004</v>
      </c>
      <c r="J15" s="597">
        <v>541184.22479999997</v>
      </c>
      <c r="K15" s="597">
        <v>129073.78020000001</v>
      </c>
      <c r="L15" s="597">
        <v>3541.54</v>
      </c>
      <c r="M15" s="597">
        <v>20000</v>
      </c>
      <c r="N15" s="597">
        <v>0</v>
      </c>
      <c r="O15" s="578">
        <v>399.93558273215837</v>
      </c>
    </row>
    <row r="16" spans="1:15">
      <c r="A16" s="488">
        <v>10</v>
      </c>
      <c r="B16" s="495" t="s">
        <v>574</v>
      </c>
      <c r="C16" s="595">
        <v>12885911.193599997</v>
      </c>
      <c r="D16" s="578">
        <v>9925234.6271999981</v>
      </c>
      <c r="E16" s="578">
        <v>2203086.0036999998</v>
      </c>
      <c r="F16" s="597">
        <v>757590.56270000001</v>
      </c>
      <c r="G16" s="597">
        <v>0</v>
      </c>
      <c r="H16" s="578">
        <v>0</v>
      </c>
      <c r="I16" s="578">
        <v>646090.49949999992</v>
      </c>
      <c r="J16" s="597">
        <v>198504.73609999998</v>
      </c>
      <c r="K16" s="597">
        <v>220308.60040000002</v>
      </c>
      <c r="L16" s="597">
        <v>227277.163</v>
      </c>
      <c r="M16" s="597">
        <v>0</v>
      </c>
      <c r="N16" s="597">
        <v>0</v>
      </c>
      <c r="O16" s="578">
        <v>87.9979891277425</v>
      </c>
    </row>
    <row r="17" spans="1:15">
      <c r="A17" s="488">
        <v>11</v>
      </c>
      <c r="B17" s="495" t="s">
        <v>575</v>
      </c>
      <c r="C17" s="595">
        <v>7490341.6263999995</v>
      </c>
      <c r="D17" s="578">
        <v>5648046.1939999992</v>
      </c>
      <c r="E17" s="578">
        <v>953143.47970000003</v>
      </c>
      <c r="F17" s="597">
        <v>157973.68300000002</v>
      </c>
      <c r="G17" s="597">
        <v>731178.26969999995</v>
      </c>
      <c r="H17" s="578">
        <v>0</v>
      </c>
      <c r="I17" s="578">
        <v>621256.60840000003</v>
      </c>
      <c r="J17" s="597">
        <v>112960.97899999999</v>
      </c>
      <c r="K17" s="597">
        <v>95314.395400000009</v>
      </c>
      <c r="L17" s="597">
        <v>47392.099099999999</v>
      </c>
      <c r="M17" s="597">
        <v>365589.1349</v>
      </c>
      <c r="N17" s="597">
        <v>0</v>
      </c>
      <c r="O17" s="578">
        <v>230.88906762607417</v>
      </c>
    </row>
    <row r="18" spans="1:15">
      <c r="A18" s="488">
        <v>12</v>
      </c>
      <c r="B18" s="495" t="s">
        <v>576</v>
      </c>
      <c r="C18" s="595">
        <v>71529066.271200001</v>
      </c>
      <c r="D18" s="578">
        <v>60743878.108500004</v>
      </c>
      <c r="E18" s="578">
        <v>5588445.0936000003</v>
      </c>
      <c r="F18" s="597">
        <v>3236387.9523000005</v>
      </c>
      <c r="G18" s="597">
        <v>1754781.6379999998</v>
      </c>
      <c r="H18" s="578">
        <v>205573.47880000001</v>
      </c>
      <c r="I18" s="578">
        <v>3741227.0116000003</v>
      </c>
      <c r="J18" s="597">
        <v>1128501.5974000001</v>
      </c>
      <c r="K18" s="597">
        <v>558844.59069999994</v>
      </c>
      <c r="L18" s="597">
        <v>970916.39639999985</v>
      </c>
      <c r="M18" s="597">
        <v>877390.94830000005</v>
      </c>
      <c r="N18" s="597">
        <v>205573.47880000001</v>
      </c>
      <c r="O18" s="578">
        <v>63853.34469409287</v>
      </c>
    </row>
    <row r="19" spans="1:15">
      <c r="A19" s="488">
        <v>13</v>
      </c>
      <c r="B19" s="495" t="s">
        <v>577</v>
      </c>
      <c r="C19" s="595">
        <v>15171369.632800002</v>
      </c>
      <c r="D19" s="578">
        <v>12381044.6339</v>
      </c>
      <c r="E19" s="578">
        <v>1737211.1774999998</v>
      </c>
      <c r="F19" s="597">
        <v>549796.924</v>
      </c>
      <c r="G19" s="597">
        <v>489465.07740000001</v>
      </c>
      <c r="H19" s="578">
        <v>13851.82</v>
      </c>
      <c r="I19" s="578">
        <v>844865.5628999999</v>
      </c>
      <c r="J19" s="597">
        <v>247620.9418</v>
      </c>
      <c r="K19" s="597">
        <v>173721.1537</v>
      </c>
      <c r="L19" s="597">
        <v>164939.084</v>
      </c>
      <c r="M19" s="597">
        <v>244732.56340000001</v>
      </c>
      <c r="N19" s="597">
        <v>13851.82</v>
      </c>
      <c r="O19" s="578">
        <v>9359.0407333216426</v>
      </c>
    </row>
    <row r="20" spans="1:15">
      <c r="A20" s="488">
        <v>14</v>
      </c>
      <c r="B20" s="495" t="s">
        <v>578</v>
      </c>
      <c r="C20" s="595">
        <v>86319760.85180001</v>
      </c>
      <c r="D20" s="578">
        <v>59704848.99530001</v>
      </c>
      <c r="E20" s="578">
        <v>16668600.4649</v>
      </c>
      <c r="F20" s="597">
        <v>9144540.3597999997</v>
      </c>
      <c r="G20" s="597">
        <v>781503.94180000003</v>
      </c>
      <c r="H20" s="578">
        <v>20267.09</v>
      </c>
      <c r="I20" s="578">
        <v>5983639.9475000007</v>
      </c>
      <c r="J20" s="597">
        <v>1162398.5033999998</v>
      </c>
      <c r="K20" s="597">
        <v>1666860.1906000001</v>
      </c>
      <c r="L20" s="597">
        <v>2743362.1780000003</v>
      </c>
      <c r="M20" s="597">
        <v>390751.98550000001</v>
      </c>
      <c r="N20" s="597">
        <v>20267.09</v>
      </c>
      <c r="O20" s="578">
        <v>17771.483580460437</v>
      </c>
    </row>
    <row r="21" spans="1:15">
      <c r="A21" s="488">
        <v>15</v>
      </c>
      <c r="B21" s="495" t="s">
        <v>579</v>
      </c>
      <c r="C21" s="595">
        <v>31304146.907400001</v>
      </c>
      <c r="D21" s="578">
        <v>17115422.343499999</v>
      </c>
      <c r="E21" s="578">
        <v>12990730.033699999</v>
      </c>
      <c r="F21" s="597">
        <v>1109526.0802000002</v>
      </c>
      <c r="G21" s="597">
        <v>65728.02</v>
      </c>
      <c r="H21" s="578">
        <v>22740.43</v>
      </c>
      <c r="I21" s="578">
        <v>2029843.8049000001</v>
      </c>
      <c r="J21" s="597">
        <v>342308.4449</v>
      </c>
      <c r="K21" s="597">
        <v>1299073.0587000002</v>
      </c>
      <c r="L21" s="597">
        <v>332857.86129999999</v>
      </c>
      <c r="M21" s="597">
        <v>32864.01</v>
      </c>
      <c r="N21" s="597">
        <v>22740.43</v>
      </c>
      <c r="O21" s="578">
        <v>6050.0613340909604</v>
      </c>
    </row>
    <row r="22" spans="1:15">
      <c r="A22" s="488">
        <v>16</v>
      </c>
      <c r="B22" s="495" t="s">
        <v>580</v>
      </c>
      <c r="C22" s="595">
        <v>370725.14060000004</v>
      </c>
      <c r="D22" s="578">
        <v>370725.14060000004</v>
      </c>
      <c r="E22" s="578">
        <v>0</v>
      </c>
      <c r="F22" s="597">
        <v>0</v>
      </c>
      <c r="G22" s="597">
        <v>0</v>
      </c>
      <c r="H22" s="578">
        <v>0</v>
      </c>
      <c r="I22" s="578">
        <v>7414.4694</v>
      </c>
      <c r="J22" s="597">
        <v>7414.4694</v>
      </c>
      <c r="K22" s="597">
        <v>0</v>
      </c>
      <c r="L22" s="597">
        <v>0</v>
      </c>
      <c r="M22" s="597">
        <v>0</v>
      </c>
      <c r="N22" s="597">
        <v>0</v>
      </c>
      <c r="O22" s="578">
        <v>2349.8182223517738</v>
      </c>
    </row>
    <row r="23" spans="1:15">
      <c r="A23" s="488">
        <v>17</v>
      </c>
      <c r="B23" s="495" t="s">
        <v>581</v>
      </c>
      <c r="C23" s="595">
        <v>4851641.4647000004</v>
      </c>
      <c r="D23" s="578">
        <v>1897647.2583999999</v>
      </c>
      <c r="E23" s="578">
        <v>1374424.7618</v>
      </c>
      <c r="F23" s="597">
        <v>1248910.3744999999</v>
      </c>
      <c r="G23" s="597">
        <v>330659.07</v>
      </c>
      <c r="H23" s="578">
        <v>0</v>
      </c>
      <c r="I23" s="578">
        <v>715398.1128</v>
      </c>
      <c r="J23" s="597">
        <v>37952.984199999999</v>
      </c>
      <c r="K23" s="597">
        <v>137442.47039999999</v>
      </c>
      <c r="L23" s="597">
        <v>374673.11820000003</v>
      </c>
      <c r="M23" s="597">
        <v>165329.54</v>
      </c>
      <c r="N23" s="597">
        <v>0</v>
      </c>
      <c r="O23" s="578">
        <v>646.32764509849608</v>
      </c>
    </row>
    <row r="24" spans="1:15">
      <c r="A24" s="488">
        <v>18</v>
      </c>
      <c r="B24" s="495" t="s">
        <v>582</v>
      </c>
      <c r="C24" s="595">
        <v>17224352.157700002</v>
      </c>
      <c r="D24" s="578">
        <v>17224352.157700002</v>
      </c>
      <c r="E24" s="578">
        <v>0</v>
      </c>
      <c r="F24" s="597">
        <v>0</v>
      </c>
      <c r="G24" s="597">
        <v>0</v>
      </c>
      <c r="H24" s="578">
        <v>0</v>
      </c>
      <c r="I24" s="578">
        <v>344487.08129999996</v>
      </c>
      <c r="J24" s="597">
        <v>344487.08129999996</v>
      </c>
      <c r="K24" s="597">
        <v>0</v>
      </c>
      <c r="L24" s="597">
        <v>0</v>
      </c>
      <c r="M24" s="597">
        <v>0</v>
      </c>
      <c r="N24" s="597">
        <v>0</v>
      </c>
      <c r="O24" s="578">
        <v>2726.633339239766</v>
      </c>
    </row>
    <row r="25" spans="1:15">
      <c r="A25" s="488">
        <v>19</v>
      </c>
      <c r="B25" s="495" t="s">
        <v>583</v>
      </c>
      <c r="C25" s="595">
        <v>14393721.7498</v>
      </c>
      <c r="D25" s="578">
        <v>14276043.302900001</v>
      </c>
      <c r="E25" s="578">
        <v>90695.09</v>
      </c>
      <c r="F25" s="597">
        <v>5826.9880000000003</v>
      </c>
      <c r="G25" s="597">
        <v>13195.338900000001</v>
      </c>
      <c r="H25" s="578">
        <v>7961.03</v>
      </c>
      <c r="I25" s="578">
        <v>310897.13270000007</v>
      </c>
      <c r="J25" s="597">
        <v>285520.83860000002</v>
      </c>
      <c r="K25" s="597">
        <v>9069.51</v>
      </c>
      <c r="L25" s="597">
        <v>1748.0847000000001</v>
      </c>
      <c r="M25" s="597">
        <v>6597.6693999999998</v>
      </c>
      <c r="N25" s="597">
        <v>7961.03</v>
      </c>
      <c r="O25" s="578">
        <v>489.40212450226187</v>
      </c>
    </row>
    <row r="26" spans="1:15">
      <c r="A26" s="488">
        <v>20</v>
      </c>
      <c r="B26" s="495" t="s">
        <v>584</v>
      </c>
      <c r="C26" s="595">
        <v>33932393.536499992</v>
      </c>
      <c r="D26" s="578">
        <v>31720212.3684</v>
      </c>
      <c r="E26" s="578">
        <v>1881833.8608999997</v>
      </c>
      <c r="F26" s="597">
        <v>239506.44</v>
      </c>
      <c r="G26" s="597">
        <v>59645.23</v>
      </c>
      <c r="H26" s="578">
        <v>31195.637200000001</v>
      </c>
      <c r="I26" s="578">
        <v>955457.87760000001</v>
      </c>
      <c r="J26" s="597">
        <v>634404.25450000004</v>
      </c>
      <c r="K26" s="597">
        <v>188183.4209</v>
      </c>
      <c r="L26" s="597">
        <v>71851.94</v>
      </c>
      <c r="M26" s="597">
        <v>29822.625</v>
      </c>
      <c r="N26" s="597">
        <v>31195.637200000001</v>
      </c>
      <c r="O26" s="578">
        <v>54619.621340300575</v>
      </c>
    </row>
    <row r="27" spans="1:15">
      <c r="A27" s="488">
        <v>21</v>
      </c>
      <c r="B27" s="495" t="s">
        <v>585</v>
      </c>
      <c r="C27" s="595">
        <v>4281607.6562000001</v>
      </c>
      <c r="D27" s="578">
        <v>4001269.9013</v>
      </c>
      <c r="E27" s="578">
        <v>205523.15490000002</v>
      </c>
      <c r="F27" s="597">
        <v>2306.77</v>
      </c>
      <c r="G27" s="597">
        <v>72424.34</v>
      </c>
      <c r="H27" s="578">
        <v>83.49</v>
      </c>
      <c r="I27" s="578">
        <v>137565.43939999997</v>
      </c>
      <c r="J27" s="597">
        <v>80025.418099999995</v>
      </c>
      <c r="K27" s="597">
        <v>20552.3213</v>
      </c>
      <c r="L27" s="597">
        <v>692.03</v>
      </c>
      <c r="M27" s="597">
        <v>36212.18</v>
      </c>
      <c r="N27" s="597">
        <v>83.49</v>
      </c>
      <c r="O27" s="578">
        <v>7974.6267321109162</v>
      </c>
    </row>
    <row r="28" spans="1:15">
      <c r="A28" s="488">
        <v>22</v>
      </c>
      <c r="B28" s="495" t="s">
        <v>586</v>
      </c>
      <c r="C28" s="595">
        <v>1216807.9586999998</v>
      </c>
      <c r="D28" s="578">
        <v>524926.13020000001</v>
      </c>
      <c r="E28" s="578">
        <v>669024.19169999997</v>
      </c>
      <c r="F28" s="597">
        <v>8242.2468000000008</v>
      </c>
      <c r="G28" s="597">
        <v>0</v>
      </c>
      <c r="H28" s="578">
        <v>14615.39</v>
      </c>
      <c r="I28" s="578">
        <v>94489.035800000012</v>
      </c>
      <c r="J28" s="597">
        <v>10498.536900000001</v>
      </c>
      <c r="K28" s="597">
        <v>66902.443700000003</v>
      </c>
      <c r="L28" s="597">
        <v>2472.6651999999999</v>
      </c>
      <c r="M28" s="597">
        <v>0</v>
      </c>
      <c r="N28" s="597">
        <v>14615.39</v>
      </c>
      <c r="O28" s="578">
        <v>3396.8534719004124</v>
      </c>
    </row>
    <row r="29" spans="1:15">
      <c r="A29" s="488">
        <v>23</v>
      </c>
      <c r="B29" s="495" t="s">
        <v>587</v>
      </c>
      <c r="C29" s="595">
        <v>87406615.907099992</v>
      </c>
      <c r="D29" s="578">
        <v>73793303.356900007</v>
      </c>
      <c r="E29" s="578">
        <v>5447799.1299000001</v>
      </c>
      <c r="F29" s="597">
        <v>5493818.3561999993</v>
      </c>
      <c r="G29" s="597">
        <v>2609413.8220000002</v>
      </c>
      <c r="H29" s="578">
        <v>62281.242100000003</v>
      </c>
      <c r="I29" s="578">
        <v>5035780.1049000006</v>
      </c>
      <c r="J29" s="597">
        <v>1475866.3817999999</v>
      </c>
      <c r="K29" s="597">
        <v>544779.96730000002</v>
      </c>
      <c r="L29" s="597">
        <v>1648145.5283000001</v>
      </c>
      <c r="M29" s="597">
        <v>1304706.9854000001</v>
      </c>
      <c r="N29" s="597">
        <v>62281.242100000003</v>
      </c>
      <c r="O29" s="578">
        <v>83071.998007010581</v>
      </c>
    </row>
    <row r="30" spans="1:15">
      <c r="A30" s="488">
        <v>24</v>
      </c>
      <c r="B30" s="495" t="s">
        <v>588</v>
      </c>
      <c r="C30" s="595">
        <v>111338176.01190001</v>
      </c>
      <c r="D30" s="578">
        <v>102466795.56290001</v>
      </c>
      <c r="E30" s="578">
        <v>4231698.2802999998</v>
      </c>
      <c r="F30" s="597">
        <v>1574944.8791999999</v>
      </c>
      <c r="G30" s="597">
        <v>3005350.0094999997</v>
      </c>
      <c r="H30" s="578">
        <v>59387.28</v>
      </c>
      <c r="I30" s="578">
        <v>4503872.0642999997</v>
      </c>
      <c r="J30" s="597">
        <v>2046156.4471999998</v>
      </c>
      <c r="K30" s="597">
        <v>423169.81040000002</v>
      </c>
      <c r="L30" s="597">
        <v>472483.46159999998</v>
      </c>
      <c r="M30" s="597">
        <v>1502675.0650999998</v>
      </c>
      <c r="N30" s="597">
        <v>59387.28</v>
      </c>
      <c r="O30" s="578">
        <v>8080.1245774077715</v>
      </c>
    </row>
    <row r="31" spans="1:15">
      <c r="A31" s="488">
        <v>25</v>
      </c>
      <c r="B31" s="495" t="s">
        <v>589</v>
      </c>
      <c r="C31" s="595">
        <v>47086582.773599997</v>
      </c>
      <c r="D31" s="578">
        <v>41734113.037500001</v>
      </c>
      <c r="E31" s="578">
        <v>1393819.6500000001</v>
      </c>
      <c r="F31" s="597">
        <v>3093831.0816000002</v>
      </c>
      <c r="G31" s="597">
        <v>645145.09450000001</v>
      </c>
      <c r="H31" s="578">
        <v>219673.91</v>
      </c>
      <c r="I31" s="578">
        <v>2352597.9745000005</v>
      </c>
      <c r="J31" s="597">
        <v>742820.12320000003</v>
      </c>
      <c r="K31" s="597">
        <v>139381.99</v>
      </c>
      <c r="L31" s="597">
        <v>928149.3541</v>
      </c>
      <c r="M31" s="597">
        <v>322572.59720000002</v>
      </c>
      <c r="N31" s="597">
        <v>219673.91</v>
      </c>
      <c r="O31" s="578">
        <v>249236.99820928011</v>
      </c>
    </row>
    <row r="32" spans="1:15">
      <c r="A32" s="488">
        <v>26</v>
      </c>
      <c r="B32" s="495" t="s">
        <v>691</v>
      </c>
      <c r="C32" s="595">
        <v>23315910.159499973</v>
      </c>
      <c r="D32" s="578">
        <v>19403064.618199974</v>
      </c>
      <c r="E32" s="578">
        <v>1583498.8171999985</v>
      </c>
      <c r="F32" s="597">
        <v>942931.13260000013</v>
      </c>
      <c r="G32" s="597">
        <v>1271131.0471999997</v>
      </c>
      <c r="H32" s="578">
        <v>115284.54429999995</v>
      </c>
      <c r="I32" s="578">
        <v>1579710.7748000009</v>
      </c>
      <c r="J32" s="597">
        <v>387631.33400000073</v>
      </c>
      <c r="K32" s="597">
        <v>158349.92600000009</v>
      </c>
      <c r="L32" s="597">
        <v>282879.36760000023</v>
      </c>
      <c r="M32" s="597">
        <v>635565.60289999994</v>
      </c>
      <c r="N32" s="597">
        <v>115284.54429999995</v>
      </c>
      <c r="O32" s="578">
        <v>147055.7212597921</v>
      </c>
    </row>
    <row r="33" spans="1:15">
      <c r="A33" s="488">
        <v>27</v>
      </c>
      <c r="B33" s="522" t="s">
        <v>68</v>
      </c>
      <c r="C33" s="598">
        <v>1044853951.6094999</v>
      </c>
      <c r="D33" s="578">
        <v>908180614.83089972</v>
      </c>
      <c r="E33" s="578">
        <v>81691206.785700008</v>
      </c>
      <c r="F33" s="597">
        <v>38824568.575500011</v>
      </c>
      <c r="G33" s="597">
        <v>14985806.8114</v>
      </c>
      <c r="H33" s="578">
        <v>1171754.6059999999</v>
      </c>
      <c r="I33" s="579">
        <v>46430583.299000002</v>
      </c>
      <c r="J33" s="597">
        <v>17949432.516099997</v>
      </c>
      <c r="K33" s="597">
        <v>8169121.3692999994</v>
      </c>
      <c r="L33" s="597">
        <v>11647370.755999999</v>
      </c>
      <c r="M33" s="597">
        <v>7492904.051599999</v>
      </c>
      <c r="N33" s="597">
        <v>1171754.6059999999</v>
      </c>
      <c r="O33" s="578">
        <v>1299101.9999999974</v>
      </c>
    </row>
    <row r="35" spans="1:15">
      <c r="B35" s="496"/>
      <c r="C35" s="620"/>
      <c r="D35" s="620"/>
      <c r="E35" s="620"/>
      <c r="F35" s="620"/>
      <c r="G35" s="620"/>
      <c r="H35" s="620"/>
      <c r="I35" s="620"/>
      <c r="J35" s="620"/>
      <c r="K35" s="620"/>
      <c r="L35" s="620"/>
      <c r="M35" s="620"/>
      <c r="N35" s="620"/>
      <c r="O35" s="620"/>
    </row>
    <row r="36" spans="1:15">
      <c r="C36" s="621"/>
      <c r="D36" s="621"/>
      <c r="E36" s="621"/>
      <c r="F36" s="621"/>
      <c r="G36" s="621"/>
      <c r="H36" s="621"/>
      <c r="I36" s="621"/>
      <c r="J36" s="621"/>
      <c r="K36" s="621"/>
      <c r="L36" s="621"/>
      <c r="M36" s="621"/>
      <c r="N36" s="621"/>
      <c r="O36" s="621"/>
    </row>
    <row r="37" spans="1:15">
      <c r="C37" s="621"/>
      <c r="D37" s="621"/>
      <c r="E37" s="621"/>
      <c r="F37" s="621"/>
      <c r="G37" s="621"/>
      <c r="H37" s="621"/>
      <c r="I37" s="621"/>
      <c r="J37" s="621"/>
      <c r="K37" s="621"/>
      <c r="L37" s="621"/>
      <c r="M37" s="621"/>
      <c r="N37" s="621"/>
      <c r="O37" s="621"/>
    </row>
    <row r="38" spans="1:15">
      <c r="C38" s="621"/>
      <c r="D38" s="621"/>
      <c r="E38" s="621"/>
      <c r="F38" s="621"/>
      <c r="G38" s="621"/>
      <c r="H38" s="621"/>
      <c r="I38" s="621"/>
      <c r="J38" s="621"/>
      <c r="K38" s="621"/>
      <c r="L38" s="621"/>
      <c r="M38" s="621"/>
      <c r="N38" s="621"/>
      <c r="O38" s="621"/>
    </row>
    <row r="40" spans="1:15">
      <c r="A40" s="492"/>
      <c r="B40" s="492"/>
      <c r="C40" s="492"/>
    </row>
    <row r="41" spans="1:15">
      <c r="A41" s="492"/>
      <c r="B41" s="492"/>
      <c r="C41" s="49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Normal="100" workbookViewId="0">
      <selection activeCell="K8" sqref="K8"/>
    </sheetView>
  </sheetViews>
  <sheetFormatPr defaultColWidth="8.7109375" defaultRowHeight="12"/>
  <cols>
    <col min="1" max="1" width="11.85546875" style="523" bestFit="1" customWidth="1"/>
    <col min="2" max="2" width="80.140625" style="523" customWidth="1"/>
    <col min="3" max="11" width="28.28515625" style="523" customWidth="1"/>
    <col min="12" max="16384" width="8.7109375" style="523"/>
  </cols>
  <sheetData>
    <row r="1" spans="1:11" s="475" customFormat="1" ht="12.75">
      <c r="A1" s="474" t="s">
        <v>188</v>
      </c>
      <c r="B1" s="612" t="str">
        <f>'1. key ratios'!B1</f>
        <v>ს.ს. "ტერაბანკი"</v>
      </c>
    </row>
    <row r="2" spans="1:11" s="475" customFormat="1" ht="12.75">
      <c r="A2" s="474" t="s">
        <v>189</v>
      </c>
    </row>
    <row r="3" spans="1:11" s="475" customFormat="1" ht="12.75">
      <c r="A3" s="476" t="s">
        <v>692</v>
      </c>
      <c r="B3" s="477">
        <f>'1. key ratios'!B2</f>
        <v>44742</v>
      </c>
    </row>
    <row r="4" spans="1:11">
      <c r="C4" s="524" t="s">
        <v>542</v>
      </c>
      <c r="D4" s="524" t="s">
        <v>543</v>
      </c>
      <c r="E4" s="524" t="s">
        <v>544</v>
      </c>
      <c r="F4" s="524" t="s">
        <v>545</v>
      </c>
      <c r="G4" s="524" t="s">
        <v>546</v>
      </c>
      <c r="H4" s="524" t="s">
        <v>547</v>
      </c>
      <c r="I4" s="524" t="s">
        <v>548</v>
      </c>
      <c r="J4" s="524" t="s">
        <v>549</v>
      </c>
      <c r="K4" s="524" t="s">
        <v>550</v>
      </c>
    </row>
    <row r="5" spans="1:11" ht="104.1" customHeight="1">
      <c r="A5" s="722" t="s">
        <v>693</v>
      </c>
      <c r="B5" s="723"/>
      <c r="C5" s="478" t="s">
        <v>694</v>
      </c>
      <c r="D5" s="478" t="s">
        <v>680</v>
      </c>
      <c r="E5" s="478" t="s">
        <v>681</v>
      </c>
      <c r="F5" s="478" t="s">
        <v>695</v>
      </c>
      <c r="G5" s="478" t="s">
        <v>696</v>
      </c>
      <c r="H5" s="478" t="s">
        <v>697</v>
      </c>
      <c r="I5" s="478" t="s">
        <v>698</v>
      </c>
      <c r="J5" s="478" t="s">
        <v>699</v>
      </c>
      <c r="K5" s="478" t="s">
        <v>700</v>
      </c>
    </row>
    <row r="6" spans="1:11" ht="12.75">
      <c r="A6" s="488">
        <v>1</v>
      </c>
      <c r="B6" s="488" t="s">
        <v>701</v>
      </c>
      <c r="C6" s="578">
        <v>27614469.869999997</v>
      </c>
      <c r="D6" s="578">
        <v>17131396.340000004</v>
      </c>
      <c r="E6" s="578">
        <v>0</v>
      </c>
      <c r="F6" s="578">
        <v>4081123.1800000006</v>
      </c>
      <c r="G6" s="578">
        <v>849245821.84999931</v>
      </c>
      <c r="H6" s="578">
        <v>0</v>
      </c>
      <c r="I6" s="578">
        <v>72789746.029999956</v>
      </c>
      <c r="J6" s="578">
        <v>0</v>
      </c>
      <c r="K6" s="578">
        <v>73991394.56000185</v>
      </c>
    </row>
    <row r="7" spans="1:11" ht="12.75">
      <c r="A7" s="488">
        <v>2</v>
      </c>
      <c r="B7" s="488" t="s">
        <v>702</v>
      </c>
      <c r="C7" s="578">
        <v>0</v>
      </c>
      <c r="D7" s="578">
        <v>0</v>
      </c>
      <c r="E7" s="578">
        <v>0</v>
      </c>
      <c r="F7" s="578">
        <v>0</v>
      </c>
      <c r="G7" s="578">
        <v>0</v>
      </c>
      <c r="H7" s="578">
        <v>0</v>
      </c>
      <c r="I7" s="578">
        <v>0</v>
      </c>
      <c r="J7" s="578">
        <v>0</v>
      </c>
      <c r="K7" s="578">
        <v>5000000</v>
      </c>
    </row>
    <row r="8" spans="1:11" ht="12.75">
      <c r="A8" s="488">
        <v>3</v>
      </c>
      <c r="B8" s="488" t="s">
        <v>652</v>
      </c>
      <c r="C8" s="578">
        <v>16968044.060000002</v>
      </c>
      <c r="D8" s="578">
        <v>0</v>
      </c>
      <c r="E8" s="578">
        <v>0</v>
      </c>
      <c r="F8" s="578">
        <v>0</v>
      </c>
      <c r="G8" s="578">
        <v>29553565.489999998</v>
      </c>
      <c r="H8" s="578">
        <v>0</v>
      </c>
      <c r="I8" s="578">
        <v>7103964.9400000004</v>
      </c>
      <c r="J8" s="578">
        <v>0</v>
      </c>
      <c r="K8" s="578">
        <v>46339062.165400073</v>
      </c>
    </row>
    <row r="9" spans="1:11" ht="12.75">
      <c r="A9" s="488">
        <v>4</v>
      </c>
      <c r="B9" s="510" t="s">
        <v>703</v>
      </c>
      <c r="C9" s="578">
        <v>23079.440000000002</v>
      </c>
      <c r="D9" s="578">
        <v>19022.21</v>
      </c>
      <c r="E9" s="578">
        <v>0</v>
      </c>
      <c r="F9" s="578">
        <v>0</v>
      </c>
      <c r="G9" s="578">
        <v>50890425.430000037</v>
      </c>
      <c r="H9" s="578">
        <v>0</v>
      </c>
      <c r="I9" s="578">
        <v>1390951.45</v>
      </c>
      <c r="J9" s="578">
        <v>0</v>
      </c>
      <c r="K9" s="578">
        <v>2658651.7062603161</v>
      </c>
    </row>
    <row r="10" spans="1:11" ht="12.75">
      <c r="A10" s="488">
        <v>5</v>
      </c>
      <c r="B10" s="510" t="s">
        <v>704</v>
      </c>
      <c r="C10" s="578">
        <v>0</v>
      </c>
      <c r="D10" s="578">
        <v>0</v>
      </c>
      <c r="E10" s="578">
        <v>0</v>
      </c>
      <c r="F10" s="578">
        <v>0</v>
      </c>
      <c r="G10" s="578">
        <v>0</v>
      </c>
      <c r="H10" s="578">
        <v>0</v>
      </c>
      <c r="I10" s="578">
        <v>0</v>
      </c>
      <c r="J10" s="578">
        <v>0</v>
      </c>
      <c r="K10" s="578">
        <v>0</v>
      </c>
    </row>
    <row r="11" spans="1:11" ht="12.75">
      <c r="A11" s="488">
        <v>6</v>
      </c>
      <c r="B11" s="510" t="s">
        <v>705</v>
      </c>
      <c r="C11" s="578">
        <v>0</v>
      </c>
      <c r="D11" s="578">
        <v>0</v>
      </c>
      <c r="E11" s="578">
        <v>0</v>
      </c>
      <c r="F11" s="578">
        <v>0</v>
      </c>
      <c r="G11" s="578">
        <v>0</v>
      </c>
      <c r="H11" s="578">
        <v>0</v>
      </c>
      <c r="I11" s="578">
        <v>0</v>
      </c>
      <c r="J11" s="578">
        <v>0</v>
      </c>
      <c r="K11" s="578">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workbookViewId="0">
      <selection activeCell="J22" sqref="J22"/>
    </sheetView>
  </sheetViews>
  <sheetFormatPr defaultRowHeight="15"/>
  <cols>
    <col min="1" max="1" width="10" bestFit="1" customWidth="1"/>
    <col min="2" max="2" width="71.7109375" customWidth="1"/>
    <col min="3" max="3" width="10.5703125" bestFit="1" customWidth="1"/>
    <col min="4" max="4" width="12.42578125" bestFit="1" customWidth="1"/>
    <col min="5" max="5" width="11.42578125" bestFit="1" customWidth="1"/>
    <col min="6" max="6" width="15" bestFit="1" customWidth="1"/>
    <col min="7" max="7" width="9" bestFit="1" customWidth="1"/>
    <col min="8" max="8" width="7.7109375" bestFit="1" customWidth="1"/>
    <col min="9" max="9" width="10.5703125" bestFit="1" customWidth="1"/>
    <col min="10" max="10" width="12.42578125" bestFit="1" customWidth="1"/>
    <col min="11" max="11" width="11.42578125" bestFit="1" customWidth="1"/>
    <col min="12" max="12" width="15" bestFit="1" customWidth="1"/>
    <col min="13" max="13" width="9" bestFit="1" customWidth="1"/>
    <col min="14" max="14" width="7.7109375" bestFit="1" customWidth="1"/>
    <col min="15" max="15" width="16.7109375" bestFit="1" customWidth="1"/>
    <col min="16" max="16" width="33.7109375" bestFit="1" customWidth="1"/>
    <col min="17" max="17" width="33.140625" customWidth="1"/>
    <col min="18" max="18" width="37.140625" bestFit="1" customWidth="1"/>
    <col min="19" max="19" width="32.140625" bestFit="1" customWidth="1"/>
  </cols>
  <sheetData>
    <row r="1" spans="1:19">
      <c r="A1" s="474" t="s">
        <v>188</v>
      </c>
      <c r="B1" s="397" t="str">
        <f>'1. key ratios'!B1</f>
        <v>ს.ს. "ტერაბანკი"</v>
      </c>
    </row>
    <row r="2" spans="1:19">
      <c r="A2" s="474" t="s">
        <v>189</v>
      </c>
      <c r="B2" s="477">
        <f>'1. key ratios'!B2</f>
        <v>44742</v>
      </c>
    </row>
    <row r="3" spans="1:19">
      <c r="A3" s="476" t="s">
        <v>717</v>
      </c>
      <c r="B3" s="475"/>
    </row>
    <row r="4" spans="1:19">
      <c r="A4" s="476"/>
      <c r="B4" s="475"/>
    </row>
    <row r="5" spans="1:19" ht="24" customHeight="1">
      <c r="A5" s="725" t="s">
        <v>718</v>
      </c>
      <c r="B5" s="725"/>
      <c r="C5" s="726" t="s">
        <v>655</v>
      </c>
      <c r="D5" s="726"/>
      <c r="E5" s="726"/>
      <c r="F5" s="726"/>
      <c r="G5" s="726"/>
      <c r="H5" s="726"/>
      <c r="I5" s="726" t="s">
        <v>719</v>
      </c>
      <c r="J5" s="726"/>
      <c r="K5" s="726"/>
      <c r="L5" s="726"/>
      <c r="M5" s="726"/>
      <c r="N5" s="726"/>
      <c r="O5" s="724" t="s">
        <v>720</v>
      </c>
      <c r="P5" s="724" t="s">
        <v>721</v>
      </c>
      <c r="Q5" s="724" t="s">
        <v>722</v>
      </c>
      <c r="R5" s="724" t="s">
        <v>723</v>
      </c>
      <c r="S5" s="724" t="s">
        <v>724</v>
      </c>
    </row>
    <row r="6" spans="1:19" ht="36" customHeight="1">
      <c r="A6" s="725"/>
      <c r="B6" s="725"/>
      <c r="C6" s="599"/>
      <c r="D6" s="520" t="s">
        <v>686</v>
      </c>
      <c r="E6" s="520" t="s">
        <v>687</v>
      </c>
      <c r="F6" s="520" t="s">
        <v>688</v>
      </c>
      <c r="G6" s="520" t="s">
        <v>689</v>
      </c>
      <c r="H6" s="520" t="s">
        <v>690</v>
      </c>
      <c r="I6" s="599"/>
      <c r="J6" s="520" t="s">
        <v>686</v>
      </c>
      <c r="K6" s="520" t="s">
        <v>687</v>
      </c>
      <c r="L6" s="520" t="s">
        <v>688</v>
      </c>
      <c r="M6" s="520" t="s">
        <v>689</v>
      </c>
      <c r="N6" s="520" t="s">
        <v>690</v>
      </c>
      <c r="O6" s="724"/>
      <c r="P6" s="724"/>
      <c r="Q6" s="724"/>
      <c r="R6" s="724"/>
      <c r="S6" s="724"/>
    </row>
    <row r="7" spans="1:19">
      <c r="A7" s="600">
        <v>1</v>
      </c>
      <c r="B7" s="601" t="s">
        <v>725</v>
      </c>
      <c r="C7" s="608">
        <v>17518646.049999997</v>
      </c>
      <c r="D7" s="608">
        <v>17231658.690000001</v>
      </c>
      <c r="E7" s="608">
        <v>201714.15</v>
      </c>
      <c r="F7" s="608">
        <v>62914.32</v>
      </c>
      <c r="G7" s="608">
        <v>18780.830000000002</v>
      </c>
      <c r="H7" s="608">
        <v>3578.06</v>
      </c>
      <c r="I7" s="608">
        <v>396647.79820000002</v>
      </c>
      <c r="J7" s="608">
        <v>344633.61820000003</v>
      </c>
      <c r="K7" s="608">
        <v>20171.400000000001</v>
      </c>
      <c r="L7" s="608">
        <v>18874.3</v>
      </c>
      <c r="M7" s="608">
        <v>9390.42</v>
      </c>
      <c r="N7" s="608">
        <v>3578.06</v>
      </c>
      <c r="O7" s="608">
        <v>1657</v>
      </c>
      <c r="P7" s="610">
        <v>0.39245903923122616</v>
      </c>
      <c r="Q7" s="610">
        <v>0.47580428680928355</v>
      </c>
      <c r="R7" s="610">
        <v>0.38629809999999998</v>
      </c>
      <c r="S7" s="608">
        <v>29.185600000000001</v>
      </c>
    </row>
    <row r="8" spans="1:19">
      <c r="A8" s="600">
        <v>2</v>
      </c>
      <c r="B8" s="602" t="s">
        <v>726</v>
      </c>
      <c r="C8" s="608">
        <v>81903972.070899993</v>
      </c>
      <c r="D8" s="608">
        <v>74458348.507899985</v>
      </c>
      <c r="E8" s="608">
        <v>3445290.9022000004</v>
      </c>
      <c r="F8" s="608">
        <v>1675869.8607999999</v>
      </c>
      <c r="G8" s="608">
        <v>1555999.2776000001</v>
      </c>
      <c r="H8" s="608">
        <v>768463.52240000002</v>
      </c>
      <c r="I8" s="608">
        <v>3787657.0057000001</v>
      </c>
      <c r="J8" s="608">
        <v>1393903.51</v>
      </c>
      <c r="K8" s="608">
        <v>344529.14919999999</v>
      </c>
      <c r="L8" s="608">
        <v>502760.98609999998</v>
      </c>
      <c r="M8" s="608">
        <v>777999.83799999999</v>
      </c>
      <c r="N8" s="608">
        <v>768463.52240000002</v>
      </c>
      <c r="O8" s="608">
        <v>6447</v>
      </c>
      <c r="P8" s="610">
        <v>0.1261837554124256</v>
      </c>
      <c r="Q8" s="610">
        <v>0.15348532063761547</v>
      </c>
      <c r="R8" s="610">
        <v>0.13223405999999999</v>
      </c>
      <c r="S8" s="608">
        <v>52.269399999999997</v>
      </c>
    </row>
    <row r="9" spans="1:19">
      <c r="A9" s="600">
        <v>3</v>
      </c>
      <c r="B9" s="602" t="s">
        <v>728</v>
      </c>
      <c r="C9" s="608">
        <v>0</v>
      </c>
      <c r="D9" s="608">
        <v>0</v>
      </c>
      <c r="E9" s="608">
        <v>0</v>
      </c>
      <c r="F9" s="608">
        <v>0</v>
      </c>
      <c r="G9" s="608">
        <v>0</v>
      </c>
      <c r="H9" s="608">
        <v>0</v>
      </c>
      <c r="I9" s="608">
        <v>0</v>
      </c>
      <c r="J9" s="608">
        <v>0</v>
      </c>
      <c r="K9" s="608">
        <v>0</v>
      </c>
      <c r="L9" s="608">
        <v>0</v>
      </c>
      <c r="M9" s="608">
        <v>0</v>
      </c>
      <c r="N9" s="608">
        <v>0</v>
      </c>
      <c r="O9" s="608">
        <v>0</v>
      </c>
      <c r="P9" s="610">
        <v>0</v>
      </c>
      <c r="Q9" s="610">
        <v>0</v>
      </c>
      <c r="R9" s="610">
        <v>0</v>
      </c>
      <c r="S9" s="608">
        <v>0</v>
      </c>
    </row>
    <row r="10" spans="1:19">
      <c r="A10" s="600">
        <v>4</v>
      </c>
      <c r="B10" s="602" t="s">
        <v>729</v>
      </c>
      <c r="C10" s="608">
        <v>6454.58</v>
      </c>
      <c r="D10" s="608">
        <v>6454.58</v>
      </c>
      <c r="E10" s="608">
        <v>0</v>
      </c>
      <c r="F10" s="608">
        <v>0</v>
      </c>
      <c r="G10" s="608">
        <v>0</v>
      </c>
      <c r="H10" s="608">
        <v>0</v>
      </c>
      <c r="I10" s="608">
        <v>129.09</v>
      </c>
      <c r="J10" s="608">
        <v>129.09</v>
      </c>
      <c r="K10" s="608">
        <v>0</v>
      </c>
      <c r="L10" s="608">
        <v>0</v>
      </c>
      <c r="M10" s="608">
        <v>0</v>
      </c>
      <c r="N10" s="608">
        <v>0</v>
      </c>
      <c r="O10" s="608">
        <v>5</v>
      </c>
      <c r="P10" s="610">
        <v>0</v>
      </c>
      <c r="Q10" s="610">
        <v>0.20297000000000001</v>
      </c>
      <c r="R10" s="610">
        <v>0</v>
      </c>
      <c r="S10" s="608">
        <v>10.7309</v>
      </c>
    </row>
    <row r="11" spans="1:19">
      <c r="A11" s="600">
        <v>5</v>
      </c>
      <c r="B11" s="602" t="s">
        <v>730</v>
      </c>
      <c r="C11" s="608">
        <v>2306125.2612000001</v>
      </c>
      <c r="D11" s="608">
        <v>2067076.53</v>
      </c>
      <c r="E11" s="608">
        <v>103982.29</v>
      </c>
      <c r="F11" s="608">
        <v>24742</v>
      </c>
      <c r="G11" s="608">
        <v>7786.02</v>
      </c>
      <c r="H11" s="608">
        <v>102538.4212</v>
      </c>
      <c r="I11" s="608">
        <v>165594.12119999999</v>
      </c>
      <c r="J11" s="608">
        <v>41341.72</v>
      </c>
      <c r="K11" s="608">
        <v>10398.34</v>
      </c>
      <c r="L11" s="608">
        <v>7422.61</v>
      </c>
      <c r="M11" s="608">
        <v>3893.03</v>
      </c>
      <c r="N11" s="608">
        <v>102538.4212</v>
      </c>
      <c r="O11" s="608">
        <v>3477</v>
      </c>
      <c r="P11" s="610">
        <v>0.13963435499683988</v>
      </c>
      <c r="Q11" s="610">
        <v>0.14784459319932963</v>
      </c>
      <c r="R11" s="610">
        <v>0.13896986</v>
      </c>
      <c r="S11" s="608">
        <v>23.788</v>
      </c>
    </row>
    <row r="12" spans="1:19">
      <c r="A12" s="600">
        <v>6</v>
      </c>
      <c r="B12" s="602" t="s">
        <v>731</v>
      </c>
      <c r="C12" s="608">
        <v>2166204.2938000001</v>
      </c>
      <c r="D12" s="608">
        <v>1828484.2744</v>
      </c>
      <c r="E12" s="608">
        <v>244887.16140000001</v>
      </c>
      <c r="F12" s="608">
        <v>48981.407999999996</v>
      </c>
      <c r="G12" s="608">
        <v>24525.33</v>
      </c>
      <c r="H12" s="608">
        <v>19326.12</v>
      </c>
      <c r="I12" s="608">
        <v>107258.5178</v>
      </c>
      <c r="J12" s="608">
        <v>36486.502</v>
      </c>
      <c r="K12" s="608">
        <v>24488.7811</v>
      </c>
      <c r="L12" s="608">
        <v>14694.4247</v>
      </c>
      <c r="M12" s="608">
        <v>12262.69</v>
      </c>
      <c r="N12" s="608">
        <v>19326.12</v>
      </c>
      <c r="O12" s="608">
        <v>1505</v>
      </c>
      <c r="P12" s="610">
        <v>0.26848185688361043</v>
      </c>
      <c r="Q12" s="610">
        <v>0.33400296266088964</v>
      </c>
      <c r="R12" s="610">
        <v>0.27196027</v>
      </c>
      <c r="S12" s="608">
        <v>32.295200000000001</v>
      </c>
    </row>
    <row r="13" spans="1:19">
      <c r="A13" s="600">
        <v>7</v>
      </c>
      <c r="B13" s="602" t="s">
        <v>732</v>
      </c>
      <c r="C13" s="608">
        <v>101701208.2553</v>
      </c>
      <c r="D13" s="608">
        <v>93352955.104800016</v>
      </c>
      <c r="E13" s="608">
        <v>3753126.7990999999</v>
      </c>
      <c r="F13" s="608">
        <v>3413534.1176000005</v>
      </c>
      <c r="G13" s="608">
        <v>1157547.1538</v>
      </c>
      <c r="H13" s="608">
        <v>24045.08</v>
      </c>
      <c r="I13" s="608">
        <v>3869251.0286999997</v>
      </c>
      <c r="J13" s="608">
        <v>1867059.3882999998</v>
      </c>
      <c r="K13" s="608">
        <v>375312.68579999998</v>
      </c>
      <c r="L13" s="608">
        <v>1024060.2387</v>
      </c>
      <c r="M13" s="608">
        <v>578773.63590000011</v>
      </c>
      <c r="N13" s="608">
        <v>24045.08</v>
      </c>
      <c r="O13" s="608">
        <v>1336</v>
      </c>
      <c r="P13" s="610">
        <v>9.729417654528151E-2</v>
      </c>
      <c r="Q13" s="610">
        <v>0.11055641682000435</v>
      </c>
      <c r="R13" s="610">
        <v>0.11228088999999999</v>
      </c>
      <c r="S13" s="608">
        <v>117.57259999999999</v>
      </c>
    </row>
    <row r="14" spans="1:19">
      <c r="A14" s="607">
        <v>7.1</v>
      </c>
      <c r="B14" s="603" t="s">
        <v>733</v>
      </c>
      <c r="C14" s="608">
        <v>75157407.429500014</v>
      </c>
      <c r="D14" s="608">
        <v>69855225.713800013</v>
      </c>
      <c r="E14" s="608">
        <v>2387764.5175999999</v>
      </c>
      <c r="F14" s="608">
        <v>2593814.3842000002</v>
      </c>
      <c r="G14" s="608">
        <v>320602.81390000001</v>
      </c>
      <c r="H14" s="608">
        <v>0</v>
      </c>
      <c r="I14" s="608">
        <v>2574326.9444999998</v>
      </c>
      <c r="J14" s="608">
        <v>1397104.7674999998</v>
      </c>
      <c r="K14" s="608">
        <v>238776.42430000001</v>
      </c>
      <c r="L14" s="608">
        <v>778144.321</v>
      </c>
      <c r="M14" s="608">
        <v>160301.43170000002</v>
      </c>
      <c r="N14" s="608">
        <v>0</v>
      </c>
      <c r="O14" s="608">
        <v>898</v>
      </c>
      <c r="P14" s="610">
        <v>9.3963951328801976E-2</v>
      </c>
      <c r="Q14" s="610">
        <v>0.10673509684378578</v>
      </c>
      <c r="R14" s="610">
        <v>0.10899953</v>
      </c>
      <c r="S14" s="608">
        <v>120.3053</v>
      </c>
    </row>
    <row r="15" spans="1:19" ht="25.5">
      <c r="A15" s="607">
        <v>7.2</v>
      </c>
      <c r="B15" s="603" t="s">
        <v>734</v>
      </c>
      <c r="C15" s="608">
        <v>19698841.176299997</v>
      </c>
      <c r="D15" s="608">
        <v>17327517.2597</v>
      </c>
      <c r="E15" s="608">
        <v>1269873.3332</v>
      </c>
      <c r="F15" s="608">
        <v>819719.73340000003</v>
      </c>
      <c r="G15" s="608">
        <v>257685.77</v>
      </c>
      <c r="H15" s="608">
        <v>24045.08</v>
      </c>
      <c r="I15" s="608">
        <v>872341.68119999999</v>
      </c>
      <c r="J15" s="608">
        <v>346550.42790000001</v>
      </c>
      <c r="K15" s="608">
        <v>126987.36559999999</v>
      </c>
      <c r="L15" s="608">
        <v>245915.91769999999</v>
      </c>
      <c r="M15" s="608">
        <v>128842.89</v>
      </c>
      <c r="N15" s="608">
        <v>24045.08</v>
      </c>
      <c r="O15" s="608">
        <v>328</v>
      </c>
      <c r="P15" s="610">
        <v>0.13049016395383611</v>
      </c>
      <c r="Q15" s="610">
        <v>0.15356604731106938</v>
      </c>
      <c r="R15" s="610">
        <v>0.12192065000000001</v>
      </c>
      <c r="S15" s="608">
        <v>99.9816</v>
      </c>
    </row>
    <row r="16" spans="1:19">
      <c r="A16" s="607">
        <v>7.3</v>
      </c>
      <c r="B16" s="603" t="s">
        <v>735</v>
      </c>
      <c r="C16" s="608">
        <v>6844959.6494999994</v>
      </c>
      <c r="D16" s="608">
        <v>6170212.1312999995</v>
      </c>
      <c r="E16" s="608">
        <v>95488.948299999989</v>
      </c>
      <c r="F16" s="608">
        <v>0</v>
      </c>
      <c r="G16" s="608">
        <v>579258.5699</v>
      </c>
      <c r="H16" s="608">
        <v>0</v>
      </c>
      <c r="I16" s="608">
        <v>422582.40300000005</v>
      </c>
      <c r="J16" s="608">
        <v>123404.19289999999</v>
      </c>
      <c r="K16" s="608">
        <v>9548.8958999999995</v>
      </c>
      <c r="L16" s="608">
        <v>0</v>
      </c>
      <c r="M16" s="608">
        <v>289629.31420000002</v>
      </c>
      <c r="N16" s="608">
        <v>0</v>
      </c>
      <c r="O16" s="608">
        <v>110</v>
      </c>
      <c r="P16" s="610">
        <v>0.10308610982474085</v>
      </c>
      <c r="Q16" s="610">
        <v>0.11537418793836986</v>
      </c>
      <c r="R16" s="610">
        <v>0.12005409</v>
      </c>
      <c r="S16" s="608">
        <v>124.7217</v>
      </c>
    </row>
    <row r="17" spans="1:19">
      <c r="A17" s="600">
        <v>8</v>
      </c>
      <c r="B17" s="602" t="s">
        <v>736</v>
      </c>
      <c r="C17" s="608">
        <v>0</v>
      </c>
      <c r="D17" s="608">
        <v>0</v>
      </c>
      <c r="E17" s="608">
        <v>0</v>
      </c>
      <c r="F17" s="608">
        <v>0</v>
      </c>
      <c r="G17" s="608">
        <v>0</v>
      </c>
      <c r="H17" s="608">
        <v>0</v>
      </c>
      <c r="I17" s="608">
        <v>0</v>
      </c>
      <c r="J17" s="608">
        <v>0</v>
      </c>
      <c r="K17" s="608">
        <v>0</v>
      </c>
      <c r="L17" s="608">
        <v>0</v>
      </c>
      <c r="M17" s="608">
        <v>0</v>
      </c>
      <c r="N17" s="608">
        <v>0</v>
      </c>
      <c r="O17" s="608">
        <v>0</v>
      </c>
      <c r="P17" s="610">
        <v>0</v>
      </c>
      <c r="Q17" s="610">
        <v>0</v>
      </c>
      <c r="R17" s="610">
        <v>0</v>
      </c>
      <c r="S17" s="608">
        <v>0</v>
      </c>
    </row>
    <row r="18" spans="1:19">
      <c r="A18" s="604">
        <v>9</v>
      </c>
      <c r="B18" s="605" t="s">
        <v>737</v>
      </c>
      <c r="C18" s="608">
        <v>271522.5</v>
      </c>
      <c r="D18" s="608">
        <v>265965.32</v>
      </c>
      <c r="E18" s="608">
        <v>0</v>
      </c>
      <c r="F18" s="608">
        <v>5557.18</v>
      </c>
      <c r="G18" s="608">
        <v>0</v>
      </c>
      <c r="H18" s="608">
        <v>0</v>
      </c>
      <c r="I18" s="608">
        <v>6986.4500000000007</v>
      </c>
      <c r="J18" s="608">
        <v>5319.3</v>
      </c>
      <c r="K18" s="608">
        <v>0</v>
      </c>
      <c r="L18" s="608">
        <v>1667.15</v>
      </c>
      <c r="M18" s="608">
        <v>0</v>
      </c>
      <c r="N18" s="608">
        <v>0</v>
      </c>
      <c r="O18" s="608">
        <v>36</v>
      </c>
      <c r="P18" s="610">
        <v>9.8999999999999991E-2</v>
      </c>
      <c r="Q18" s="610">
        <v>9.8999999999999991E-2</v>
      </c>
      <c r="R18" s="610">
        <v>0.10997964</v>
      </c>
      <c r="S18" s="608">
        <v>72.834000000000003</v>
      </c>
    </row>
    <row r="19" spans="1:19">
      <c r="A19" s="600">
        <v>10</v>
      </c>
      <c r="B19" s="606" t="s">
        <v>738</v>
      </c>
      <c r="C19" s="609">
        <v>205874133.01119998</v>
      </c>
      <c r="D19" s="609">
        <v>189210943.00709999</v>
      </c>
      <c r="E19" s="609">
        <v>7749001.3026999999</v>
      </c>
      <c r="F19" s="609">
        <v>5231598.8864000002</v>
      </c>
      <c r="G19" s="609">
        <v>2764638.6114000003</v>
      </c>
      <c r="H19" s="609">
        <v>917951.20360000001</v>
      </c>
      <c r="I19" s="609">
        <v>8333524.0115999999</v>
      </c>
      <c r="J19" s="609">
        <v>3688873.1284999996</v>
      </c>
      <c r="K19" s="609">
        <v>774900.35609999998</v>
      </c>
      <c r="L19" s="609">
        <v>1569479.7094999999</v>
      </c>
      <c r="M19" s="609">
        <v>1382319.6139000002</v>
      </c>
      <c r="N19" s="609">
        <v>917951.20360000001</v>
      </c>
      <c r="O19" s="609">
        <v>14463</v>
      </c>
      <c r="P19" s="611">
        <v>0.19555625030014995</v>
      </c>
      <c r="Q19" s="611">
        <v>0.231637735465204</v>
      </c>
      <c r="R19" s="611">
        <v>0.14550872194131773</v>
      </c>
      <c r="S19" s="609">
        <v>81.6053</v>
      </c>
    </row>
    <row r="20" spans="1:19" ht="25.5">
      <c r="A20" s="607">
        <v>10.1</v>
      </c>
      <c r="B20" s="603" t="s">
        <v>727</v>
      </c>
      <c r="C20" s="608">
        <v>0</v>
      </c>
      <c r="D20" s="608">
        <v>0</v>
      </c>
      <c r="E20" s="608">
        <v>0</v>
      </c>
      <c r="F20" s="608">
        <v>0</v>
      </c>
      <c r="G20" s="608">
        <v>0</v>
      </c>
      <c r="H20" s="608">
        <v>0</v>
      </c>
      <c r="I20" s="608">
        <v>0</v>
      </c>
      <c r="J20" s="608">
        <v>0</v>
      </c>
      <c r="K20" s="608">
        <v>0</v>
      </c>
      <c r="L20" s="608">
        <v>0</v>
      </c>
      <c r="M20" s="608">
        <v>0</v>
      </c>
      <c r="N20" s="608">
        <v>0</v>
      </c>
      <c r="O20" s="608">
        <v>0</v>
      </c>
      <c r="P20" s="610">
        <v>0</v>
      </c>
      <c r="Q20" s="610">
        <v>0</v>
      </c>
      <c r="R20" s="610">
        <v>0</v>
      </c>
      <c r="S20" s="608">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36" activePane="bottomRight" state="frozen"/>
      <selection pane="topRight" activeCell="B1" sqref="B1"/>
      <selection pane="bottomLeft" activeCell="A5" sqref="A5"/>
      <selection pane="bottomRight" activeCell="B2" sqref="B2"/>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35">
        <f>'1. key ratios'!B2</f>
        <v>44742</v>
      </c>
    </row>
    <row r="3" spans="1:8" ht="15.75">
      <c r="A3" s="14"/>
    </row>
    <row r="4" spans="1:8" ht="16.5" thickBot="1">
      <c r="A4" s="15" t="s">
        <v>329</v>
      </c>
      <c r="B4" s="63" t="s">
        <v>244</v>
      </c>
      <c r="C4" s="15"/>
      <c r="D4" s="25"/>
      <c r="E4" s="25"/>
      <c r="F4" s="26"/>
      <c r="G4" s="26"/>
      <c r="H4" s="27" t="s">
        <v>93</v>
      </c>
    </row>
    <row r="5" spans="1:8" ht="15.75">
      <c r="A5" s="28"/>
      <c r="B5" s="29"/>
      <c r="C5" s="624" t="s">
        <v>194</v>
      </c>
      <c r="D5" s="625"/>
      <c r="E5" s="626"/>
      <c r="F5" s="624" t="s">
        <v>195</v>
      </c>
      <c r="G5" s="625"/>
      <c r="H5" s="627"/>
    </row>
    <row r="6" spans="1:8" ht="15.75">
      <c r="A6" s="30" t="s">
        <v>26</v>
      </c>
      <c r="B6" s="31" t="s">
        <v>153</v>
      </c>
      <c r="C6" s="32" t="s">
        <v>27</v>
      </c>
      <c r="D6" s="32" t="s">
        <v>94</v>
      </c>
      <c r="E6" s="32" t="s">
        <v>68</v>
      </c>
      <c r="F6" s="32" t="s">
        <v>27</v>
      </c>
      <c r="G6" s="32" t="s">
        <v>94</v>
      </c>
      <c r="H6" s="33" t="s">
        <v>68</v>
      </c>
    </row>
    <row r="7" spans="1:8" ht="15.75">
      <c r="A7" s="30">
        <v>1</v>
      </c>
      <c r="B7" s="34" t="s">
        <v>154</v>
      </c>
      <c r="C7" s="215">
        <v>16740970.9</v>
      </c>
      <c r="D7" s="215">
        <v>16942929.000000004</v>
      </c>
      <c r="E7" s="216">
        <f>C7+D7</f>
        <v>33683899.900000006</v>
      </c>
      <c r="F7" s="217">
        <v>14721331.999999998</v>
      </c>
      <c r="G7" s="218">
        <v>28645640.600000016</v>
      </c>
      <c r="H7" s="219">
        <f>F7+G7</f>
        <v>43366972.600000016</v>
      </c>
    </row>
    <row r="8" spans="1:8" ht="15.75">
      <c r="A8" s="30">
        <v>2</v>
      </c>
      <c r="B8" s="34" t="s">
        <v>155</v>
      </c>
      <c r="C8" s="215">
        <v>18945572.640000001</v>
      </c>
      <c r="D8" s="215">
        <v>107922514.72</v>
      </c>
      <c r="E8" s="216">
        <f t="shared" ref="E8:E20" si="0">C8+D8</f>
        <v>126868087.36</v>
      </c>
      <c r="F8" s="217">
        <v>20637660.879999999</v>
      </c>
      <c r="G8" s="218">
        <v>152072001.21000001</v>
      </c>
      <c r="H8" s="219">
        <f t="shared" ref="H8:H40" si="1">F8+G8</f>
        <v>172709662.09</v>
      </c>
    </row>
    <row r="9" spans="1:8" ht="15.75">
      <c r="A9" s="30">
        <v>3</v>
      </c>
      <c r="B9" s="34" t="s">
        <v>156</v>
      </c>
      <c r="C9" s="215">
        <v>542879.86</v>
      </c>
      <c r="D9" s="215">
        <v>9365581.9900000002</v>
      </c>
      <c r="E9" s="216">
        <f t="shared" si="0"/>
        <v>9908461.8499999996</v>
      </c>
      <c r="F9" s="217">
        <v>307370.71999999997</v>
      </c>
      <c r="G9" s="218">
        <v>22876898.920000002</v>
      </c>
      <c r="H9" s="219">
        <f t="shared" si="1"/>
        <v>23184269.640000001</v>
      </c>
    </row>
    <row r="10" spans="1:8" ht="15.75">
      <c r="A10" s="30">
        <v>4</v>
      </c>
      <c r="B10" s="34" t="s">
        <v>185</v>
      </c>
      <c r="C10" s="215">
        <v>0</v>
      </c>
      <c r="D10" s="215">
        <v>0</v>
      </c>
      <c r="E10" s="216">
        <f t="shared" si="0"/>
        <v>0</v>
      </c>
      <c r="F10" s="217">
        <v>0</v>
      </c>
      <c r="G10" s="218">
        <v>0</v>
      </c>
      <c r="H10" s="219">
        <f t="shared" si="1"/>
        <v>0</v>
      </c>
    </row>
    <row r="11" spans="1:8" ht="15.75">
      <c r="A11" s="30">
        <v>5</v>
      </c>
      <c r="B11" s="34" t="s">
        <v>157</v>
      </c>
      <c r="C11" s="215">
        <v>153115320.19999999</v>
      </c>
      <c r="D11" s="215">
        <v>0</v>
      </c>
      <c r="E11" s="216">
        <f t="shared" si="0"/>
        <v>153115320.19999999</v>
      </c>
      <c r="F11" s="217">
        <v>122129070.13</v>
      </c>
      <c r="G11" s="218">
        <v>0</v>
      </c>
      <c r="H11" s="219">
        <f t="shared" si="1"/>
        <v>122129070.13</v>
      </c>
    </row>
    <row r="12" spans="1:8" ht="15.75">
      <c r="A12" s="30">
        <v>6.1</v>
      </c>
      <c r="B12" s="35" t="s">
        <v>158</v>
      </c>
      <c r="C12" s="215">
        <v>515504950.11000192</v>
      </c>
      <c r="D12" s="215">
        <v>529349001.71999925</v>
      </c>
      <c r="E12" s="216">
        <f t="shared" si="0"/>
        <v>1044853951.8300011</v>
      </c>
      <c r="F12" s="217">
        <v>384554294.04999816</v>
      </c>
      <c r="G12" s="218">
        <v>565413092.07000065</v>
      </c>
      <c r="H12" s="219">
        <f t="shared" si="1"/>
        <v>949967386.11999881</v>
      </c>
    </row>
    <row r="13" spans="1:8" ht="15.75">
      <c r="A13" s="30">
        <v>6.2</v>
      </c>
      <c r="B13" s="35" t="s">
        <v>159</v>
      </c>
      <c r="C13" s="215">
        <v>20261270.880000118</v>
      </c>
      <c r="D13" s="215">
        <v>27468381.120000016</v>
      </c>
      <c r="E13" s="216">
        <f t="shared" si="0"/>
        <v>47729652.000000134</v>
      </c>
      <c r="F13" s="217">
        <v>18099421.3800001</v>
      </c>
      <c r="G13" s="218">
        <v>35238630.490000002</v>
      </c>
      <c r="H13" s="219">
        <f t="shared" si="1"/>
        <v>53338051.870000102</v>
      </c>
    </row>
    <row r="14" spans="1:8" ht="15.75">
      <c r="A14" s="30">
        <v>6</v>
      </c>
      <c r="B14" s="34" t="s">
        <v>160</v>
      </c>
      <c r="C14" s="216">
        <f>C12-C13</f>
        <v>495243679.23000181</v>
      </c>
      <c r="D14" s="216">
        <f>D12-D13</f>
        <v>501880620.59999925</v>
      </c>
      <c r="E14" s="216">
        <f t="shared" si="0"/>
        <v>997124299.83000112</v>
      </c>
      <c r="F14" s="216">
        <f>F12-F13</f>
        <v>366454872.66999805</v>
      </c>
      <c r="G14" s="216">
        <f>G12-G13</f>
        <v>530174461.58000064</v>
      </c>
      <c r="H14" s="219">
        <f t="shared" si="1"/>
        <v>896629334.24999869</v>
      </c>
    </row>
    <row r="15" spans="1:8" ht="15.75">
      <c r="A15" s="30">
        <v>7</v>
      </c>
      <c r="B15" s="34" t="s">
        <v>161</v>
      </c>
      <c r="C15" s="215">
        <v>8297095.3600000301</v>
      </c>
      <c r="D15" s="215">
        <v>3882781.3899999945</v>
      </c>
      <c r="E15" s="216">
        <f t="shared" si="0"/>
        <v>12179876.750000024</v>
      </c>
      <c r="F15" s="217">
        <v>6679958.8899999661</v>
      </c>
      <c r="G15" s="218">
        <v>7017122.7099999925</v>
      </c>
      <c r="H15" s="219">
        <f t="shared" si="1"/>
        <v>13697081.599999959</v>
      </c>
    </row>
    <row r="16" spans="1:8" ht="15.75">
      <c r="A16" s="30">
        <v>8</v>
      </c>
      <c r="B16" s="34" t="s">
        <v>162</v>
      </c>
      <c r="C16" s="215">
        <v>4635228.3099999931</v>
      </c>
      <c r="D16" s="215">
        <v>0</v>
      </c>
      <c r="E16" s="216">
        <f t="shared" si="0"/>
        <v>4635228.3099999931</v>
      </c>
      <c r="F16" s="217">
        <v>3070297.77000002</v>
      </c>
      <c r="G16" s="218">
        <v>0</v>
      </c>
      <c r="H16" s="219">
        <f t="shared" si="1"/>
        <v>3070297.77000002</v>
      </c>
    </row>
    <row r="17" spans="1:8" ht="15.75">
      <c r="A17" s="30">
        <v>9</v>
      </c>
      <c r="B17" s="34" t="s">
        <v>163</v>
      </c>
      <c r="C17" s="215">
        <v>0</v>
      </c>
      <c r="D17" s="215">
        <v>0</v>
      </c>
      <c r="E17" s="216">
        <f t="shared" si="0"/>
        <v>0</v>
      </c>
      <c r="F17" s="217">
        <v>0</v>
      </c>
      <c r="G17" s="218">
        <v>0</v>
      </c>
      <c r="H17" s="219">
        <f t="shared" si="1"/>
        <v>0</v>
      </c>
    </row>
    <row r="18" spans="1:8" ht="15.75">
      <c r="A18" s="30">
        <v>10</v>
      </c>
      <c r="B18" s="34" t="s">
        <v>164</v>
      </c>
      <c r="C18" s="215">
        <v>46687861.470000021</v>
      </c>
      <c r="D18" s="215">
        <v>0</v>
      </c>
      <c r="E18" s="216">
        <f t="shared" si="0"/>
        <v>46687861.470000021</v>
      </c>
      <c r="F18" s="217">
        <v>46329030.339999989</v>
      </c>
      <c r="G18" s="218">
        <v>0</v>
      </c>
      <c r="H18" s="219">
        <f t="shared" si="1"/>
        <v>46329030.339999989</v>
      </c>
    </row>
    <row r="19" spans="1:8" ht="15.75">
      <c r="A19" s="30">
        <v>11</v>
      </c>
      <c r="B19" s="34" t="s">
        <v>165</v>
      </c>
      <c r="C19" s="215">
        <v>6987331.6239999998</v>
      </c>
      <c r="D19" s="215">
        <v>1038047.3800000001</v>
      </c>
      <c r="E19" s="216">
        <f t="shared" si="0"/>
        <v>8025379.0039999997</v>
      </c>
      <c r="F19" s="217">
        <v>12223844.362999998</v>
      </c>
      <c r="G19" s="218">
        <v>750224.07000000007</v>
      </c>
      <c r="H19" s="219">
        <f t="shared" si="1"/>
        <v>12974068.432999998</v>
      </c>
    </row>
    <row r="20" spans="1:8" ht="15.75">
      <c r="A20" s="30">
        <v>12</v>
      </c>
      <c r="B20" s="36" t="s">
        <v>166</v>
      </c>
      <c r="C20" s="216">
        <f>SUM(C7:C11)+SUM(C14:C19)</f>
        <v>751195939.59400177</v>
      </c>
      <c r="D20" s="216">
        <f>SUM(D7:D11)+SUM(D14:D19)</f>
        <v>641032475.07999921</v>
      </c>
      <c r="E20" s="216">
        <f t="shared" si="0"/>
        <v>1392228414.674001</v>
      </c>
      <c r="F20" s="216">
        <f>SUM(F7:F11)+SUM(F14:F19)</f>
        <v>592553437.76299798</v>
      </c>
      <c r="G20" s="216">
        <f>SUM(G7:G11)+SUM(G14:G19)</f>
        <v>741536349.09000075</v>
      </c>
      <c r="H20" s="219">
        <f t="shared" si="1"/>
        <v>1334089786.8529987</v>
      </c>
    </row>
    <row r="21" spans="1:8" ht="15.75">
      <c r="A21" s="30"/>
      <c r="B21" s="31" t="s">
        <v>183</v>
      </c>
      <c r="C21" s="220"/>
      <c r="D21" s="220"/>
      <c r="E21" s="220"/>
      <c r="F21" s="221"/>
      <c r="G21" s="222"/>
      <c r="H21" s="223"/>
    </row>
    <row r="22" spans="1:8" ht="15.75">
      <c r="A22" s="30">
        <v>13</v>
      </c>
      <c r="B22" s="34" t="s">
        <v>167</v>
      </c>
      <c r="C22" s="215">
        <v>3002532.98</v>
      </c>
      <c r="D22" s="215">
        <v>4525002.3600000003</v>
      </c>
      <c r="E22" s="216">
        <f>C22+D22</f>
        <v>7527535.3399999999</v>
      </c>
      <c r="F22" s="217">
        <v>2539.06</v>
      </c>
      <c r="G22" s="218">
        <v>61533.01</v>
      </c>
      <c r="H22" s="219">
        <f t="shared" si="1"/>
        <v>64072.07</v>
      </c>
    </row>
    <row r="23" spans="1:8" ht="15.75">
      <c r="A23" s="30">
        <v>14</v>
      </c>
      <c r="B23" s="34" t="s">
        <v>168</v>
      </c>
      <c r="C23" s="215">
        <v>82902090.160000205</v>
      </c>
      <c r="D23" s="215">
        <v>104136550.11009094</v>
      </c>
      <c r="E23" s="216">
        <f t="shared" ref="E23:E40" si="2">C23+D23</f>
        <v>187038640.27009115</v>
      </c>
      <c r="F23" s="217">
        <v>77528698.840000123</v>
      </c>
      <c r="G23" s="218">
        <v>153043270.86011034</v>
      </c>
      <c r="H23" s="219">
        <f t="shared" si="1"/>
        <v>230571969.70011047</v>
      </c>
    </row>
    <row r="24" spans="1:8" ht="15.75">
      <c r="A24" s="30">
        <v>15</v>
      </c>
      <c r="B24" s="34" t="s">
        <v>169</v>
      </c>
      <c r="C24" s="215">
        <v>96264458.819999948</v>
      </c>
      <c r="D24" s="215">
        <v>122845782.8200001</v>
      </c>
      <c r="E24" s="216">
        <f t="shared" si="2"/>
        <v>219110241.64000005</v>
      </c>
      <c r="F24" s="217">
        <v>74387570.36999996</v>
      </c>
      <c r="G24" s="218">
        <v>174621233.82999974</v>
      </c>
      <c r="H24" s="219">
        <f t="shared" si="1"/>
        <v>249008804.19999969</v>
      </c>
    </row>
    <row r="25" spans="1:8" ht="15.75">
      <c r="A25" s="30">
        <v>16</v>
      </c>
      <c r="B25" s="34" t="s">
        <v>170</v>
      </c>
      <c r="C25" s="215">
        <v>167846235.50000003</v>
      </c>
      <c r="D25" s="215">
        <v>252869557.97000009</v>
      </c>
      <c r="E25" s="216">
        <f t="shared" si="2"/>
        <v>420715793.47000015</v>
      </c>
      <c r="F25" s="217">
        <v>127603100.84</v>
      </c>
      <c r="G25" s="218">
        <v>257161792.57000035</v>
      </c>
      <c r="H25" s="219">
        <f t="shared" si="1"/>
        <v>384764893.41000032</v>
      </c>
    </row>
    <row r="26" spans="1:8" ht="15.75">
      <c r="A26" s="30">
        <v>17</v>
      </c>
      <c r="B26" s="34" t="s">
        <v>171</v>
      </c>
      <c r="C26" s="220">
        <v>0</v>
      </c>
      <c r="D26" s="220">
        <v>0</v>
      </c>
      <c r="E26" s="216">
        <f t="shared" si="2"/>
        <v>0</v>
      </c>
      <c r="F26" s="221">
        <v>0</v>
      </c>
      <c r="G26" s="222">
        <v>0</v>
      </c>
      <c r="H26" s="219">
        <f t="shared" si="1"/>
        <v>0</v>
      </c>
    </row>
    <row r="27" spans="1:8" ht="15.75">
      <c r="A27" s="30">
        <v>18</v>
      </c>
      <c r="B27" s="34" t="s">
        <v>172</v>
      </c>
      <c r="C27" s="215">
        <v>244316500.00000003</v>
      </c>
      <c r="D27" s="215">
        <v>49437246</v>
      </c>
      <c r="E27" s="216">
        <f t="shared" si="2"/>
        <v>293753746</v>
      </c>
      <c r="F27" s="217">
        <v>170027500</v>
      </c>
      <c r="G27" s="218">
        <v>64470108</v>
      </c>
      <c r="H27" s="219">
        <f t="shared" si="1"/>
        <v>234497608</v>
      </c>
    </row>
    <row r="28" spans="1:8" ht="15.75">
      <c r="A28" s="30">
        <v>19</v>
      </c>
      <c r="B28" s="34" t="s">
        <v>173</v>
      </c>
      <c r="C28" s="215">
        <v>4309753.3600000059</v>
      </c>
      <c r="D28" s="215">
        <v>2279771.29</v>
      </c>
      <c r="E28" s="216">
        <f t="shared" si="2"/>
        <v>6589524.650000006</v>
      </c>
      <c r="F28" s="217">
        <v>3101288.4700000007</v>
      </c>
      <c r="G28" s="218">
        <v>2968842.7500000014</v>
      </c>
      <c r="H28" s="219">
        <f t="shared" si="1"/>
        <v>6070131.2200000025</v>
      </c>
    </row>
    <row r="29" spans="1:8" ht="15.75">
      <c r="A29" s="30">
        <v>20</v>
      </c>
      <c r="B29" s="34" t="s">
        <v>95</v>
      </c>
      <c r="C29" s="215">
        <v>10374849.029999999</v>
      </c>
      <c r="D29" s="215">
        <v>12707125.890000001</v>
      </c>
      <c r="E29" s="216">
        <f t="shared" si="2"/>
        <v>23081974.920000002</v>
      </c>
      <c r="F29" s="217">
        <v>9716991.6599999927</v>
      </c>
      <c r="G29" s="218">
        <v>17635740.27</v>
      </c>
      <c r="H29" s="219">
        <f t="shared" si="1"/>
        <v>27352731.929999992</v>
      </c>
    </row>
    <row r="30" spans="1:8" ht="15.75">
      <c r="A30" s="30">
        <v>21</v>
      </c>
      <c r="B30" s="34" t="s">
        <v>174</v>
      </c>
      <c r="C30" s="215">
        <v>0</v>
      </c>
      <c r="D30" s="215">
        <v>63578573.359999999</v>
      </c>
      <c r="E30" s="216">
        <f t="shared" si="2"/>
        <v>63578573.359999999</v>
      </c>
      <c r="F30" s="217">
        <v>0</v>
      </c>
      <c r="G30" s="218">
        <v>61232587.399999999</v>
      </c>
      <c r="H30" s="219">
        <f t="shared" si="1"/>
        <v>61232587.399999999</v>
      </c>
    </row>
    <row r="31" spans="1:8" ht="15.75">
      <c r="A31" s="30">
        <v>22</v>
      </c>
      <c r="B31" s="36" t="s">
        <v>175</v>
      </c>
      <c r="C31" s="216">
        <f>SUM(C22:C30)</f>
        <v>609016419.85000014</v>
      </c>
      <c r="D31" s="216">
        <f>SUM(D22:D30)</f>
        <v>612379609.80009115</v>
      </c>
      <c r="E31" s="216">
        <f>C31+D31</f>
        <v>1221396029.6500912</v>
      </c>
      <c r="F31" s="216">
        <f>SUM(F22:F30)</f>
        <v>462367689.24000013</v>
      </c>
      <c r="G31" s="216">
        <f>SUM(G22:G30)</f>
        <v>731195108.69011033</v>
      </c>
      <c r="H31" s="219">
        <f t="shared" si="1"/>
        <v>1193562797.9301105</v>
      </c>
    </row>
    <row r="32" spans="1:8" ht="15.75">
      <c r="A32" s="30"/>
      <c r="B32" s="31" t="s">
        <v>184</v>
      </c>
      <c r="C32" s="220"/>
      <c r="D32" s="220"/>
      <c r="E32" s="215"/>
      <c r="F32" s="221"/>
      <c r="G32" s="222"/>
      <c r="H32" s="223"/>
    </row>
    <row r="33" spans="1:8" ht="15.75">
      <c r="A33" s="30">
        <v>23</v>
      </c>
      <c r="B33" s="34" t="s">
        <v>176</v>
      </c>
      <c r="C33" s="215">
        <v>121372000</v>
      </c>
      <c r="D33" s="220">
        <v>0</v>
      </c>
      <c r="E33" s="216">
        <f t="shared" si="2"/>
        <v>121372000</v>
      </c>
      <c r="F33" s="217">
        <v>121372000</v>
      </c>
      <c r="G33" s="222">
        <v>0</v>
      </c>
      <c r="H33" s="219">
        <f t="shared" si="1"/>
        <v>121372000</v>
      </c>
    </row>
    <row r="34" spans="1:8" ht="15.75">
      <c r="A34" s="30">
        <v>24</v>
      </c>
      <c r="B34" s="34" t="s">
        <v>177</v>
      </c>
      <c r="C34" s="215">
        <v>0</v>
      </c>
      <c r="D34" s="220">
        <v>0</v>
      </c>
      <c r="E34" s="216">
        <f t="shared" si="2"/>
        <v>0</v>
      </c>
      <c r="F34" s="217">
        <v>0</v>
      </c>
      <c r="G34" s="222">
        <v>0</v>
      </c>
      <c r="H34" s="219">
        <f t="shared" si="1"/>
        <v>0</v>
      </c>
    </row>
    <row r="35" spans="1:8" ht="15.75">
      <c r="A35" s="30">
        <v>25</v>
      </c>
      <c r="B35" s="35" t="s">
        <v>178</v>
      </c>
      <c r="C35" s="215">
        <v>0</v>
      </c>
      <c r="D35" s="220">
        <v>0</v>
      </c>
      <c r="E35" s="216">
        <f t="shared" si="2"/>
        <v>0</v>
      </c>
      <c r="F35" s="217">
        <v>0</v>
      </c>
      <c r="G35" s="222">
        <v>0</v>
      </c>
      <c r="H35" s="219">
        <f t="shared" si="1"/>
        <v>0</v>
      </c>
    </row>
    <row r="36" spans="1:8" ht="15.75">
      <c r="A36" s="30">
        <v>26</v>
      </c>
      <c r="B36" s="34" t="s">
        <v>179</v>
      </c>
      <c r="C36" s="215">
        <v>0</v>
      </c>
      <c r="D36" s="220">
        <v>0</v>
      </c>
      <c r="E36" s="216">
        <f t="shared" si="2"/>
        <v>0</v>
      </c>
      <c r="F36" s="217">
        <v>0</v>
      </c>
      <c r="G36" s="222">
        <v>0</v>
      </c>
      <c r="H36" s="219">
        <f t="shared" si="1"/>
        <v>0</v>
      </c>
    </row>
    <row r="37" spans="1:8" ht="15.75">
      <c r="A37" s="30">
        <v>27</v>
      </c>
      <c r="B37" s="34" t="s">
        <v>180</v>
      </c>
      <c r="C37" s="215">
        <v>0</v>
      </c>
      <c r="D37" s="220">
        <v>0</v>
      </c>
      <c r="E37" s="216">
        <f t="shared" si="2"/>
        <v>0</v>
      </c>
      <c r="F37" s="217">
        <v>0</v>
      </c>
      <c r="G37" s="222">
        <v>0</v>
      </c>
      <c r="H37" s="219">
        <f t="shared" si="1"/>
        <v>0</v>
      </c>
    </row>
    <row r="38" spans="1:8" ht="15.75">
      <c r="A38" s="30">
        <v>28</v>
      </c>
      <c r="B38" s="34" t="s">
        <v>181</v>
      </c>
      <c r="C38" s="215">
        <v>49460384.989999995</v>
      </c>
      <c r="D38" s="220">
        <v>0</v>
      </c>
      <c r="E38" s="216">
        <f t="shared" si="2"/>
        <v>49460384.989999995</v>
      </c>
      <c r="F38" s="217">
        <v>19154988.900000006</v>
      </c>
      <c r="G38" s="222">
        <v>0</v>
      </c>
      <c r="H38" s="219">
        <f t="shared" si="1"/>
        <v>19154988.900000006</v>
      </c>
    </row>
    <row r="39" spans="1:8" ht="15.75">
      <c r="A39" s="30">
        <v>29</v>
      </c>
      <c r="B39" s="34" t="s">
        <v>196</v>
      </c>
      <c r="C39" s="215">
        <v>0</v>
      </c>
      <c r="D39" s="220">
        <v>0</v>
      </c>
      <c r="E39" s="216">
        <f t="shared" si="2"/>
        <v>0</v>
      </c>
      <c r="F39" s="217">
        <v>0</v>
      </c>
      <c r="G39" s="222">
        <v>0</v>
      </c>
      <c r="H39" s="219">
        <f t="shared" si="1"/>
        <v>0</v>
      </c>
    </row>
    <row r="40" spans="1:8" ht="15.75">
      <c r="A40" s="30">
        <v>30</v>
      </c>
      <c r="B40" s="36" t="s">
        <v>182</v>
      </c>
      <c r="C40" s="215">
        <v>170832384.99000001</v>
      </c>
      <c r="D40" s="220">
        <v>0</v>
      </c>
      <c r="E40" s="216">
        <f t="shared" si="2"/>
        <v>170832384.99000001</v>
      </c>
      <c r="F40" s="217">
        <v>140526988.90000001</v>
      </c>
      <c r="G40" s="222">
        <v>0</v>
      </c>
      <c r="H40" s="219">
        <f t="shared" si="1"/>
        <v>140526988.90000001</v>
      </c>
    </row>
    <row r="41" spans="1:8" ht="16.5" thickBot="1">
      <c r="A41" s="37">
        <v>31</v>
      </c>
      <c r="B41" s="38" t="s">
        <v>197</v>
      </c>
      <c r="C41" s="224">
        <f>C31+C40</f>
        <v>779848804.84000015</v>
      </c>
      <c r="D41" s="224">
        <f>D31+D40</f>
        <v>612379609.80009115</v>
      </c>
      <c r="E41" s="224">
        <f>C41+D41</f>
        <v>1392228414.6400914</v>
      </c>
      <c r="F41" s="224">
        <f>F31+F40</f>
        <v>602894678.1400001</v>
      </c>
      <c r="G41" s="224">
        <f>G31+G40</f>
        <v>731195108.69011033</v>
      </c>
      <c r="H41" s="225">
        <f>F41+G41</f>
        <v>1334089786.8301105</v>
      </c>
    </row>
    <row r="43" spans="1:8">
      <c r="B43" s="39"/>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35">
        <f>'1. key ratios'!B2</f>
        <v>44742</v>
      </c>
      <c r="C2" s="13"/>
    </row>
    <row r="3" spans="1:8" ht="15.75">
      <c r="A3" s="14"/>
      <c r="B3" s="13"/>
      <c r="C3" s="13"/>
    </row>
    <row r="4" spans="1:8" ht="16.5" thickBot="1">
      <c r="A4" s="15" t="s">
        <v>330</v>
      </c>
      <c r="B4" s="24" t="s">
        <v>222</v>
      </c>
      <c r="C4" s="26"/>
      <c r="D4" s="26"/>
      <c r="E4" s="26"/>
      <c r="F4" s="15"/>
      <c r="G4" s="15"/>
      <c r="H4" s="40" t="s">
        <v>93</v>
      </c>
    </row>
    <row r="5" spans="1:8" ht="15.75">
      <c r="A5" s="112"/>
      <c r="B5" s="113"/>
      <c r="C5" s="624" t="s">
        <v>194</v>
      </c>
      <c r="D5" s="625"/>
      <c r="E5" s="626"/>
      <c r="F5" s="624" t="s">
        <v>195</v>
      </c>
      <c r="G5" s="625"/>
      <c r="H5" s="627"/>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6">
        <v>846702.12</v>
      </c>
      <c r="D8" s="226">
        <v>-138544.91999999998</v>
      </c>
      <c r="E8" s="216">
        <f>C8+D8</f>
        <v>708157.2</v>
      </c>
      <c r="F8" s="226">
        <v>560358.27</v>
      </c>
      <c r="G8" s="226">
        <v>-279207.08999999997</v>
      </c>
      <c r="H8" s="227">
        <f>F8+G8</f>
        <v>281151.18000000005</v>
      </c>
    </row>
    <row r="9" spans="1:8" ht="15.75">
      <c r="A9" s="116">
        <v>2</v>
      </c>
      <c r="B9" s="46" t="s">
        <v>98</v>
      </c>
      <c r="C9" s="228">
        <f>SUM(C10:C18)</f>
        <v>33958347.649999999</v>
      </c>
      <c r="D9" s="228">
        <f>SUM(D10:D18)</f>
        <v>18443851.630000003</v>
      </c>
      <c r="E9" s="216">
        <f t="shared" ref="E9:E67" si="0">C9+D9</f>
        <v>52402199.280000001</v>
      </c>
      <c r="F9" s="228">
        <f>SUM(F10:F18)</f>
        <v>23363666.130000003</v>
      </c>
      <c r="G9" s="228">
        <f>SUM(G10:G18)</f>
        <v>21147304.579999998</v>
      </c>
      <c r="H9" s="227">
        <f t="shared" ref="H9:H67" si="1">F9+G9</f>
        <v>44510970.710000001</v>
      </c>
    </row>
    <row r="10" spans="1:8" ht="15.75">
      <c r="A10" s="116">
        <v>2.1</v>
      </c>
      <c r="B10" s="47" t="s">
        <v>99</v>
      </c>
      <c r="C10" s="226">
        <v>0</v>
      </c>
      <c r="D10" s="226">
        <v>0</v>
      </c>
      <c r="E10" s="216">
        <f t="shared" si="0"/>
        <v>0</v>
      </c>
      <c r="F10" s="226">
        <v>0</v>
      </c>
      <c r="G10" s="226">
        <v>0</v>
      </c>
      <c r="H10" s="227">
        <f t="shared" si="1"/>
        <v>0</v>
      </c>
    </row>
    <row r="11" spans="1:8" ht="15.75">
      <c r="A11" s="116">
        <v>2.2000000000000002</v>
      </c>
      <c r="B11" s="47" t="s">
        <v>100</v>
      </c>
      <c r="C11" s="226">
        <v>8609377.7299999986</v>
      </c>
      <c r="D11" s="226">
        <v>6251151.1500000004</v>
      </c>
      <c r="E11" s="216">
        <f t="shared" si="0"/>
        <v>14860528.879999999</v>
      </c>
      <c r="F11" s="226">
        <v>5118355.1800000006</v>
      </c>
      <c r="G11" s="226">
        <v>7972518.4799999995</v>
      </c>
      <c r="H11" s="227">
        <f t="shared" si="1"/>
        <v>13090873.66</v>
      </c>
    </row>
    <row r="12" spans="1:8" ht="15.75">
      <c r="A12" s="116">
        <v>2.2999999999999998</v>
      </c>
      <c r="B12" s="47" t="s">
        <v>101</v>
      </c>
      <c r="C12" s="226">
        <v>0</v>
      </c>
      <c r="D12" s="226">
        <v>646449.46</v>
      </c>
      <c r="E12" s="216">
        <f t="shared" si="0"/>
        <v>646449.46</v>
      </c>
      <c r="F12" s="226">
        <v>0</v>
      </c>
      <c r="G12" s="226">
        <v>406010.13</v>
      </c>
      <c r="H12" s="227">
        <f t="shared" si="1"/>
        <v>406010.13</v>
      </c>
    </row>
    <row r="13" spans="1:8" ht="15.75">
      <c r="A13" s="116">
        <v>2.4</v>
      </c>
      <c r="B13" s="47" t="s">
        <v>102</v>
      </c>
      <c r="C13" s="226">
        <v>724699.15</v>
      </c>
      <c r="D13" s="226">
        <v>116342.59</v>
      </c>
      <c r="E13" s="216">
        <f t="shared" si="0"/>
        <v>841041.74</v>
      </c>
      <c r="F13" s="226">
        <v>298361.62</v>
      </c>
      <c r="G13" s="226">
        <v>62320.27</v>
      </c>
      <c r="H13" s="227">
        <f t="shared" si="1"/>
        <v>360681.89</v>
      </c>
    </row>
    <row r="14" spans="1:8" ht="15.75">
      <c r="A14" s="116">
        <v>2.5</v>
      </c>
      <c r="B14" s="47" t="s">
        <v>103</v>
      </c>
      <c r="C14" s="226">
        <v>619877.23999999987</v>
      </c>
      <c r="D14" s="226">
        <v>3553315.28</v>
      </c>
      <c r="E14" s="216">
        <f t="shared" si="0"/>
        <v>4173192.5199999996</v>
      </c>
      <c r="F14" s="226">
        <v>407361.61999999994</v>
      </c>
      <c r="G14" s="226">
        <v>2876042.4399999995</v>
      </c>
      <c r="H14" s="227">
        <f t="shared" si="1"/>
        <v>3283404.0599999996</v>
      </c>
    </row>
    <row r="15" spans="1:8" ht="15.75">
      <c r="A15" s="116">
        <v>2.6</v>
      </c>
      <c r="B15" s="47" t="s">
        <v>104</v>
      </c>
      <c r="C15" s="226">
        <v>9200.4</v>
      </c>
      <c r="D15" s="226">
        <v>8742.99</v>
      </c>
      <c r="E15" s="216">
        <f t="shared" si="0"/>
        <v>17943.39</v>
      </c>
      <c r="F15" s="226">
        <v>10932.220000000001</v>
      </c>
      <c r="G15" s="226">
        <v>12609.2</v>
      </c>
      <c r="H15" s="227">
        <f t="shared" si="1"/>
        <v>23541.420000000002</v>
      </c>
    </row>
    <row r="16" spans="1:8" ht="15.75">
      <c r="A16" s="116">
        <v>2.7</v>
      </c>
      <c r="B16" s="47" t="s">
        <v>105</v>
      </c>
      <c r="C16" s="226">
        <v>62484.740000000005</v>
      </c>
      <c r="D16" s="226">
        <v>0</v>
      </c>
      <c r="E16" s="216">
        <f t="shared" si="0"/>
        <v>62484.740000000005</v>
      </c>
      <c r="F16" s="226">
        <v>4601.87</v>
      </c>
      <c r="G16" s="226">
        <v>0</v>
      </c>
      <c r="H16" s="227">
        <f t="shared" si="1"/>
        <v>4601.87</v>
      </c>
    </row>
    <row r="17" spans="1:8" ht="15.75">
      <c r="A17" s="116">
        <v>2.8</v>
      </c>
      <c r="B17" s="47" t="s">
        <v>106</v>
      </c>
      <c r="C17" s="226">
        <v>21080559.18</v>
      </c>
      <c r="D17" s="226">
        <v>7414122.6999999993</v>
      </c>
      <c r="E17" s="216">
        <f t="shared" si="0"/>
        <v>28494681.879999999</v>
      </c>
      <c r="F17" s="226">
        <v>14856457.670000002</v>
      </c>
      <c r="G17" s="226">
        <v>9193174.8300000001</v>
      </c>
      <c r="H17" s="227">
        <f t="shared" si="1"/>
        <v>24049632.5</v>
      </c>
    </row>
    <row r="18" spans="1:8" ht="15.75">
      <c r="A18" s="116">
        <v>2.9</v>
      </c>
      <c r="B18" s="47" t="s">
        <v>107</v>
      </c>
      <c r="C18" s="226">
        <v>2852149.2100000004</v>
      </c>
      <c r="D18" s="226">
        <v>453727.45999999996</v>
      </c>
      <c r="E18" s="216">
        <f t="shared" si="0"/>
        <v>3305876.6700000004</v>
      </c>
      <c r="F18" s="226">
        <v>2667595.9499999997</v>
      </c>
      <c r="G18" s="226">
        <v>624629.23</v>
      </c>
      <c r="H18" s="227">
        <f t="shared" si="1"/>
        <v>3292225.1799999997</v>
      </c>
    </row>
    <row r="19" spans="1:8" ht="15.75">
      <c r="A19" s="116">
        <v>3</v>
      </c>
      <c r="B19" s="46" t="s">
        <v>108</v>
      </c>
      <c r="C19" s="226">
        <v>702598.39999999967</v>
      </c>
      <c r="D19" s="226">
        <v>517501.3</v>
      </c>
      <c r="E19" s="216">
        <f t="shared" si="0"/>
        <v>1220099.6999999997</v>
      </c>
      <c r="F19" s="226">
        <v>500540.21</v>
      </c>
      <c r="G19" s="226">
        <v>630733.68000000005</v>
      </c>
      <c r="H19" s="227">
        <f t="shared" si="1"/>
        <v>1131273.8900000001</v>
      </c>
    </row>
    <row r="20" spans="1:8" ht="15.75">
      <c r="A20" s="116">
        <v>4</v>
      </c>
      <c r="B20" s="46" t="s">
        <v>109</v>
      </c>
      <c r="C20" s="226">
        <v>6853438.0499999998</v>
      </c>
      <c r="D20" s="226">
        <v>0</v>
      </c>
      <c r="E20" s="216">
        <f t="shared" si="0"/>
        <v>6853438.0499999998</v>
      </c>
      <c r="F20" s="226">
        <v>3961682.07</v>
      </c>
      <c r="G20" s="226">
        <v>0</v>
      </c>
      <c r="H20" s="227">
        <f t="shared" si="1"/>
        <v>3961682.07</v>
      </c>
    </row>
    <row r="21" spans="1:8" ht="15.75">
      <c r="A21" s="116">
        <v>5</v>
      </c>
      <c r="B21" s="46" t="s">
        <v>110</v>
      </c>
      <c r="C21" s="226">
        <v>590785.75</v>
      </c>
      <c r="D21" s="226">
        <v>252042.21</v>
      </c>
      <c r="E21" s="216">
        <f t="shared" si="0"/>
        <v>842827.96</v>
      </c>
      <c r="F21" s="226">
        <v>383870.38</v>
      </c>
      <c r="G21" s="226">
        <v>234523.34999999998</v>
      </c>
      <c r="H21" s="227">
        <f>F21+G21</f>
        <v>618393.73</v>
      </c>
    </row>
    <row r="22" spans="1:8" ht="15.75">
      <c r="A22" s="116">
        <v>6</v>
      </c>
      <c r="B22" s="48" t="s">
        <v>111</v>
      </c>
      <c r="C22" s="228">
        <f>C8+C9+C19+C20+C21</f>
        <v>42951871.969999991</v>
      </c>
      <c r="D22" s="228">
        <f>D8+D9+D19+D20+D21</f>
        <v>19074850.220000003</v>
      </c>
      <c r="E22" s="216">
        <f>C22+D22</f>
        <v>62026722.189999998</v>
      </c>
      <c r="F22" s="228">
        <f>F8+F9+F19+F20+F21</f>
        <v>28770117.060000002</v>
      </c>
      <c r="G22" s="228">
        <f>G8+G9+G19+G20+G21</f>
        <v>21733354.52</v>
      </c>
      <c r="H22" s="227">
        <f>F22+G22</f>
        <v>50503471.579999998</v>
      </c>
    </row>
    <row r="23" spans="1:8" ht="15.75">
      <c r="A23" s="116"/>
      <c r="B23" s="44" t="s">
        <v>90</v>
      </c>
      <c r="C23" s="226"/>
      <c r="D23" s="226"/>
      <c r="E23" s="215"/>
      <c r="F23" s="226"/>
      <c r="G23" s="226"/>
      <c r="H23" s="229"/>
    </row>
    <row r="24" spans="1:8" ht="15.75">
      <c r="A24" s="116">
        <v>7</v>
      </c>
      <c r="B24" s="46" t="s">
        <v>112</v>
      </c>
      <c r="C24" s="226">
        <v>5586090.4000000004</v>
      </c>
      <c r="D24" s="226">
        <v>875493.01</v>
      </c>
      <c r="E24" s="216">
        <f t="shared" si="0"/>
        <v>6461583.4100000001</v>
      </c>
      <c r="F24" s="226">
        <v>3585430.1399999997</v>
      </c>
      <c r="G24" s="226">
        <v>1748504.8399999999</v>
      </c>
      <c r="H24" s="227">
        <f t="shared" si="1"/>
        <v>5333934.9799999995</v>
      </c>
    </row>
    <row r="25" spans="1:8" ht="15.75">
      <c r="A25" s="116">
        <v>8</v>
      </c>
      <c r="B25" s="46" t="s">
        <v>113</v>
      </c>
      <c r="C25" s="226">
        <v>8368312.330000001</v>
      </c>
      <c r="D25" s="226">
        <v>3695563.63</v>
      </c>
      <c r="E25" s="216">
        <f t="shared" si="0"/>
        <v>12063875.960000001</v>
      </c>
      <c r="F25" s="226">
        <v>7624705.2299999995</v>
      </c>
      <c r="G25" s="226">
        <v>5000956.22</v>
      </c>
      <c r="H25" s="227">
        <f t="shared" si="1"/>
        <v>12625661.449999999</v>
      </c>
    </row>
    <row r="26" spans="1:8" ht="15.75">
      <c r="A26" s="116">
        <v>9</v>
      </c>
      <c r="B26" s="46" t="s">
        <v>114</v>
      </c>
      <c r="C26" s="226">
        <v>1702.74</v>
      </c>
      <c r="D26" s="226">
        <v>12572.55</v>
      </c>
      <c r="E26" s="216">
        <f t="shared" si="0"/>
        <v>14275.289999999999</v>
      </c>
      <c r="F26" s="226">
        <v>4730.13</v>
      </c>
      <c r="G26" s="226">
        <v>66537.5</v>
      </c>
      <c r="H26" s="227">
        <f t="shared" si="1"/>
        <v>71267.63</v>
      </c>
    </row>
    <row r="27" spans="1:8" ht="15.75">
      <c r="A27" s="116">
        <v>10</v>
      </c>
      <c r="B27" s="46" t="s">
        <v>115</v>
      </c>
      <c r="C27" s="226">
        <v>0</v>
      </c>
      <c r="D27" s="226">
        <v>0</v>
      </c>
      <c r="E27" s="216">
        <f t="shared" si="0"/>
        <v>0</v>
      </c>
      <c r="F27" s="226">
        <v>0</v>
      </c>
      <c r="G27" s="226">
        <v>0</v>
      </c>
      <c r="H27" s="227">
        <f t="shared" si="1"/>
        <v>0</v>
      </c>
    </row>
    <row r="28" spans="1:8" ht="15.75">
      <c r="A28" s="116">
        <v>11</v>
      </c>
      <c r="B28" s="46" t="s">
        <v>116</v>
      </c>
      <c r="C28" s="226">
        <v>11549282.959999999</v>
      </c>
      <c r="D28" s="226">
        <v>3327736.5500000003</v>
      </c>
      <c r="E28" s="216">
        <f t="shared" si="0"/>
        <v>14877019.51</v>
      </c>
      <c r="F28" s="226">
        <v>5155455.9600000009</v>
      </c>
      <c r="G28" s="226">
        <v>3679166.2199999997</v>
      </c>
      <c r="H28" s="227">
        <f t="shared" si="1"/>
        <v>8834622.1799999997</v>
      </c>
    </row>
    <row r="29" spans="1:8" ht="15.75">
      <c r="A29" s="116">
        <v>12</v>
      </c>
      <c r="B29" s="46" t="s">
        <v>117</v>
      </c>
      <c r="C29" s="226">
        <v>0</v>
      </c>
      <c r="D29" s="226">
        <v>0</v>
      </c>
      <c r="E29" s="216">
        <f t="shared" si="0"/>
        <v>0</v>
      </c>
      <c r="F29" s="226">
        <v>0</v>
      </c>
      <c r="G29" s="226">
        <v>0</v>
      </c>
      <c r="H29" s="227">
        <f t="shared" si="1"/>
        <v>0</v>
      </c>
    </row>
    <row r="30" spans="1:8" ht="15.75">
      <c r="A30" s="116">
        <v>13</v>
      </c>
      <c r="B30" s="49" t="s">
        <v>118</v>
      </c>
      <c r="C30" s="228">
        <f>SUM(C24:C29)</f>
        <v>25505388.43</v>
      </c>
      <c r="D30" s="228">
        <f>SUM(D24:D29)</f>
        <v>7911365.7400000002</v>
      </c>
      <c r="E30" s="216">
        <f t="shared" si="0"/>
        <v>33416754.170000002</v>
      </c>
      <c r="F30" s="228">
        <f>SUM(F24:F29)</f>
        <v>16370321.460000001</v>
      </c>
      <c r="G30" s="228">
        <f>SUM(G24:G29)</f>
        <v>10495164.779999999</v>
      </c>
      <c r="H30" s="227">
        <f t="shared" si="1"/>
        <v>26865486.240000002</v>
      </c>
    </row>
    <row r="31" spans="1:8" ht="15.75">
      <c r="A31" s="116">
        <v>14</v>
      </c>
      <c r="B31" s="49" t="s">
        <v>119</v>
      </c>
      <c r="C31" s="228">
        <f>C22-C30</f>
        <v>17446483.539999992</v>
      </c>
      <c r="D31" s="228">
        <f>D22-D30</f>
        <v>11163484.480000002</v>
      </c>
      <c r="E31" s="216">
        <f t="shared" si="0"/>
        <v>28609968.019999996</v>
      </c>
      <c r="F31" s="228">
        <f>F22-F30</f>
        <v>12399795.600000001</v>
      </c>
      <c r="G31" s="228">
        <f>G22-G30</f>
        <v>11238189.74</v>
      </c>
      <c r="H31" s="227">
        <f t="shared" si="1"/>
        <v>23637985.340000004</v>
      </c>
    </row>
    <row r="32" spans="1:8">
      <c r="A32" s="116"/>
      <c r="B32" s="44"/>
      <c r="C32" s="230"/>
      <c r="D32" s="230"/>
      <c r="E32" s="230"/>
      <c r="F32" s="230"/>
      <c r="G32" s="230"/>
      <c r="H32" s="231"/>
    </row>
    <row r="33" spans="1:8" ht="15.75">
      <c r="A33" s="116"/>
      <c r="B33" s="44" t="s">
        <v>120</v>
      </c>
      <c r="C33" s="226">
        <v>0</v>
      </c>
      <c r="D33" s="226">
        <v>0</v>
      </c>
      <c r="E33" s="215"/>
      <c r="F33" s="226"/>
      <c r="G33" s="226"/>
      <c r="H33" s="229"/>
    </row>
    <row r="34" spans="1:8" ht="15.75">
      <c r="A34" s="116">
        <v>15</v>
      </c>
      <c r="B34" s="43" t="s">
        <v>91</v>
      </c>
      <c r="C34" s="228">
        <f>C35-C36</f>
        <v>1423888.2199999993</v>
      </c>
      <c r="D34" s="228">
        <f>D35-D36</f>
        <v>410258.25</v>
      </c>
      <c r="E34" s="216">
        <f t="shared" si="0"/>
        <v>1834146.4699999993</v>
      </c>
      <c r="F34" s="228">
        <f>F35-F36</f>
        <v>1164303.4000000008</v>
      </c>
      <c r="G34" s="228">
        <f>G35-G36</f>
        <v>367010.69000000018</v>
      </c>
      <c r="H34" s="227">
        <f t="shared" si="1"/>
        <v>1531314.090000001</v>
      </c>
    </row>
    <row r="35" spans="1:8" ht="15.75">
      <c r="A35" s="116">
        <v>15.1</v>
      </c>
      <c r="B35" s="47" t="s">
        <v>121</v>
      </c>
      <c r="C35" s="226">
        <v>2639065.4299999992</v>
      </c>
      <c r="D35" s="226">
        <v>1319215.95</v>
      </c>
      <c r="E35" s="216">
        <f t="shared" si="0"/>
        <v>3958281.379999999</v>
      </c>
      <c r="F35" s="226">
        <v>2255423.3000000007</v>
      </c>
      <c r="G35" s="226">
        <v>1318822.0000000002</v>
      </c>
      <c r="H35" s="227">
        <f t="shared" si="1"/>
        <v>3574245.3000000007</v>
      </c>
    </row>
    <row r="36" spans="1:8" ht="15.75">
      <c r="A36" s="116">
        <v>15.2</v>
      </c>
      <c r="B36" s="47" t="s">
        <v>122</v>
      </c>
      <c r="C36" s="226">
        <v>1215177.21</v>
      </c>
      <c r="D36" s="226">
        <v>908957.7</v>
      </c>
      <c r="E36" s="216">
        <f t="shared" si="0"/>
        <v>2124134.91</v>
      </c>
      <c r="F36" s="226">
        <v>1091119.8999999999</v>
      </c>
      <c r="G36" s="226">
        <v>951811.31</v>
      </c>
      <c r="H36" s="227">
        <f t="shared" si="1"/>
        <v>2042931.21</v>
      </c>
    </row>
    <row r="37" spans="1:8" ht="15.75">
      <c r="A37" s="116">
        <v>16</v>
      </c>
      <c r="B37" s="46" t="s">
        <v>123</v>
      </c>
      <c r="C37" s="226">
        <v>0</v>
      </c>
      <c r="D37" s="226">
        <v>0</v>
      </c>
      <c r="E37" s="216">
        <f t="shared" si="0"/>
        <v>0</v>
      </c>
      <c r="F37" s="226">
        <v>0</v>
      </c>
      <c r="G37" s="226">
        <v>0</v>
      </c>
      <c r="H37" s="227">
        <f t="shared" si="1"/>
        <v>0</v>
      </c>
    </row>
    <row r="38" spans="1:8" ht="15.75">
      <c r="A38" s="116">
        <v>17</v>
      </c>
      <c r="B38" s="46" t="s">
        <v>124</v>
      </c>
      <c r="C38" s="226">
        <v>0</v>
      </c>
      <c r="D38" s="226">
        <v>0</v>
      </c>
      <c r="E38" s="216">
        <f t="shared" si="0"/>
        <v>0</v>
      </c>
      <c r="F38" s="226">
        <v>0</v>
      </c>
      <c r="G38" s="226">
        <v>0</v>
      </c>
      <c r="H38" s="227">
        <f t="shared" si="1"/>
        <v>0</v>
      </c>
    </row>
    <row r="39" spans="1:8" ht="15.75">
      <c r="A39" s="116">
        <v>18</v>
      </c>
      <c r="B39" s="46" t="s">
        <v>125</v>
      </c>
      <c r="C39" s="226">
        <v>0</v>
      </c>
      <c r="D39" s="226">
        <v>0</v>
      </c>
      <c r="E39" s="216">
        <f t="shared" si="0"/>
        <v>0</v>
      </c>
      <c r="F39" s="226">
        <v>0</v>
      </c>
      <c r="G39" s="226">
        <v>0</v>
      </c>
      <c r="H39" s="227">
        <f t="shared" si="1"/>
        <v>0</v>
      </c>
    </row>
    <row r="40" spans="1:8" ht="15.75">
      <c r="A40" s="116">
        <v>19</v>
      </c>
      <c r="B40" s="46" t="s">
        <v>126</v>
      </c>
      <c r="C40" s="226">
        <v>6316464.04</v>
      </c>
      <c r="D40" s="226">
        <v>0</v>
      </c>
      <c r="E40" s="216">
        <f t="shared" si="0"/>
        <v>6316464.04</v>
      </c>
      <c r="F40" s="226">
        <v>3638531.2700000009</v>
      </c>
      <c r="G40" s="226">
        <v>0</v>
      </c>
      <c r="H40" s="227">
        <f t="shared" si="1"/>
        <v>3638531.2700000009</v>
      </c>
    </row>
    <row r="41" spans="1:8" ht="15.75">
      <c r="A41" s="116">
        <v>20</v>
      </c>
      <c r="B41" s="46" t="s">
        <v>127</v>
      </c>
      <c r="C41" s="226">
        <v>-6717783.6400000006</v>
      </c>
      <c r="D41" s="226">
        <v>0</v>
      </c>
      <c r="E41" s="216">
        <f t="shared" si="0"/>
        <v>-6717783.6400000006</v>
      </c>
      <c r="F41" s="226">
        <v>-3467428.5600000005</v>
      </c>
      <c r="G41" s="226">
        <v>0</v>
      </c>
      <c r="H41" s="227">
        <f t="shared" si="1"/>
        <v>-3467428.5600000005</v>
      </c>
    </row>
    <row r="42" spans="1:8" ht="15.75">
      <c r="A42" s="116">
        <v>21</v>
      </c>
      <c r="B42" s="46" t="s">
        <v>128</v>
      </c>
      <c r="C42" s="226">
        <v>-119822.35</v>
      </c>
      <c r="D42" s="226">
        <v>0</v>
      </c>
      <c r="E42" s="216">
        <f t="shared" si="0"/>
        <v>-119822.35</v>
      </c>
      <c r="F42" s="226">
        <v>137205.20000000001</v>
      </c>
      <c r="G42" s="226">
        <v>0</v>
      </c>
      <c r="H42" s="227">
        <f t="shared" si="1"/>
        <v>137205.20000000001</v>
      </c>
    </row>
    <row r="43" spans="1:8" ht="15.75">
      <c r="A43" s="116">
        <v>22</v>
      </c>
      <c r="B43" s="46" t="s">
        <v>129</v>
      </c>
      <c r="C43" s="226">
        <v>0</v>
      </c>
      <c r="D43" s="226">
        <v>20538.259999999998</v>
      </c>
      <c r="E43" s="216">
        <f t="shared" si="0"/>
        <v>20538.259999999998</v>
      </c>
      <c r="F43" s="226">
        <v>218.4</v>
      </c>
      <c r="G43" s="226">
        <v>3559.6800000000003</v>
      </c>
      <c r="H43" s="227">
        <f t="shared" si="1"/>
        <v>3778.0800000000004</v>
      </c>
    </row>
    <row r="44" spans="1:8" ht="15.75">
      <c r="A44" s="116">
        <v>23</v>
      </c>
      <c r="B44" s="46" t="s">
        <v>130</v>
      </c>
      <c r="C44" s="226">
        <v>20214.489999999998</v>
      </c>
      <c r="D44" s="226">
        <v>69972.3</v>
      </c>
      <c r="E44" s="216">
        <f t="shared" si="0"/>
        <v>90186.790000000008</v>
      </c>
      <c r="F44" s="226">
        <v>18212.970000000005</v>
      </c>
      <c r="G44" s="226">
        <v>67706.149999999994</v>
      </c>
      <c r="H44" s="227">
        <f t="shared" si="1"/>
        <v>85919.12</v>
      </c>
    </row>
    <row r="45" spans="1:8" ht="15.75">
      <c r="A45" s="116">
        <v>24</v>
      </c>
      <c r="B45" s="49" t="s">
        <v>131</v>
      </c>
      <c r="C45" s="228">
        <f>C34+C37+C38+C39+C40+C41+C42+C43+C44</f>
        <v>922960.75999999919</v>
      </c>
      <c r="D45" s="228">
        <f>D34+D37+D38+D39+D40+D41+D42+D43+D44</f>
        <v>500768.81</v>
      </c>
      <c r="E45" s="216">
        <f t="shared" si="0"/>
        <v>1423729.5699999991</v>
      </c>
      <c r="F45" s="228">
        <f>F34+F37+F38+F39+F40+F41+F42+F43+F44</f>
        <v>1491042.6800000011</v>
      </c>
      <c r="G45" s="228">
        <f>G34+G37+G38+G39+G40+G41+G42+G43+G44</f>
        <v>438276.52000000014</v>
      </c>
      <c r="H45" s="227">
        <f t="shared" si="1"/>
        <v>1929319.2000000011</v>
      </c>
    </row>
    <row r="46" spans="1:8">
      <c r="A46" s="116"/>
      <c r="B46" s="44" t="s">
        <v>132</v>
      </c>
      <c r="C46" s="226"/>
      <c r="D46" s="226"/>
      <c r="E46" s="226"/>
      <c r="F46" s="226"/>
      <c r="G46" s="226"/>
      <c r="H46" s="232"/>
    </row>
    <row r="47" spans="1:8" ht="15.75">
      <c r="A47" s="116">
        <v>25</v>
      </c>
      <c r="B47" s="46" t="s">
        <v>133</v>
      </c>
      <c r="C47" s="226">
        <v>554974.12</v>
      </c>
      <c r="D47" s="226">
        <v>228345.94</v>
      </c>
      <c r="E47" s="216">
        <f t="shared" si="0"/>
        <v>783320.06</v>
      </c>
      <c r="F47" s="226">
        <v>403370.13</v>
      </c>
      <c r="G47" s="226">
        <v>254228.71</v>
      </c>
      <c r="H47" s="227">
        <f t="shared" si="1"/>
        <v>657598.84</v>
      </c>
    </row>
    <row r="48" spans="1:8" ht="15.75">
      <c r="A48" s="116">
        <v>26</v>
      </c>
      <c r="B48" s="46" t="s">
        <v>134</v>
      </c>
      <c r="C48" s="226">
        <v>635594.82999999996</v>
      </c>
      <c r="D48" s="226">
        <v>71797.850000000006</v>
      </c>
      <c r="E48" s="216">
        <f t="shared" si="0"/>
        <v>707392.67999999993</v>
      </c>
      <c r="F48" s="226">
        <v>590307.89999999979</v>
      </c>
      <c r="G48" s="226">
        <v>74311.48</v>
      </c>
      <c r="H48" s="227">
        <f t="shared" si="1"/>
        <v>664619.37999999977</v>
      </c>
    </row>
    <row r="49" spans="1:9" ht="15.75">
      <c r="A49" s="116">
        <v>27</v>
      </c>
      <c r="B49" s="46" t="s">
        <v>135</v>
      </c>
      <c r="C49" s="226">
        <v>8260855.4800000004</v>
      </c>
      <c r="D49" s="226">
        <v>0</v>
      </c>
      <c r="E49" s="216">
        <f t="shared" si="0"/>
        <v>8260855.4800000004</v>
      </c>
      <c r="F49" s="226">
        <v>6287840.089999998</v>
      </c>
      <c r="G49" s="226">
        <v>0</v>
      </c>
      <c r="H49" s="227">
        <f t="shared" si="1"/>
        <v>6287840.089999998</v>
      </c>
    </row>
    <row r="50" spans="1:9" ht="15.75">
      <c r="A50" s="116">
        <v>28</v>
      </c>
      <c r="B50" s="46" t="s">
        <v>271</v>
      </c>
      <c r="C50" s="226">
        <v>0</v>
      </c>
      <c r="D50" s="226">
        <v>0</v>
      </c>
      <c r="E50" s="216">
        <f t="shared" si="0"/>
        <v>0</v>
      </c>
      <c r="F50" s="226">
        <v>0</v>
      </c>
      <c r="G50" s="226">
        <v>0</v>
      </c>
      <c r="H50" s="227">
        <f t="shared" si="1"/>
        <v>0</v>
      </c>
    </row>
    <row r="51" spans="1:9" ht="15.75">
      <c r="A51" s="116">
        <v>29</v>
      </c>
      <c r="B51" s="46" t="s">
        <v>136</v>
      </c>
      <c r="C51" s="226">
        <v>2732952.15</v>
      </c>
      <c r="D51" s="226">
        <v>0</v>
      </c>
      <c r="E51" s="216">
        <f t="shared" si="0"/>
        <v>2732952.15</v>
      </c>
      <c r="F51" s="226">
        <v>2515449.87</v>
      </c>
      <c r="G51" s="226">
        <v>0</v>
      </c>
      <c r="H51" s="227">
        <f t="shared" si="1"/>
        <v>2515449.87</v>
      </c>
    </row>
    <row r="52" spans="1:9" ht="15.75">
      <c r="A52" s="116">
        <v>30</v>
      </c>
      <c r="B52" s="46" t="s">
        <v>137</v>
      </c>
      <c r="C52" s="226">
        <v>3481396.0900000017</v>
      </c>
      <c r="D52" s="226">
        <v>6351.94</v>
      </c>
      <c r="E52" s="216">
        <f t="shared" si="0"/>
        <v>3487748.0300000017</v>
      </c>
      <c r="F52" s="226">
        <v>3992001.0199999996</v>
      </c>
      <c r="G52" s="226">
        <v>8582.43</v>
      </c>
      <c r="H52" s="227">
        <f t="shared" si="1"/>
        <v>4000583.4499999997</v>
      </c>
    </row>
    <row r="53" spans="1:9" ht="15.75">
      <c r="A53" s="116">
        <v>31</v>
      </c>
      <c r="B53" s="49" t="s">
        <v>138</v>
      </c>
      <c r="C53" s="228">
        <f>C47+C48+C49+C50+C51+C52</f>
        <v>15665772.670000002</v>
      </c>
      <c r="D53" s="228">
        <f>D47+D48+D49+D50+D51+D52</f>
        <v>306495.73000000004</v>
      </c>
      <c r="E53" s="216">
        <f t="shared" si="0"/>
        <v>15972268.400000002</v>
      </c>
      <c r="F53" s="228">
        <f>F47+F48+F49+F50+F51+F52</f>
        <v>13788969.009999998</v>
      </c>
      <c r="G53" s="228">
        <f>G47+G48+G49+G50+G51+G52</f>
        <v>337122.62</v>
      </c>
      <c r="H53" s="227">
        <f t="shared" si="1"/>
        <v>14126091.629999997</v>
      </c>
    </row>
    <row r="54" spans="1:9" ht="15.75">
      <c r="A54" s="116">
        <v>32</v>
      </c>
      <c r="B54" s="49" t="s">
        <v>139</v>
      </c>
      <c r="C54" s="228">
        <f>C45-C53</f>
        <v>-14742811.910000002</v>
      </c>
      <c r="D54" s="228">
        <f>D45-D53</f>
        <v>194273.07999999996</v>
      </c>
      <c r="E54" s="216">
        <f t="shared" si="0"/>
        <v>-14548538.830000002</v>
      </c>
      <c r="F54" s="228">
        <f>F45-F53</f>
        <v>-12297926.329999996</v>
      </c>
      <c r="G54" s="228">
        <f>G45-G53</f>
        <v>101153.90000000014</v>
      </c>
      <c r="H54" s="227">
        <f t="shared" si="1"/>
        <v>-12196772.429999996</v>
      </c>
    </row>
    <row r="55" spans="1:9">
      <c r="A55" s="116"/>
      <c r="B55" s="44"/>
      <c r="C55" s="230"/>
      <c r="D55" s="230"/>
      <c r="E55" s="230"/>
      <c r="F55" s="230"/>
      <c r="G55" s="230"/>
      <c r="H55" s="231"/>
    </row>
    <row r="56" spans="1:9" ht="15.75">
      <c r="A56" s="116">
        <v>33</v>
      </c>
      <c r="B56" s="49" t="s">
        <v>140</v>
      </c>
      <c r="C56" s="228">
        <f>C31+C54</f>
        <v>2703671.6299999896</v>
      </c>
      <c r="D56" s="228">
        <f>D31+D54</f>
        <v>11357757.560000002</v>
      </c>
      <c r="E56" s="216">
        <f t="shared" si="0"/>
        <v>14061429.189999992</v>
      </c>
      <c r="F56" s="228">
        <f>F31+F54</f>
        <v>101869.27000000514</v>
      </c>
      <c r="G56" s="228">
        <f>G31+G54</f>
        <v>11339343.640000001</v>
      </c>
      <c r="H56" s="227">
        <f t="shared" si="1"/>
        <v>11441212.910000006</v>
      </c>
    </row>
    <row r="57" spans="1:9">
      <c r="A57" s="116"/>
      <c r="B57" s="44"/>
      <c r="C57" s="230"/>
      <c r="D57" s="230"/>
      <c r="E57" s="230"/>
      <c r="F57" s="230"/>
      <c r="G57" s="230"/>
      <c r="H57" s="231"/>
    </row>
    <row r="58" spans="1:9" ht="15.75">
      <c r="A58" s="116">
        <v>34</v>
      </c>
      <c r="B58" s="46" t="s">
        <v>141</v>
      </c>
      <c r="C58" s="226">
        <v>-1813925.0599999994</v>
      </c>
      <c r="D58" s="226" t="s">
        <v>746</v>
      </c>
      <c r="E58" s="216">
        <v>-1813925.0599999994</v>
      </c>
      <c r="F58" s="226">
        <v>-798756.65</v>
      </c>
      <c r="G58" s="226" t="s">
        <v>746</v>
      </c>
      <c r="H58" s="227">
        <v>-798756.65</v>
      </c>
    </row>
    <row r="59" spans="1:9" s="191" customFormat="1" ht="15.75">
      <c r="A59" s="116">
        <v>35</v>
      </c>
      <c r="B59" s="43" t="s">
        <v>142</v>
      </c>
      <c r="C59" s="233">
        <v>0</v>
      </c>
      <c r="D59" s="233" t="s">
        <v>746</v>
      </c>
      <c r="E59" s="216">
        <v>0</v>
      </c>
      <c r="F59" s="234">
        <v>0</v>
      </c>
      <c r="G59" s="234" t="s">
        <v>746</v>
      </c>
      <c r="H59" s="235">
        <v>0</v>
      </c>
      <c r="I59" s="190"/>
    </row>
    <row r="60" spans="1:9" ht="15.75">
      <c r="A60" s="116">
        <v>36</v>
      </c>
      <c r="B60" s="46" t="s">
        <v>143</v>
      </c>
      <c r="C60" s="226">
        <v>598738.86999999988</v>
      </c>
      <c r="D60" s="226" t="s">
        <v>746</v>
      </c>
      <c r="E60" s="216">
        <v>598738.86999999988</v>
      </c>
      <c r="F60" s="226">
        <v>-2792381.38</v>
      </c>
      <c r="G60" s="226" t="s">
        <v>746</v>
      </c>
      <c r="H60" s="227">
        <v>-2792381.38</v>
      </c>
    </row>
    <row r="61" spans="1:9" ht="15.75">
      <c r="A61" s="116">
        <v>37</v>
      </c>
      <c r="B61" s="49" t="s">
        <v>144</v>
      </c>
      <c r="C61" s="228">
        <f>C58+C59+C60</f>
        <v>-1215186.1899999995</v>
      </c>
      <c r="D61" s="228">
        <v>0</v>
      </c>
      <c r="E61" s="216">
        <f t="shared" si="0"/>
        <v>-1215186.1899999995</v>
      </c>
      <c r="F61" s="228">
        <f>F58+F59+F60</f>
        <v>-3591138.03</v>
      </c>
      <c r="G61" s="228">
        <v>0</v>
      </c>
      <c r="H61" s="227">
        <f t="shared" si="1"/>
        <v>-3591138.03</v>
      </c>
    </row>
    <row r="62" spans="1:9">
      <c r="A62" s="116"/>
      <c r="B62" s="50"/>
      <c r="C62" s="226"/>
      <c r="D62" s="226"/>
      <c r="E62" s="226"/>
      <c r="F62" s="226"/>
      <c r="G62" s="226"/>
      <c r="H62" s="232"/>
    </row>
    <row r="63" spans="1:9" ht="15.75">
      <c r="A63" s="116">
        <v>38</v>
      </c>
      <c r="B63" s="51" t="s">
        <v>272</v>
      </c>
      <c r="C63" s="228">
        <f>C56-C61</f>
        <v>3918857.8199999891</v>
      </c>
      <c r="D63" s="228">
        <f>D56-D61</f>
        <v>11357757.560000002</v>
      </c>
      <c r="E63" s="216">
        <f t="shared" si="0"/>
        <v>15276615.379999992</v>
      </c>
      <c r="F63" s="228">
        <f>F56-F61</f>
        <v>3693007.3000000049</v>
      </c>
      <c r="G63" s="228">
        <f>G56-G61</f>
        <v>11339343.640000001</v>
      </c>
      <c r="H63" s="227">
        <f t="shared" si="1"/>
        <v>15032350.940000005</v>
      </c>
    </row>
    <row r="64" spans="1:9" ht="15.75">
      <c r="A64" s="114">
        <v>39</v>
      </c>
      <c r="B64" s="46" t="s">
        <v>145</v>
      </c>
      <c r="C64" s="236">
        <v>0</v>
      </c>
      <c r="D64" s="236">
        <v>0</v>
      </c>
      <c r="E64" s="216">
        <f t="shared" si="0"/>
        <v>0</v>
      </c>
      <c r="F64" s="236">
        <v>0</v>
      </c>
      <c r="G64" s="236">
        <v>0</v>
      </c>
      <c r="H64" s="227">
        <f t="shared" si="1"/>
        <v>0</v>
      </c>
    </row>
    <row r="65" spans="1:8" ht="15.75">
      <c r="A65" s="116">
        <v>40</v>
      </c>
      <c r="B65" s="49" t="s">
        <v>146</v>
      </c>
      <c r="C65" s="228">
        <f>C63-C64</f>
        <v>3918857.8199999891</v>
      </c>
      <c r="D65" s="228">
        <f>D63-D64</f>
        <v>11357757.560000002</v>
      </c>
      <c r="E65" s="216">
        <f t="shared" si="0"/>
        <v>15276615.379999992</v>
      </c>
      <c r="F65" s="228">
        <f>F63-F64</f>
        <v>3693007.3000000049</v>
      </c>
      <c r="G65" s="228">
        <f>G63-G64</f>
        <v>11339343.640000001</v>
      </c>
      <c r="H65" s="227">
        <f t="shared" si="1"/>
        <v>15032350.940000005</v>
      </c>
    </row>
    <row r="66" spans="1:8" ht="15.75">
      <c r="A66" s="114">
        <v>41</v>
      </c>
      <c r="B66" s="46" t="s">
        <v>147</v>
      </c>
      <c r="C66" s="236">
        <v>0</v>
      </c>
      <c r="D66" s="236">
        <v>0</v>
      </c>
      <c r="E66" s="216">
        <f t="shared" si="0"/>
        <v>0</v>
      </c>
      <c r="F66" s="236">
        <v>0</v>
      </c>
      <c r="G66" s="236">
        <v>0</v>
      </c>
      <c r="H66" s="227">
        <f t="shared" si="1"/>
        <v>0</v>
      </c>
    </row>
    <row r="67" spans="1:8" ht="16.5" thickBot="1">
      <c r="A67" s="118">
        <v>42</v>
      </c>
      <c r="B67" s="119" t="s">
        <v>148</v>
      </c>
      <c r="C67" s="237">
        <f>C65+C66</f>
        <v>3918857.8199999891</v>
      </c>
      <c r="D67" s="237">
        <f>D65+D66</f>
        <v>11357757.560000002</v>
      </c>
      <c r="E67" s="224">
        <f t="shared" si="0"/>
        <v>15276615.379999992</v>
      </c>
      <c r="F67" s="237">
        <f>F65+F66</f>
        <v>3693007.3000000049</v>
      </c>
      <c r="G67" s="237">
        <f>G65+G66</f>
        <v>11339343.640000001</v>
      </c>
      <c r="H67" s="238">
        <f t="shared" si="1"/>
        <v>15032350.940000005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13" zoomScaleNormal="100" workbookViewId="0">
      <selection activeCell="G9" sqref="G9"/>
    </sheetView>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35">
        <f>'1. key ratios'!B2</f>
        <v>44742</v>
      </c>
    </row>
    <row r="3" spans="1:8">
      <c r="A3" s="1"/>
    </row>
    <row r="4" spans="1:8" ht="16.5" thickBot="1">
      <c r="A4" s="1" t="s">
        <v>331</v>
      </c>
      <c r="B4" s="1"/>
      <c r="C4" s="200"/>
      <c r="D4" s="200"/>
      <c r="E4" s="200"/>
      <c r="F4" s="200"/>
      <c r="G4" s="200"/>
      <c r="H4" s="201" t="s">
        <v>93</v>
      </c>
    </row>
    <row r="5" spans="1:8" ht="15.75">
      <c r="A5" s="628" t="s">
        <v>26</v>
      </c>
      <c r="B5" s="630" t="s">
        <v>245</v>
      </c>
      <c r="C5" s="632" t="s">
        <v>194</v>
      </c>
      <c r="D5" s="632"/>
      <c r="E5" s="632"/>
      <c r="F5" s="632" t="s">
        <v>195</v>
      </c>
      <c r="G5" s="632"/>
      <c r="H5" s="633"/>
    </row>
    <row r="6" spans="1:8">
      <c r="A6" s="629"/>
      <c r="B6" s="631"/>
      <c r="C6" s="32" t="s">
        <v>27</v>
      </c>
      <c r="D6" s="32" t="s">
        <v>94</v>
      </c>
      <c r="E6" s="32" t="s">
        <v>68</v>
      </c>
      <c r="F6" s="32" t="s">
        <v>27</v>
      </c>
      <c r="G6" s="32" t="s">
        <v>94</v>
      </c>
      <c r="H6" s="33" t="s">
        <v>68</v>
      </c>
    </row>
    <row r="7" spans="1:8" ht="15.75">
      <c r="A7" s="108">
        <v>1</v>
      </c>
      <c r="B7" s="202" t="s">
        <v>367</v>
      </c>
      <c r="C7" s="218">
        <v>66330584.339999989</v>
      </c>
      <c r="D7" s="218">
        <v>33634052.32</v>
      </c>
      <c r="E7" s="239">
        <f>C7+D7</f>
        <v>99964636.659999996</v>
      </c>
      <c r="F7" s="218">
        <v>46423101.88000001</v>
      </c>
      <c r="G7" s="218">
        <v>28080025.450000003</v>
      </c>
      <c r="H7" s="219">
        <f t="shared" ref="H7:H53" si="0">F7+G7</f>
        <v>74503127.330000013</v>
      </c>
    </row>
    <row r="8" spans="1:8" ht="15.75">
      <c r="A8" s="108">
        <v>1.1000000000000001</v>
      </c>
      <c r="B8" s="203" t="s">
        <v>276</v>
      </c>
      <c r="C8" s="218">
        <v>46348802.799999997</v>
      </c>
      <c r="D8" s="218">
        <v>16179875.080000002</v>
      </c>
      <c r="E8" s="239">
        <f t="shared" ref="E8:E53" si="1">C8+D8</f>
        <v>62528677.879999995</v>
      </c>
      <c r="F8" s="218">
        <v>31626030.359999999</v>
      </c>
      <c r="G8" s="218">
        <v>20684337.280000001</v>
      </c>
      <c r="H8" s="219">
        <f t="shared" si="0"/>
        <v>52310367.640000001</v>
      </c>
    </row>
    <row r="9" spans="1:8" ht="15.75">
      <c r="A9" s="108">
        <v>1.2</v>
      </c>
      <c r="B9" s="203" t="s">
        <v>277</v>
      </c>
      <c r="C9" s="218">
        <v>0</v>
      </c>
      <c r="D9" s="218">
        <v>2885853.88</v>
      </c>
      <c r="E9" s="239">
        <f t="shared" si="1"/>
        <v>2885853.88</v>
      </c>
      <c r="F9" s="218">
        <v>0</v>
      </c>
      <c r="G9" s="218">
        <v>0</v>
      </c>
      <c r="H9" s="219">
        <f t="shared" si="0"/>
        <v>0</v>
      </c>
    </row>
    <row r="10" spans="1:8" ht="15.75">
      <c r="A10" s="108">
        <v>1.3</v>
      </c>
      <c r="B10" s="203" t="s">
        <v>278</v>
      </c>
      <c r="C10" s="218">
        <v>19981781.539999992</v>
      </c>
      <c r="D10" s="218">
        <v>11682469.48</v>
      </c>
      <c r="E10" s="239">
        <f t="shared" si="1"/>
        <v>31664251.019999992</v>
      </c>
      <c r="F10" s="218">
        <v>14797071.520000011</v>
      </c>
      <c r="G10" s="218">
        <v>7395688.1699999999</v>
      </c>
      <c r="H10" s="219">
        <f t="shared" si="0"/>
        <v>22192759.690000013</v>
      </c>
    </row>
    <row r="11" spans="1:8" ht="15.75">
      <c r="A11" s="108">
        <v>1.4</v>
      </c>
      <c r="B11" s="203" t="s">
        <v>279</v>
      </c>
      <c r="C11" s="218">
        <v>0</v>
      </c>
      <c r="D11" s="218">
        <v>2885853.88</v>
      </c>
      <c r="E11" s="239">
        <f t="shared" si="1"/>
        <v>2885853.88</v>
      </c>
      <c r="F11" s="218">
        <v>0</v>
      </c>
      <c r="G11" s="218">
        <v>0</v>
      </c>
      <c r="H11" s="219">
        <f t="shared" si="0"/>
        <v>0</v>
      </c>
    </row>
    <row r="12" spans="1:8" ht="29.25" customHeight="1">
      <c r="A12" s="108">
        <v>2</v>
      </c>
      <c r="B12" s="202" t="s">
        <v>280</v>
      </c>
      <c r="C12" s="218">
        <v>0</v>
      </c>
      <c r="D12" s="218">
        <v>2885853.88</v>
      </c>
      <c r="E12" s="239">
        <f t="shared" si="1"/>
        <v>2885853.88</v>
      </c>
      <c r="F12" s="218">
        <v>0</v>
      </c>
      <c r="G12" s="218">
        <v>0</v>
      </c>
      <c r="H12" s="219">
        <f t="shared" si="0"/>
        <v>0</v>
      </c>
    </row>
    <row r="13" spans="1:8" ht="25.5">
      <c r="A13" s="108">
        <v>3</v>
      </c>
      <c r="B13" s="202" t="s">
        <v>281</v>
      </c>
      <c r="C13" s="218">
        <v>184521000</v>
      </c>
      <c r="D13" s="218">
        <v>0</v>
      </c>
      <c r="E13" s="239">
        <f t="shared" si="1"/>
        <v>184521000</v>
      </c>
      <c r="F13" s="218">
        <v>130712000</v>
      </c>
      <c r="G13" s="218">
        <v>0</v>
      </c>
      <c r="H13" s="219">
        <f t="shared" si="0"/>
        <v>130712000</v>
      </c>
    </row>
    <row r="14" spans="1:8" ht="15.75">
      <c r="A14" s="108">
        <v>3.1</v>
      </c>
      <c r="B14" s="203" t="s">
        <v>282</v>
      </c>
      <c r="C14" s="218">
        <v>184521000</v>
      </c>
      <c r="D14" s="218">
        <v>0</v>
      </c>
      <c r="E14" s="239">
        <f t="shared" si="1"/>
        <v>184521000</v>
      </c>
      <c r="F14" s="218">
        <v>130712000</v>
      </c>
      <c r="G14" s="218">
        <v>0</v>
      </c>
      <c r="H14" s="219">
        <f t="shared" si="0"/>
        <v>130712000</v>
      </c>
    </row>
    <row r="15" spans="1:8" ht="15.75">
      <c r="A15" s="108">
        <v>3.2</v>
      </c>
      <c r="B15" s="203" t="s">
        <v>283</v>
      </c>
      <c r="C15" s="218">
        <v>0</v>
      </c>
      <c r="D15" s="218">
        <v>0</v>
      </c>
      <c r="E15" s="239">
        <f t="shared" si="1"/>
        <v>0</v>
      </c>
      <c r="F15" s="218">
        <v>0</v>
      </c>
      <c r="G15" s="218">
        <v>0</v>
      </c>
      <c r="H15" s="219">
        <f t="shared" si="0"/>
        <v>0</v>
      </c>
    </row>
    <row r="16" spans="1:8" ht="15.75">
      <c r="A16" s="108">
        <v>4</v>
      </c>
      <c r="B16" s="202" t="s">
        <v>284</v>
      </c>
      <c r="C16" s="218">
        <v>274185446.53000045</v>
      </c>
      <c r="D16" s="218">
        <v>392691830.94000012</v>
      </c>
      <c r="E16" s="239">
        <f t="shared" si="1"/>
        <v>666877277.47000051</v>
      </c>
      <c r="F16" s="218">
        <v>243086808.32000014</v>
      </c>
      <c r="G16" s="218">
        <v>424365799.97000009</v>
      </c>
      <c r="H16" s="219">
        <f t="shared" si="0"/>
        <v>667452608.2900002</v>
      </c>
    </row>
    <row r="17" spans="1:8" ht="15.75">
      <c r="A17" s="108">
        <v>4.0999999999999996</v>
      </c>
      <c r="B17" s="203" t="s">
        <v>285</v>
      </c>
      <c r="C17" s="218">
        <v>256579193.27000046</v>
      </c>
      <c r="D17" s="218">
        <v>392691830.94000012</v>
      </c>
      <c r="E17" s="239">
        <f t="shared" si="1"/>
        <v>649271024.21000051</v>
      </c>
      <c r="F17" s="218">
        <v>237655870.44800013</v>
      </c>
      <c r="G17" s="218">
        <v>424365799.97000009</v>
      </c>
      <c r="H17" s="219">
        <f t="shared" si="0"/>
        <v>662021670.41800022</v>
      </c>
    </row>
    <row r="18" spans="1:8" ht="15.75">
      <c r="A18" s="108">
        <v>4.2</v>
      </c>
      <c r="B18" s="203" t="s">
        <v>286</v>
      </c>
      <c r="C18" s="218">
        <v>17606253.259999998</v>
      </c>
      <c r="D18" s="218">
        <v>0</v>
      </c>
      <c r="E18" s="239">
        <f t="shared" si="1"/>
        <v>17606253.259999998</v>
      </c>
      <c r="F18" s="218">
        <v>5430937.8719999995</v>
      </c>
      <c r="G18" s="218">
        <v>0</v>
      </c>
      <c r="H18" s="219">
        <f t="shared" si="0"/>
        <v>5430937.8719999995</v>
      </c>
    </row>
    <row r="19" spans="1:8" ht="25.5">
      <c r="A19" s="108">
        <v>5</v>
      </c>
      <c r="B19" s="202" t="s">
        <v>287</v>
      </c>
      <c r="C19" s="218">
        <v>992173946.02999949</v>
      </c>
      <c r="D19" s="218">
        <v>1013067202.6099999</v>
      </c>
      <c r="E19" s="239">
        <f t="shared" si="1"/>
        <v>2005241148.6399994</v>
      </c>
      <c r="F19" s="218">
        <v>830910328.93000054</v>
      </c>
      <c r="G19" s="218">
        <v>1019891280.5800003</v>
      </c>
      <c r="H19" s="219">
        <f t="shared" si="0"/>
        <v>1850801609.5100007</v>
      </c>
    </row>
    <row r="20" spans="1:8" ht="15.75">
      <c r="A20" s="108">
        <v>5.0999999999999996</v>
      </c>
      <c r="B20" s="203" t="s">
        <v>288</v>
      </c>
      <c r="C20" s="218">
        <v>24989212.720000003</v>
      </c>
      <c r="D20" s="218">
        <v>27627339.810000002</v>
      </c>
      <c r="E20" s="239">
        <f t="shared" si="1"/>
        <v>52616552.530000001</v>
      </c>
      <c r="F20" s="218">
        <v>25708481.800000008</v>
      </c>
      <c r="G20" s="218">
        <v>35918284.509999998</v>
      </c>
      <c r="H20" s="219">
        <f t="shared" si="0"/>
        <v>61626766.310000002</v>
      </c>
    </row>
    <row r="21" spans="1:8" ht="15.75">
      <c r="A21" s="108">
        <v>5.2</v>
      </c>
      <c r="B21" s="203" t="s">
        <v>289</v>
      </c>
      <c r="C21" s="218">
        <v>33025876.509999998</v>
      </c>
      <c r="D21" s="218">
        <v>2648134.8600000003</v>
      </c>
      <c r="E21" s="239">
        <f t="shared" si="1"/>
        <v>35674011.369999997</v>
      </c>
      <c r="F21" s="218">
        <v>12117406.920000002</v>
      </c>
      <c r="G21" s="218">
        <v>5349022.9999999991</v>
      </c>
      <c r="H21" s="219">
        <f t="shared" si="0"/>
        <v>17466429.920000002</v>
      </c>
    </row>
    <row r="22" spans="1:8" ht="15.75">
      <c r="A22" s="108">
        <v>5.3</v>
      </c>
      <c r="B22" s="203" t="s">
        <v>290</v>
      </c>
      <c r="C22" s="218">
        <v>795168497.74999952</v>
      </c>
      <c r="D22" s="218">
        <v>958810144.88999999</v>
      </c>
      <c r="E22" s="239">
        <f t="shared" si="1"/>
        <v>1753978642.6399994</v>
      </c>
      <c r="F22" s="218">
        <v>698032857.01000059</v>
      </c>
      <c r="G22" s="218">
        <v>955990726.27000034</v>
      </c>
      <c r="H22" s="219">
        <f t="shared" si="0"/>
        <v>1654023583.2800009</v>
      </c>
    </row>
    <row r="23" spans="1:8" ht="15.75">
      <c r="A23" s="108" t="s">
        <v>291</v>
      </c>
      <c r="B23" s="204" t="s">
        <v>292</v>
      </c>
      <c r="C23" s="218">
        <v>393307770.71999973</v>
      </c>
      <c r="D23" s="218">
        <v>349335534.63999987</v>
      </c>
      <c r="E23" s="239">
        <f t="shared" si="1"/>
        <v>742643305.35999966</v>
      </c>
      <c r="F23" s="218">
        <v>409168755.19000012</v>
      </c>
      <c r="G23" s="218">
        <v>360396492.45000029</v>
      </c>
      <c r="H23" s="219">
        <f t="shared" si="0"/>
        <v>769565247.64000034</v>
      </c>
    </row>
    <row r="24" spans="1:8" ht="15.75">
      <c r="A24" s="108" t="s">
        <v>293</v>
      </c>
      <c r="B24" s="204" t="s">
        <v>294</v>
      </c>
      <c r="C24" s="218">
        <v>198925167.56999981</v>
      </c>
      <c r="D24" s="218">
        <v>341326488.02999997</v>
      </c>
      <c r="E24" s="239">
        <f t="shared" si="1"/>
        <v>540251655.59999979</v>
      </c>
      <c r="F24" s="218">
        <v>170579199.46000043</v>
      </c>
      <c r="G24" s="218">
        <v>352795256</v>
      </c>
      <c r="H24" s="219">
        <f t="shared" si="0"/>
        <v>523374455.4600004</v>
      </c>
    </row>
    <row r="25" spans="1:8" ht="15.75">
      <c r="A25" s="108" t="s">
        <v>295</v>
      </c>
      <c r="B25" s="205" t="s">
        <v>296</v>
      </c>
      <c r="C25" s="218">
        <v>24533762.420000002</v>
      </c>
      <c r="D25" s="218">
        <v>41466032.110000007</v>
      </c>
      <c r="E25" s="239">
        <f t="shared" si="1"/>
        <v>65999794.530000009</v>
      </c>
      <c r="F25" s="218">
        <v>16034403.090000002</v>
      </c>
      <c r="G25" s="218">
        <v>37741245.860000014</v>
      </c>
      <c r="H25" s="219">
        <f t="shared" si="0"/>
        <v>53775648.950000018</v>
      </c>
    </row>
    <row r="26" spans="1:8" ht="15.75">
      <c r="A26" s="108" t="s">
        <v>297</v>
      </c>
      <c r="B26" s="204" t="s">
        <v>298</v>
      </c>
      <c r="C26" s="218">
        <v>116219646.76000015</v>
      </c>
      <c r="D26" s="218">
        <v>120511033.29000005</v>
      </c>
      <c r="E26" s="239">
        <f t="shared" si="1"/>
        <v>236730680.05000019</v>
      </c>
      <c r="F26" s="218">
        <v>81834849.219999924</v>
      </c>
      <c r="G26" s="218">
        <v>99798512.519999996</v>
      </c>
      <c r="H26" s="219">
        <f t="shared" si="0"/>
        <v>181633361.73999992</v>
      </c>
    </row>
    <row r="27" spans="1:8" ht="15.75">
      <c r="A27" s="108" t="s">
        <v>299</v>
      </c>
      <c r="B27" s="204" t="s">
        <v>300</v>
      </c>
      <c r="C27" s="218">
        <v>62182150.279999986</v>
      </c>
      <c r="D27" s="218">
        <v>106171056.82000002</v>
      </c>
      <c r="E27" s="239">
        <f t="shared" si="1"/>
        <v>168353207.10000002</v>
      </c>
      <c r="F27" s="218">
        <v>20415650.050000023</v>
      </c>
      <c r="G27" s="218">
        <v>105259219.44000007</v>
      </c>
      <c r="H27" s="219">
        <f t="shared" si="0"/>
        <v>125674869.4900001</v>
      </c>
    </row>
    <row r="28" spans="1:8" ht="15.75">
      <c r="A28" s="108">
        <v>5.4</v>
      </c>
      <c r="B28" s="203" t="s">
        <v>301</v>
      </c>
      <c r="C28" s="218">
        <v>54217119.909999989</v>
      </c>
      <c r="D28" s="218">
        <v>13789102.1</v>
      </c>
      <c r="E28" s="239">
        <f t="shared" si="1"/>
        <v>68006222.00999999</v>
      </c>
      <c r="F28" s="218">
        <v>20009772.599999998</v>
      </c>
      <c r="G28" s="218">
        <v>11572088.489999995</v>
      </c>
      <c r="H28" s="219">
        <f t="shared" si="0"/>
        <v>31581861.089999992</v>
      </c>
    </row>
    <row r="29" spans="1:8" ht="15.75">
      <c r="A29" s="108">
        <v>5.5</v>
      </c>
      <c r="B29" s="203" t="s">
        <v>302</v>
      </c>
      <c r="C29" s="218">
        <v>0</v>
      </c>
      <c r="D29" s="218">
        <v>0</v>
      </c>
      <c r="E29" s="239">
        <f t="shared" si="1"/>
        <v>0</v>
      </c>
      <c r="F29" s="218">
        <v>0</v>
      </c>
      <c r="G29" s="218">
        <v>0</v>
      </c>
      <c r="H29" s="219">
        <f t="shared" si="0"/>
        <v>0</v>
      </c>
    </row>
    <row r="30" spans="1:8" ht="15.75">
      <c r="A30" s="108">
        <v>5.6</v>
      </c>
      <c r="B30" s="203" t="s">
        <v>303</v>
      </c>
      <c r="C30" s="218">
        <v>0</v>
      </c>
      <c r="D30" s="218">
        <v>0</v>
      </c>
      <c r="E30" s="239">
        <f t="shared" si="1"/>
        <v>0</v>
      </c>
      <c r="F30" s="218">
        <v>0</v>
      </c>
      <c r="G30" s="218">
        <v>0</v>
      </c>
      <c r="H30" s="219">
        <f t="shared" si="0"/>
        <v>0</v>
      </c>
    </row>
    <row r="31" spans="1:8" ht="15.75">
      <c r="A31" s="108">
        <v>5.7</v>
      </c>
      <c r="B31" s="203" t="s">
        <v>304</v>
      </c>
      <c r="C31" s="218">
        <v>84773239.14000003</v>
      </c>
      <c r="D31" s="218">
        <v>10192480.950000005</v>
      </c>
      <c r="E31" s="239">
        <f t="shared" si="1"/>
        <v>94965720.090000033</v>
      </c>
      <c r="F31" s="218">
        <v>75041810.59999992</v>
      </c>
      <c r="G31" s="218">
        <v>11061158.310000004</v>
      </c>
      <c r="H31" s="219">
        <f t="shared" si="0"/>
        <v>86102968.909999922</v>
      </c>
    </row>
    <row r="32" spans="1:8" ht="15.75">
      <c r="A32" s="108">
        <v>6</v>
      </c>
      <c r="B32" s="202" t="s">
        <v>305</v>
      </c>
      <c r="C32" s="218">
        <v>28465774.949999999</v>
      </c>
      <c r="D32" s="218">
        <v>103330096.56999999</v>
      </c>
      <c r="E32" s="239">
        <f t="shared" si="1"/>
        <v>131795871.52</v>
      </c>
      <c r="F32" s="218">
        <v>13140160</v>
      </c>
      <c r="G32" s="218">
        <v>121332544.46000001</v>
      </c>
      <c r="H32" s="219">
        <f t="shared" si="0"/>
        <v>134472704.46000001</v>
      </c>
    </row>
    <row r="33" spans="1:8" ht="25.5">
      <c r="A33" s="108">
        <v>6.1</v>
      </c>
      <c r="B33" s="203" t="s">
        <v>368</v>
      </c>
      <c r="C33" s="218">
        <v>28465774.949999999</v>
      </c>
      <c r="D33" s="218">
        <v>37662096.850000001</v>
      </c>
      <c r="E33" s="239">
        <f t="shared" si="1"/>
        <v>66127871.799999997</v>
      </c>
      <c r="F33" s="218">
        <v>13140160</v>
      </c>
      <c r="G33" s="218">
        <v>54293163.93</v>
      </c>
      <c r="H33" s="219">
        <f t="shared" si="0"/>
        <v>67433323.930000007</v>
      </c>
    </row>
    <row r="34" spans="1:8" ht="25.5">
      <c r="A34" s="108">
        <v>6.2</v>
      </c>
      <c r="B34" s="203" t="s">
        <v>306</v>
      </c>
      <c r="C34" s="218">
        <v>0</v>
      </c>
      <c r="D34" s="218">
        <v>65667999.719999999</v>
      </c>
      <c r="E34" s="239">
        <f t="shared" si="1"/>
        <v>65667999.719999999</v>
      </c>
      <c r="F34" s="218">
        <v>0</v>
      </c>
      <c r="G34" s="218">
        <v>67039380.530000001</v>
      </c>
      <c r="H34" s="219">
        <f t="shared" si="0"/>
        <v>67039380.530000001</v>
      </c>
    </row>
    <row r="35" spans="1:8" ht="25.5">
      <c r="A35" s="108">
        <v>6.3</v>
      </c>
      <c r="B35" s="203" t="s">
        <v>307</v>
      </c>
      <c r="C35" s="218">
        <v>0</v>
      </c>
      <c r="D35" s="218">
        <v>0</v>
      </c>
      <c r="E35" s="239">
        <f t="shared" si="1"/>
        <v>0</v>
      </c>
      <c r="F35" s="218">
        <v>0</v>
      </c>
      <c r="G35" s="218">
        <v>0</v>
      </c>
      <c r="H35" s="219">
        <f t="shared" si="0"/>
        <v>0</v>
      </c>
    </row>
    <row r="36" spans="1:8" ht="15.75">
      <c r="A36" s="108">
        <v>6.4</v>
      </c>
      <c r="B36" s="203" t="s">
        <v>308</v>
      </c>
      <c r="C36" s="218">
        <v>0</v>
      </c>
      <c r="D36" s="218">
        <v>0</v>
      </c>
      <c r="E36" s="239">
        <f t="shared" si="1"/>
        <v>0</v>
      </c>
      <c r="F36" s="218">
        <v>0</v>
      </c>
      <c r="G36" s="218">
        <v>0</v>
      </c>
      <c r="H36" s="219">
        <f t="shared" si="0"/>
        <v>0</v>
      </c>
    </row>
    <row r="37" spans="1:8" ht="15.75">
      <c r="A37" s="108">
        <v>6.5</v>
      </c>
      <c r="B37" s="203" t="s">
        <v>309</v>
      </c>
      <c r="C37" s="218">
        <v>0</v>
      </c>
      <c r="D37" s="218">
        <v>0</v>
      </c>
      <c r="E37" s="239">
        <f t="shared" si="1"/>
        <v>0</v>
      </c>
      <c r="F37" s="218">
        <v>0</v>
      </c>
      <c r="G37" s="218">
        <v>0</v>
      </c>
      <c r="H37" s="219">
        <f t="shared" si="0"/>
        <v>0</v>
      </c>
    </row>
    <row r="38" spans="1:8" ht="25.5">
      <c r="A38" s="108">
        <v>6.6</v>
      </c>
      <c r="B38" s="203" t="s">
        <v>310</v>
      </c>
      <c r="C38" s="218">
        <v>0</v>
      </c>
      <c r="D38" s="218">
        <v>0</v>
      </c>
      <c r="E38" s="239">
        <f t="shared" si="1"/>
        <v>0</v>
      </c>
      <c r="F38" s="218">
        <v>0</v>
      </c>
      <c r="G38" s="218">
        <v>0</v>
      </c>
      <c r="H38" s="219">
        <f t="shared" si="0"/>
        <v>0</v>
      </c>
    </row>
    <row r="39" spans="1:8" ht="25.5">
      <c r="A39" s="108">
        <v>6.7</v>
      </c>
      <c r="B39" s="203" t="s">
        <v>311</v>
      </c>
      <c r="C39" s="218">
        <v>0</v>
      </c>
      <c r="D39" s="218">
        <v>0</v>
      </c>
      <c r="E39" s="239">
        <f t="shared" si="1"/>
        <v>0</v>
      </c>
      <c r="F39" s="218">
        <v>0</v>
      </c>
      <c r="G39" s="218">
        <v>0</v>
      </c>
      <c r="H39" s="219">
        <f t="shared" si="0"/>
        <v>0</v>
      </c>
    </row>
    <row r="40" spans="1:8" ht="15.75">
      <c r="A40" s="108">
        <v>7</v>
      </c>
      <c r="B40" s="202" t="s">
        <v>312</v>
      </c>
      <c r="C40" s="218">
        <v>0</v>
      </c>
      <c r="D40" s="218">
        <v>0</v>
      </c>
      <c r="E40" s="239">
        <f t="shared" si="1"/>
        <v>0</v>
      </c>
      <c r="F40" s="218">
        <v>0</v>
      </c>
      <c r="G40" s="218">
        <v>0</v>
      </c>
      <c r="H40" s="219">
        <f t="shared" si="0"/>
        <v>0</v>
      </c>
    </row>
    <row r="41" spans="1:8" ht="25.5">
      <c r="A41" s="108">
        <v>7.1</v>
      </c>
      <c r="B41" s="203" t="s">
        <v>313</v>
      </c>
      <c r="C41" s="218">
        <v>271095.12999999995</v>
      </c>
      <c r="D41" s="218">
        <v>166013.76000000001</v>
      </c>
      <c r="E41" s="239">
        <f t="shared" si="1"/>
        <v>437108.88999999996</v>
      </c>
      <c r="F41" s="218">
        <v>286784.93999999994</v>
      </c>
      <c r="G41" s="218">
        <v>574117.15150000004</v>
      </c>
      <c r="H41" s="219">
        <f t="shared" si="0"/>
        <v>860902.09149999998</v>
      </c>
    </row>
    <row r="42" spans="1:8" ht="25.5">
      <c r="A42" s="108">
        <v>7.2</v>
      </c>
      <c r="B42" s="203" t="s">
        <v>314</v>
      </c>
      <c r="C42" s="218">
        <v>892744.7099999995</v>
      </c>
      <c r="D42" s="218">
        <v>828817.7799999998</v>
      </c>
      <c r="E42" s="239">
        <f t="shared" si="1"/>
        <v>1721562.4899999993</v>
      </c>
      <c r="F42" s="218">
        <v>656612.76000000024</v>
      </c>
      <c r="G42" s="218">
        <v>916961.6446</v>
      </c>
      <c r="H42" s="219">
        <f t="shared" si="0"/>
        <v>1573574.4046000002</v>
      </c>
    </row>
    <row r="43" spans="1:8" ht="25.5">
      <c r="A43" s="108">
        <v>7.3</v>
      </c>
      <c r="B43" s="203" t="s">
        <v>315</v>
      </c>
      <c r="C43" s="218">
        <v>5609678.9100000104</v>
      </c>
      <c r="D43" s="218">
        <v>15085445.09</v>
      </c>
      <c r="E43" s="239">
        <f t="shared" si="1"/>
        <v>20695124.000000011</v>
      </c>
      <c r="F43" s="218">
        <v>5593699.0855000187</v>
      </c>
      <c r="G43" s="218">
        <v>17966659.055600006</v>
      </c>
      <c r="H43" s="219">
        <f t="shared" si="0"/>
        <v>23560358.141100027</v>
      </c>
    </row>
    <row r="44" spans="1:8" ht="25.5">
      <c r="A44" s="108">
        <v>7.4</v>
      </c>
      <c r="B44" s="203" t="s">
        <v>316</v>
      </c>
      <c r="C44" s="218">
        <v>8858390.4100000132</v>
      </c>
      <c r="D44" s="218">
        <v>31957900.679999992</v>
      </c>
      <c r="E44" s="239">
        <f t="shared" si="1"/>
        <v>40816291.090000004</v>
      </c>
      <c r="F44" s="218">
        <v>9860210.9200000167</v>
      </c>
      <c r="G44" s="218">
        <v>51125298.037699997</v>
      </c>
      <c r="H44" s="219">
        <f t="shared" si="0"/>
        <v>60985508.957700014</v>
      </c>
    </row>
    <row r="45" spans="1:8" ht="15.75">
      <c r="A45" s="108">
        <v>8</v>
      </c>
      <c r="B45" s="202" t="s">
        <v>317</v>
      </c>
      <c r="C45" s="218">
        <v>0</v>
      </c>
      <c r="D45" s="218">
        <v>0</v>
      </c>
      <c r="E45" s="239">
        <f t="shared" si="1"/>
        <v>0</v>
      </c>
      <c r="F45" s="218">
        <v>0</v>
      </c>
      <c r="G45" s="218">
        <v>0</v>
      </c>
      <c r="H45" s="219">
        <f t="shared" si="0"/>
        <v>0</v>
      </c>
    </row>
    <row r="46" spans="1:8" ht="15.75">
      <c r="A46" s="108">
        <v>8.1</v>
      </c>
      <c r="B46" s="203" t="s">
        <v>318</v>
      </c>
      <c r="C46" s="218">
        <v>0</v>
      </c>
      <c r="D46" s="218">
        <v>0</v>
      </c>
      <c r="E46" s="239">
        <f t="shared" si="1"/>
        <v>0</v>
      </c>
      <c r="F46" s="218">
        <v>0</v>
      </c>
      <c r="G46" s="218">
        <v>0</v>
      </c>
      <c r="H46" s="219">
        <f t="shared" si="0"/>
        <v>0</v>
      </c>
    </row>
    <row r="47" spans="1:8" ht="15.75">
      <c r="A47" s="108">
        <v>8.1999999999999993</v>
      </c>
      <c r="B47" s="203" t="s">
        <v>319</v>
      </c>
      <c r="C47" s="218">
        <v>0</v>
      </c>
      <c r="D47" s="218">
        <v>0</v>
      </c>
      <c r="E47" s="239">
        <f t="shared" si="1"/>
        <v>0</v>
      </c>
      <c r="F47" s="218">
        <v>0</v>
      </c>
      <c r="G47" s="218">
        <v>0</v>
      </c>
      <c r="H47" s="219">
        <f t="shared" si="0"/>
        <v>0</v>
      </c>
    </row>
    <row r="48" spans="1:8" ht="15.75">
      <c r="A48" s="108">
        <v>8.3000000000000007</v>
      </c>
      <c r="B48" s="203" t="s">
        <v>320</v>
      </c>
      <c r="C48" s="218">
        <v>0</v>
      </c>
      <c r="D48" s="218">
        <v>0</v>
      </c>
      <c r="E48" s="239">
        <f t="shared" si="1"/>
        <v>0</v>
      </c>
      <c r="F48" s="218">
        <v>0</v>
      </c>
      <c r="G48" s="218">
        <v>0</v>
      </c>
      <c r="H48" s="219">
        <f t="shared" si="0"/>
        <v>0</v>
      </c>
    </row>
    <row r="49" spans="1:8" ht="15.75">
      <c r="A49" s="108">
        <v>8.4</v>
      </c>
      <c r="B49" s="203" t="s">
        <v>321</v>
      </c>
      <c r="C49" s="218">
        <v>0</v>
      </c>
      <c r="D49" s="218">
        <v>0</v>
      </c>
      <c r="E49" s="239">
        <f t="shared" si="1"/>
        <v>0</v>
      </c>
      <c r="F49" s="218">
        <v>0</v>
      </c>
      <c r="G49" s="218">
        <v>0</v>
      </c>
      <c r="H49" s="219">
        <f t="shared" si="0"/>
        <v>0</v>
      </c>
    </row>
    <row r="50" spans="1:8" ht="15.75">
      <c r="A50" s="108">
        <v>8.5</v>
      </c>
      <c r="B50" s="203" t="s">
        <v>322</v>
      </c>
      <c r="C50" s="218">
        <v>0</v>
      </c>
      <c r="D50" s="218">
        <v>0</v>
      </c>
      <c r="E50" s="239">
        <f t="shared" si="1"/>
        <v>0</v>
      </c>
      <c r="F50" s="218">
        <v>0</v>
      </c>
      <c r="G50" s="218">
        <v>0</v>
      </c>
      <c r="H50" s="219">
        <f t="shared" si="0"/>
        <v>0</v>
      </c>
    </row>
    <row r="51" spans="1:8" ht="15.75">
      <c r="A51" s="108">
        <v>8.6</v>
      </c>
      <c r="B51" s="203" t="s">
        <v>323</v>
      </c>
      <c r="C51" s="218">
        <v>0</v>
      </c>
      <c r="D51" s="218">
        <v>0</v>
      </c>
      <c r="E51" s="239">
        <f t="shared" si="1"/>
        <v>0</v>
      </c>
      <c r="F51" s="218">
        <v>0</v>
      </c>
      <c r="G51" s="218">
        <v>0</v>
      </c>
      <c r="H51" s="219">
        <f t="shared" si="0"/>
        <v>0</v>
      </c>
    </row>
    <row r="52" spans="1:8" ht="15.75">
      <c r="A52" s="108">
        <v>8.6999999999999993</v>
      </c>
      <c r="B52" s="203" t="s">
        <v>324</v>
      </c>
      <c r="C52" s="218">
        <v>0</v>
      </c>
      <c r="D52" s="218">
        <v>0</v>
      </c>
      <c r="E52" s="239">
        <f t="shared" si="1"/>
        <v>0</v>
      </c>
      <c r="F52" s="218">
        <v>0</v>
      </c>
      <c r="G52" s="218">
        <v>0</v>
      </c>
      <c r="H52" s="219">
        <f t="shared" si="0"/>
        <v>0</v>
      </c>
    </row>
    <row r="53" spans="1:8" ht="16.5" thickBot="1">
      <c r="A53" s="206">
        <v>9</v>
      </c>
      <c r="B53" s="207" t="s">
        <v>325</v>
      </c>
      <c r="C53" s="240">
        <v>0</v>
      </c>
      <c r="D53" s="240">
        <v>0</v>
      </c>
      <c r="E53" s="241">
        <f t="shared" si="1"/>
        <v>0</v>
      </c>
      <c r="F53" s="240">
        <v>0</v>
      </c>
      <c r="G53" s="240">
        <v>0</v>
      </c>
      <c r="H53" s="22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140625" defaultRowHeight="12.75"/>
  <cols>
    <col min="1" max="1" width="9.5703125" style="1" bestFit="1" customWidth="1"/>
    <col min="2" max="2" width="93.5703125" style="1" customWidth="1"/>
    <col min="3" max="4" width="12.7109375" style="1" customWidth="1"/>
    <col min="5" max="7" width="12.140625" style="9" customWidth="1"/>
    <col min="8" max="11" width="9.7109375" style="9" customWidth="1"/>
    <col min="12" max="16384" width="9.140625" style="9"/>
  </cols>
  <sheetData>
    <row r="1" spans="1:7" ht="15">
      <c r="A1" s="14" t="s">
        <v>188</v>
      </c>
      <c r="B1" s="13" t="str">
        <f>Info!C2</f>
        <v>ს.ს. "ტერაბანკი"</v>
      </c>
      <c r="C1" s="13"/>
    </row>
    <row r="2" spans="1:7" ht="15">
      <c r="A2" s="14" t="s">
        <v>189</v>
      </c>
      <c r="B2" s="418">
        <f>'1. key ratios'!B2</f>
        <v>44742</v>
      </c>
      <c r="C2" s="13"/>
    </row>
    <row r="3" spans="1:7" ht="15">
      <c r="A3" s="14"/>
      <c r="B3" s="13"/>
      <c r="C3" s="13"/>
    </row>
    <row r="4" spans="1:7" ht="15" customHeight="1" thickBot="1">
      <c r="A4" s="197" t="s">
        <v>332</v>
      </c>
      <c r="B4" s="198" t="s">
        <v>187</v>
      </c>
      <c r="C4" s="199" t="s">
        <v>93</v>
      </c>
    </row>
    <row r="5" spans="1:7" ht="15" customHeight="1">
      <c r="A5" s="195" t="s">
        <v>26</v>
      </c>
      <c r="B5" s="196"/>
      <c r="C5" s="419" t="str">
        <f>INT((MONTH($B$2))/3)&amp;"Q"&amp;"-"&amp;YEAR($B$2)</f>
        <v>2Q-2022</v>
      </c>
      <c r="D5" s="419" t="str">
        <f>IF(INT(MONTH($B$2))=3, "4"&amp;"Q"&amp;"-"&amp;YEAR($B$2)-1, IF(INT(MONTH($B$2))=6, "1"&amp;"Q"&amp;"-"&amp;YEAR($B$2), IF(INT(MONTH($B$2))=9, "2"&amp;"Q"&amp;"-"&amp;YEAR($B$2),IF(INT(MONTH($B$2))=12, "3"&amp;"Q"&amp;"-"&amp;YEAR($B$2), 0))))</f>
        <v>1Q-2022</v>
      </c>
      <c r="E5" s="419" t="str">
        <f>IF(INT(MONTH($B$2))=3, "3"&amp;"Q"&amp;"-"&amp;YEAR($B$2)-1, IF(INT(MONTH($B$2))=6, "4"&amp;"Q"&amp;"-"&amp;YEAR($B$2)-1, IF(INT(MONTH($B$2))=9, "1"&amp;"Q"&amp;"-"&amp;YEAR($B$2),IF(INT(MONTH($B$2))=12, "2"&amp;"Q"&amp;"-"&amp;YEAR($B$2), 0))))</f>
        <v>4Q-2021</v>
      </c>
      <c r="F5" s="419" t="str">
        <f>IF(INT(MONTH($B$2))=3, "2"&amp;"Q"&amp;"-"&amp;YEAR($B$2)-1, IF(INT(MONTH($B$2))=6, "3"&amp;"Q"&amp;"-"&amp;YEAR($B$2)-1, IF(INT(MONTH($B$2))=9, "4"&amp;"Q"&amp;"-"&amp;YEAR($B$2)-1,IF(INT(MONTH($B$2))=12, "1"&amp;"Q"&amp;"-"&amp;YEAR($B$2), 0))))</f>
        <v>3Q-2021</v>
      </c>
      <c r="G5" s="419" t="str">
        <f>IF(INT(MONTH($B$2))=3, "1"&amp;"Q"&amp;"-"&amp;YEAR($B$2)-1, IF(INT(MONTH($B$2))=6, "2"&amp;"Q"&amp;"-"&amp;YEAR($B$2)-1, IF(INT(MONTH($B$2))=9, "3"&amp;"Q"&amp;"-"&amp;YEAR($B$2)-1,IF(INT(MONTH($B$2))=12, "4"&amp;"Q"&amp;"-"&amp;YEAR($B$2)-1, 0))))</f>
        <v>2Q-2021</v>
      </c>
    </row>
    <row r="6" spans="1:7" ht="15" customHeight="1">
      <c r="A6" s="345">
        <v>1</v>
      </c>
      <c r="B6" s="403" t="s">
        <v>192</v>
      </c>
      <c r="C6" s="346">
        <f>C7+C9+C10</f>
        <v>1049203338.7283688</v>
      </c>
      <c r="D6" s="405">
        <f>D7+D9+D10</f>
        <v>1032420386.6617638</v>
      </c>
      <c r="E6" s="347">
        <f t="shared" ref="E6:G6" si="0">E7+E9+E10</f>
        <v>1002728872.2713515</v>
      </c>
      <c r="F6" s="346">
        <f t="shared" si="0"/>
        <v>965651446.33749986</v>
      </c>
      <c r="G6" s="406">
        <f t="shared" si="0"/>
        <v>979824384.03484762</v>
      </c>
    </row>
    <row r="7" spans="1:7" ht="15" customHeight="1">
      <c r="A7" s="345">
        <v>1.1000000000000001</v>
      </c>
      <c r="B7" s="348" t="s">
        <v>478</v>
      </c>
      <c r="C7" s="349">
        <v>1008065502.2947187</v>
      </c>
      <c r="D7" s="407">
        <v>995364395.34226382</v>
      </c>
      <c r="E7" s="349">
        <v>970101006.45685148</v>
      </c>
      <c r="F7" s="349">
        <v>937814523.81499982</v>
      </c>
      <c r="G7" s="408">
        <v>954145441.56349766</v>
      </c>
    </row>
    <row r="8" spans="1:7" ht="25.5">
      <c r="A8" s="345" t="s">
        <v>252</v>
      </c>
      <c r="B8" s="350" t="s">
        <v>326</v>
      </c>
      <c r="C8" s="349">
        <v>0</v>
      </c>
      <c r="D8" s="407">
        <v>0</v>
      </c>
      <c r="E8" s="349">
        <v>0</v>
      </c>
      <c r="F8" s="349">
        <v>0</v>
      </c>
      <c r="G8" s="408">
        <v>0</v>
      </c>
    </row>
    <row r="9" spans="1:7" ht="15" customHeight="1">
      <c r="A9" s="345">
        <v>1.2</v>
      </c>
      <c r="B9" s="348" t="s">
        <v>22</v>
      </c>
      <c r="C9" s="349">
        <v>39824476.43925</v>
      </c>
      <c r="D9" s="407">
        <v>35860145.319500007</v>
      </c>
      <c r="E9" s="349">
        <v>31278533.144499991</v>
      </c>
      <c r="F9" s="349">
        <v>26111884.892499991</v>
      </c>
      <c r="G9" s="408">
        <v>24338154.86074999</v>
      </c>
    </row>
    <row r="10" spans="1:7" ht="15" customHeight="1">
      <c r="A10" s="345">
        <v>1.3</v>
      </c>
      <c r="B10" s="404" t="s">
        <v>77</v>
      </c>
      <c r="C10" s="349">
        <v>1313359.9944</v>
      </c>
      <c r="D10" s="407">
        <v>1195846</v>
      </c>
      <c r="E10" s="349">
        <v>1349332.67</v>
      </c>
      <c r="F10" s="349">
        <v>1725037.6300000001</v>
      </c>
      <c r="G10" s="408">
        <v>1340787.6106</v>
      </c>
    </row>
    <row r="11" spans="1:7" ht="15" customHeight="1">
      <c r="A11" s="345">
        <v>2</v>
      </c>
      <c r="B11" s="403" t="s">
        <v>193</v>
      </c>
      <c r="C11" s="349">
        <v>22919644.720000107</v>
      </c>
      <c r="D11" s="407">
        <v>26979981.020000007</v>
      </c>
      <c r="E11" s="349">
        <v>29520683.129999924</v>
      </c>
      <c r="F11" s="349">
        <v>26498769.699999984</v>
      </c>
      <c r="G11" s="408">
        <v>26502380.349999961</v>
      </c>
    </row>
    <row r="12" spans="1:7" ht="15" customHeight="1">
      <c r="A12" s="345">
        <v>3</v>
      </c>
      <c r="B12" s="403" t="s">
        <v>191</v>
      </c>
      <c r="C12" s="349">
        <v>100082740.24375002</v>
      </c>
      <c r="D12" s="407">
        <v>100082740.24375002</v>
      </c>
      <c r="E12" s="349">
        <v>100082740.24375002</v>
      </c>
      <c r="F12" s="349">
        <v>99313156.550000012</v>
      </c>
      <c r="G12" s="408">
        <v>99313156.550000012</v>
      </c>
    </row>
    <row r="13" spans="1:7" ht="15" customHeight="1" thickBot="1">
      <c r="A13" s="121">
        <v>4</v>
      </c>
      <c r="B13" s="411" t="s">
        <v>253</v>
      </c>
      <c r="C13" s="242">
        <f>C6+C11+C12</f>
        <v>1172205723.6921189</v>
      </c>
      <c r="D13" s="409">
        <f>D6+D11+D12</f>
        <v>1159483107.9255137</v>
      </c>
      <c r="E13" s="243">
        <f t="shared" ref="E13:G13" si="1">E6+E11+E12</f>
        <v>1132332295.6451013</v>
      </c>
      <c r="F13" s="242">
        <f t="shared" si="1"/>
        <v>1091463372.5874999</v>
      </c>
      <c r="G13" s="410">
        <f t="shared" si="1"/>
        <v>1105639920.9348476</v>
      </c>
    </row>
    <row r="14" spans="1:7">
      <c r="B14" s="18"/>
    </row>
    <row r="15" spans="1:7" ht="25.5">
      <c r="B15" s="18" t="s">
        <v>479</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3"/>
  <sheetViews>
    <sheetView showGridLines="0" zoomScaleNormal="100" workbookViewId="0">
      <pane xSplit="1" ySplit="4" topLeftCell="B5" activePane="bottomRight" state="frozen"/>
      <selection pane="topRight" activeCell="B1" sqref="B1"/>
      <selection pane="bottomLeft" activeCell="A4" sqref="A4"/>
      <selection pane="bottomRight" activeCell="B8" sqref="B8"/>
    </sheetView>
  </sheetViews>
  <sheetFormatPr defaultRowHeight="15"/>
  <cols>
    <col min="1" max="1" width="9.5703125" style="1" bestFit="1" customWidth="1"/>
    <col min="2" max="2" width="74.5703125" style="1" customWidth="1"/>
    <col min="3" max="3" width="34.28515625" style="1" customWidth="1"/>
  </cols>
  <sheetData>
    <row r="1" spans="1:8">
      <c r="A1" s="1" t="s">
        <v>188</v>
      </c>
      <c r="B1" s="1" t="str">
        <f>Info!C2</f>
        <v>ს.ს. "ტერაბანკი"</v>
      </c>
    </row>
    <row r="2" spans="1:8">
      <c r="A2" s="1" t="s">
        <v>189</v>
      </c>
      <c r="B2" s="435">
        <f>'1. key ratios'!B2</f>
        <v>44742</v>
      </c>
    </row>
    <row r="4" spans="1:8" ht="25.5" customHeight="1" thickBot="1">
      <c r="A4" s="208" t="s">
        <v>333</v>
      </c>
      <c r="B4" s="53" t="s">
        <v>149</v>
      </c>
      <c r="C4" s="10"/>
    </row>
    <row r="5" spans="1:8" ht="15.75">
      <c r="A5" s="8"/>
      <c r="B5" s="399" t="s">
        <v>150</v>
      </c>
      <c r="C5" s="416" t="s">
        <v>493</v>
      </c>
    </row>
    <row r="6" spans="1:8">
      <c r="A6" s="11">
        <v>1</v>
      </c>
      <c r="B6" s="54" t="s">
        <v>743</v>
      </c>
      <c r="C6" s="412" t="s">
        <v>747</v>
      </c>
    </row>
    <row r="7" spans="1:8">
      <c r="A7" s="11">
        <v>2</v>
      </c>
      <c r="B7" s="54" t="s">
        <v>748</v>
      </c>
      <c r="C7" s="412" t="s">
        <v>749</v>
      </c>
    </row>
    <row r="8" spans="1:8">
      <c r="A8" s="11">
        <v>3</v>
      </c>
      <c r="B8" s="54" t="s">
        <v>750</v>
      </c>
      <c r="C8" s="412" t="s">
        <v>749</v>
      </c>
    </row>
    <row r="9" spans="1:8">
      <c r="A9" s="11">
        <v>4</v>
      </c>
      <c r="B9" s="54" t="s">
        <v>751</v>
      </c>
      <c r="C9" s="412" t="s">
        <v>752</v>
      </c>
    </row>
    <row r="10" spans="1:8">
      <c r="A10" s="11">
        <v>5</v>
      </c>
      <c r="B10" s="54" t="s">
        <v>753</v>
      </c>
      <c r="C10" s="412" t="s">
        <v>752</v>
      </c>
    </row>
    <row r="11" spans="1:8">
      <c r="A11" s="11">
        <v>6</v>
      </c>
      <c r="B11" s="54" t="s">
        <v>754</v>
      </c>
      <c r="C11" s="412" t="s">
        <v>752</v>
      </c>
    </row>
    <row r="12" spans="1:8">
      <c r="A12" s="11">
        <v>7</v>
      </c>
      <c r="B12" s="54"/>
      <c r="C12" s="412"/>
      <c r="H12" s="2"/>
    </row>
    <row r="13" spans="1:8">
      <c r="A13" s="11">
        <v>8</v>
      </c>
      <c r="B13" s="54"/>
      <c r="C13" s="412"/>
    </row>
    <row r="14" spans="1:8">
      <c r="A14" s="11">
        <v>9</v>
      </c>
      <c r="B14" s="54"/>
      <c r="C14" s="412"/>
    </row>
    <row r="15" spans="1:8">
      <c r="A15" s="11">
        <v>10</v>
      </c>
      <c r="B15" s="54"/>
      <c r="C15" s="412"/>
    </row>
    <row r="16" spans="1:8">
      <c r="A16" s="11"/>
      <c r="B16" s="634"/>
      <c r="C16" s="635"/>
    </row>
    <row r="17" spans="1:3" ht="60">
      <c r="A17" s="11"/>
      <c r="B17" s="400" t="s">
        <v>151</v>
      </c>
      <c r="C17" s="417" t="s">
        <v>494</v>
      </c>
    </row>
    <row r="18" spans="1:3" ht="15.75">
      <c r="A18" s="11">
        <v>1</v>
      </c>
      <c r="B18" s="22" t="s">
        <v>755</v>
      </c>
      <c r="C18" s="414" t="s">
        <v>756</v>
      </c>
    </row>
    <row r="19" spans="1:3" ht="15.75">
      <c r="A19" s="11">
        <v>2</v>
      </c>
      <c r="B19" s="22" t="s">
        <v>757</v>
      </c>
      <c r="C19" s="414" t="s">
        <v>758</v>
      </c>
    </row>
    <row r="20" spans="1:3" ht="15.75">
      <c r="A20" s="11">
        <v>3</v>
      </c>
      <c r="B20" s="22" t="s">
        <v>759</v>
      </c>
      <c r="C20" s="414" t="s">
        <v>760</v>
      </c>
    </row>
    <row r="21" spans="1:3" ht="15.75">
      <c r="A21" s="11">
        <v>4</v>
      </c>
      <c r="B21" s="22" t="s">
        <v>761</v>
      </c>
      <c r="C21" s="414" t="s">
        <v>762</v>
      </c>
    </row>
    <row r="22" spans="1:3" ht="15.75">
      <c r="A22" s="11">
        <v>5</v>
      </c>
      <c r="B22" s="22" t="s">
        <v>763</v>
      </c>
      <c r="C22" s="414" t="s">
        <v>764</v>
      </c>
    </row>
    <row r="23" spans="1:3" ht="15.75">
      <c r="A23" s="11">
        <v>6</v>
      </c>
      <c r="B23" s="22"/>
      <c r="C23" s="414"/>
    </row>
    <row r="24" spans="1:3" ht="15.75">
      <c r="A24" s="11">
        <v>7</v>
      </c>
      <c r="B24" s="22"/>
      <c r="C24" s="414"/>
    </row>
    <row r="25" spans="1:3" ht="15.75">
      <c r="A25" s="11">
        <v>8</v>
      </c>
      <c r="B25" s="22"/>
      <c r="C25" s="414"/>
    </row>
    <row r="26" spans="1:3" ht="15.75">
      <c r="A26" s="11">
        <v>9</v>
      </c>
      <c r="B26" s="22"/>
      <c r="C26" s="414"/>
    </row>
    <row r="27" spans="1:3" ht="15.75" customHeight="1">
      <c r="A27" s="11">
        <v>10</v>
      </c>
      <c r="B27" s="22"/>
      <c r="C27" s="415"/>
    </row>
    <row r="28" spans="1:3" ht="15.75" customHeight="1">
      <c r="A28" s="11"/>
      <c r="B28" s="22"/>
      <c r="C28" s="23"/>
    </row>
    <row r="29" spans="1:3" ht="30" customHeight="1">
      <c r="A29" s="11"/>
      <c r="B29" s="636" t="s">
        <v>152</v>
      </c>
      <c r="C29" s="637"/>
    </row>
    <row r="30" spans="1:3">
      <c r="A30" s="11">
        <v>1</v>
      </c>
      <c r="B30" s="54" t="s">
        <v>743</v>
      </c>
      <c r="C30" s="536">
        <v>0.65</v>
      </c>
    </row>
    <row r="31" spans="1:3">
      <c r="A31" s="531">
        <v>2</v>
      </c>
      <c r="B31" s="532" t="s">
        <v>765</v>
      </c>
      <c r="C31" s="536">
        <v>0.15</v>
      </c>
    </row>
    <row r="32" spans="1:3">
      <c r="A32" s="531">
        <v>3</v>
      </c>
      <c r="B32" s="532" t="s">
        <v>766</v>
      </c>
      <c r="C32" s="536">
        <v>0.15</v>
      </c>
    </row>
    <row r="33" spans="1:3">
      <c r="A33" s="531">
        <v>4</v>
      </c>
      <c r="B33" s="532" t="s">
        <v>767</v>
      </c>
      <c r="C33" s="536">
        <v>0.05</v>
      </c>
    </row>
    <row r="34" spans="1:3">
      <c r="A34" s="531"/>
      <c r="B34" s="532"/>
      <c r="C34" s="55"/>
    </row>
    <row r="35" spans="1:3">
      <c r="A35" s="531"/>
      <c r="B35" s="532"/>
      <c r="C35" s="55"/>
    </row>
    <row r="36" spans="1:3" ht="15.75" customHeight="1">
      <c r="A36" s="11"/>
      <c r="B36" s="54"/>
      <c r="C36" s="55"/>
    </row>
    <row r="37" spans="1:3" ht="29.25" customHeight="1">
      <c r="A37" s="11"/>
      <c r="B37" s="636" t="s">
        <v>273</v>
      </c>
      <c r="C37" s="637"/>
    </row>
    <row r="38" spans="1:3">
      <c r="A38" s="11">
        <v>1</v>
      </c>
      <c r="B38" s="54" t="s">
        <v>743</v>
      </c>
      <c r="C38" s="537">
        <v>0.65</v>
      </c>
    </row>
    <row r="39" spans="1:3">
      <c r="A39" s="533">
        <v>2</v>
      </c>
      <c r="B39" s="534" t="s">
        <v>765</v>
      </c>
      <c r="C39" s="538">
        <v>0.15</v>
      </c>
    </row>
    <row r="40" spans="1:3">
      <c r="A40" s="533">
        <v>3</v>
      </c>
      <c r="B40" s="534" t="s">
        <v>766</v>
      </c>
      <c r="C40" s="538">
        <v>0.15</v>
      </c>
    </row>
    <row r="41" spans="1:3">
      <c r="A41" s="533">
        <v>4</v>
      </c>
      <c r="B41" s="534" t="s">
        <v>767</v>
      </c>
      <c r="C41" s="538">
        <v>0.05</v>
      </c>
    </row>
    <row r="42" spans="1:3">
      <c r="A42" s="533"/>
      <c r="B42" s="534"/>
      <c r="C42" s="535"/>
    </row>
    <row r="43" spans="1:3" ht="16.5" thickBot="1">
      <c r="A43" s="12"/>
      <c r="B43" s="56"/>
      <c r="C43" s="413"/>
    </row>
  </sheetData>
  <mergeCells count="3">
    <mergeCell ref="B16:C16"/>
    <mergeCell ref="B37:C37"/>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5" zoomScaleNormal="85" workbookViewId="0">
      <pane xSplit="1" ySplit="5" topLeftCell="B6" activePane="bottomRight" state="frozen"/>
      <selection activeCell="H6" sqref="H6"/>
      <selection pane="topRight" activeCell="H6" sqref="H6"/>
      <selection pane="bottomLeft" activeCell="H6" sqref="H6"/>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35">
        <f>'1. key ratios'!B2</f>
        <v>44742</v>
      </c>
    </row>
    <row r="3" spans="1:5" s="14" customFormat="1" ht="15.75" customHeight="1"/>
    <row r="4" spans="1:5" s="14" customFormat="1" ht="15.75" customHeight="1" thickBot="1">
      <c r="A4" s="209" t="s">
        <v>334</v>
      </c>
      <c r="B4" s="210" t="s">
        <v>263</v>
      </c>
      <c r="C4" s="174"/>
      <c r="D4" s="174"/>
      <c r="E4" s="175" t="s">
        <v>93</v>
      </c>
    </row>
    <row r="5" spans="1:5" s="109" customFormat="1" ht="17.45" customHeight="1">
      <c r="A5" s="316"/>
      <c r="B5" s="317"/>
      <c r="C5" s="173" t="s">
        <v>0</v>
      </c>
      <c r="D5" s="173" t="s">
        <v>1</v>
      </c>
      <c r="E5" s="318" t="s">
        <v>2</v>
      </c>
    </row>
    <row r="6" spans="1:5" ht="14.45" customHeight="1">
      <c r="A6" s="319"/>
      <c r="B6" s="638" t="s">
        <v>231</v>
      </c>
      <c r="C6" s="638" t="s">
        <v>230</v>
      </c>
      <c r="D6" s="639" t="s">
        <v>229</v>
      </c>
      <c r="E6" s="640"/>
    </row>
    <row r="7" spans="1:5" ht="99.6" customHeight="1">
      <c r="A7" s="319"/>
      <c r="B7" s="638"/>
      <c r="C7" s="638"/>
      <c r="D7" s="314" t="s">
        <v>228</v>
      </c>
      <c r="E7" s="315" t="s">
        <v>396</v>
      </c>
    </row>
    <row r="8" spans="1:5">
      <c r="A8" s="320">
        <v>1</v>
      </c>
      <c r="B8" s="321" t="s">
        <v>154</v>
      </c>
      <c r="C8" s="322">
        <v>33683899.900000006</v>
      </c>
      <c r="D8" s="322">
        <v>0</v>
      </c>
      <c r="E8" s="323">
        <v>33683899.900000006</v>
      </c>
    </row>
    <row r="9" spans="1:5">
      <c r="A9" s="320">
        <v>2</v>
      </c>
      <c r="B9" s="321" t="s">
        <v>155</v>
      </c>
      <c r="C9" s="322">
        <v>126868087.36</v>
      </c>
      <c r="D9" s="322">
        <v>0</v>
      </c>
      <c r="E9" s="323">
        <v>126868087.36</v>
      </c>
    </row>
    <row r="10" spans="1:5">
      <c r="A10" s="320">
        <v>3</v>
      </c>
      <c r="B10" s="321" t="s">
        <v>227</v>
      </c>
      <c r="C10" s="322">
        <v>9908461.8499999996</v>
      </c>
      <c r="D10" s="322">
        <v>0</v>
      </c>
      <c r="E10" s="323">
        <v>9908461.8499999996</v>
      </c>
    </row>
    <row r="11" spans="1:5">
      <c r="A11" s="320">
        <v>4</v>
      </c>
      <c r="B11" s="321" t="s">
        <v>185</v>
      </c>
      <c r="C11" s="322">
        <v>0</v>
      </c>
      <c r="D11" s="322">
        <v>0</v>
      </c>
      <c r="E11" s="323">
        <v>0</v>
      </c>
    </row>
    <row r="12" spans="1:5">
      <c r="A12" s="320">
        <v>5</v>
      </c>
      <c r="B12" s="321" t="s">
        <v>157</v>
      </c>
      <c r="C12" s="322">
        <v>153115320.19999999</v>
      </c>
      <c r="D12" s="322">
        <v>0</v>
      </c>
      <c r="E12" s="323">
        <v>153115320.19999999</v>
      </c>
    </row>
    <row r="13" spans="1:5">
      <c r="A13" s="320">
        <v>6.1</v>
      </c>
      <c r="B13" s="321" t="s">
        <v>158</v>
      </c>
      <c r="C13" s="324">
        <v>1044853951.8300011</v>
      </c>
      <c r="D13" s="322">
        <v>0</v>
      </c>
      <c r="E13" s="323">
        <v>1044853951.8300011</v>
      </c>
    </row>
    <row r="14" spans="1:5">
      <c r="A14" s="320">
        <v>6.2</v>
      </c>
      <c r="B14" s="325" t="s">
        <v>159</v>
      </c>
      <c r="C14" s="324">
        <v>47729652.000000134</v>
      </c>
      <c r="D14" s="322">
        <v>0</v>
      </c>
      <c r="E14" s="323">
        <v>47729652.000000134</v>
      </c>
    </row>
    <row r="15" spans="1:5">
      <c r="A15" s="320">
        <v>6</v>
      </c>
      <c r="B15" s="321" t="s">
        <v>226</v>
      </c>
      <c r="C15" s="322">
        <v>997124299.83000112</v>
      </c>
      <c r="D15" s="322">
        <v>0</v>
      </c>
      <c r="E15" s="323">
        <v>997124299.83000112</v>
      </c>
    </row>
    <row r="16" spans="1:5">
      <c r="A16" s="320">
        <v>7</v>
      </c>
      <c r="B16" s="321" t="s">
        <v>161</v>
      </c>
      <c r="C16" s="322">
        <v>12179876.750000024</v>
      </c>
      <c r="D16" s="322">
        <v>0</v>
      </c>
      <c r="E16" s="323">
        <v>12179876.750000024</v>
      </c>
    </row>
    <row r="17" spans="1:7">
      <c r="A17" s="320">
        <v>8</v>
      </c>
      <c r="B17" s="321" t="s">
        <v>162</v>
      </c>
      <c r="C17" s="322">
        <v>4635228.3099999931</v>
      </c>
      <c r="D17" s="322">
        <v>0</v>
      </c>
      <c r="E17" s="323">
        <v>4635228.3099999931</v>
      </c>
      <c r="F17" s="3"/>
      <c r="G17" s="3"/>
    </row>
    <row r="18" spans="1:7">
      <c r="A18" s="320">
        <v>9</v>
      </c>
      <c r="B18" s="321" t="s">
        <v>163</v>
      </c>
      <c r="C18" s="322">
        <v>0</v>
      </c>
      <c r="D18" s="322">
        <v>0</v>
      </c>
      <c r="E18" s="323">
        <v>0</v>
      </c>
      <c r="G18" s="3"/>
    </row>
    <row r="19" spans="1:7" ht="25.5">
      <c r="A19" s="320">
        <v>10</v>
      </c>
      <c r="B19" s="321" t="s">
        <v>164</v>
      </c>
      <c r="C19" s="322">
        <v>46687861.470000021</v>
      </c>
      <c r="D19" s="322">
        <v>23650896</v>
      </c>
      <c r="E19" s="323">
        <v>23036965.470000021</v>
      </c>
      <c r="G19" s="3"/>
    </row>
    <row r="20" spans="1:7">
      <c r="A20" s="320">
        <v>11</v>
      </c>
      <c r="B20" s="321" t="s">
        <v>165</v>
      </c>
      <c r="C20" s="322">
        <v>8025379.0039999997</v>
      </c>
      <c r="D20" s="322">
        <v>0</v>
      </c>
      <c r="E20" s="323">
        <v>8025379.0039999997</v>
      </c>
    </row>
    <row r="21" spans="1:7" ht="39" thickBot="1">
      <c r="A21" s="326"/>
      <c r="B21" s="327" t="s">
        <v>369</v>
      </c>
      <c r="C21" s="280">
        <f>SUM(C8:C12, C15:C20)</f>
        <v>1392228414.674001</v>
      </c>
      <c r="D21" s="280">
        <f>SUM(D8:D12, D15:D20)</f>
        <v>23650896</v>
      </c>
      <c r="E21" s="328">
        <f>SUM(E8:E12, E15:E20)</f>
        <v>1368577518.674001</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35">
        <f>'1. key ratios'!B2</f>
        <v>44742</v>
      </c>
      <c r="C2"/>
      <c r="D2"/>
      <c r="E2"/>
      <c r="F2"/>
    </row>
    <row r="3" spans="1:6" s="14" customFormat="1" ht="15.75" customHeight="1">
      <c r="C3"/>
      <c r="D3"/>
      <c r="E3"/>
      <c r="F3"/>
    </row>
    <row r="4" spans="1:6" s="14" customFormat="1" ht="26.25" thickBot="1">
      <c r="A4" s="14" t="s">
        <v>335</v>
      </c>
      <c r="B4" s="181" t="s">
        <v>266</v>
      </c>
      <c r="C4" s="175" t="s">
        <v>93</v>
      </c>
      <c r="D4"/>
      <c r="E4"/>
      <c r="F4"/>
    </row>
    <row r="5" spans="1:6" ht="26.25">
      <c r="A5" s="176">
        <v>1</v>
      </c>
      <c r="B5" s="177" t="s">
        <v>342</v>
      </c>
      <c r="C5" s="244">
        <f>'7. LI1'!E21</f>
        <v>1368577518.674001</v>
      </c>
    </row>
    <row r="6" spans="1:6">
      <c r="A6" s="108">
        <v>2.1</v>
      </c>
      <c r="B6" s="183" t="s">
        <v>267</v>
      </c>
      <c r="C6" s="245">
        <v>99823097.260000005</v>
      </c>
    </row>
    <row r="7" spans="1:6" s="2" customFormat="1" ht="25.5" outlineLevel="1">
      <c r="A7" s="182">
        <v>2.2000000000000002</v>
      </c>
      <c r="B7" s="178" t="s">
        <v>268</v>
      </c>
      <c r="C7" s="246">
        <v>65667999.719999999</v>
      </c>
    </row>
    <row r="8" spans="1:6" s="2" customFormat="1" ht="26.25">
      <c r="A8" s="182">
        <v>3</v>
      </c>
      <c r="B8" s="179" t="s">
        <v>343</v>
      </c>
      <c r="C8" s="247">
        <f>SUM(C5:C7)</f>
        <v>1534068615.654001</v>
      </c>
    </row>
    <row r="9" spans="1:6">
      <c r="A9" s="108">
        <v>4</v>
      </c>
      <c r="B9" s="186" t="s">
        <v>264</v>
      </c>
      <c r="C9" s="245">
        <v>18049432.240000006</v>
      </c>
    </row>
    <row r="10" spans="1:6" s="2" customFormat="1" ht="25.5" outlineLevel="1">
      <c r="A10" s="182">
        <v>5.0999999999999996</v>
      </c>
      <c r="B10" s="178" t="s">
        <v>274</v>
      </c>
      <c r="C10" s="246">
        <v>-46665268.005000062</v>
      </c>
    </row>
    <row r="11" spans="1:6" s="2" customFormat="1" ht="25.5" outlineLevel="1">
      <c r="A11" s="182">
        <v>5.2</v>
      </c>
      <c r="B11" s="178" t="s">
        <v>275</v>
      </c>
      <c r="C11" s="246">
        <v>-64354639.725599997</v>
      </c>
    </row>
    <row r="12" spans="1:6" s="2" customFormat="1">
      <c r="A12" s="182">
        <v>6</v>
      </c>
      <c r="B12" s="184" t="s">
        <v>480</v>
      </c>
      <c r="C12" s="246">
        <v>0</v>
      </c>
    </row>
    <row r="13" spans="1:6" s="2" customFormat="1" ht="15.75" thickBot="1">
      <c r="A13" s="185">
        <v>7</v>
      </c>
      <c r="B13" s="180" t="s">
        <v>265</v>
      </c>
      <c r="C13" s="248">
        <f>SUM(C8:C12)</f>
        <v>1441098140.1634009</v>
      </c>
    </row>
    <row r="15" spans="1:6" ht="26.25">
      <c r="B15" s="18" t="s">
        <v>481</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05iIq4xm3rNjS7z7wblgSpMclJb3iKshAFDI150Ir9g=</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9mKo54aBqwEC4a75IPUlmTehoiHeDEsnB6vpUDq/3zY=</DigestValue>
    </Reference>
  </SignedInfo>
  <SignatureValue>fGbjjHd9pHendEhoIgARE4updD6ZjxnGhXmm7YiUkFUu0xobl5zSlT1ZtDf7edR4zfEekI/dR/1s
Fx+3pLK9K7JW5IOSH2vblf1zTEs6ZlXuxOUm6Vtgm5lKKfCvuUt48Ahqs7qVfp4EYJnDA03m3miE
aCvadS+BJRkCFfpZqZ312F4kx6sDHZr9/1rrA3KBwHtAvs74shw/QTo74R/PfUVyAApPwRoWSopm
WJSAnirIGSZftWbL5D8s77lzTnwwbas0gI8UiXQgs8xhEVJK5B38leWCp6iSB68zF95dSI1m9k3P
uNSOO6J1V25Nx83CyWJtz7uDgpTyG0ZziQ8wZg==</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EYDYnVEbUM7hVjKt0eQzf5pIsZEapX2mgCSfdFlgOyA=</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gjtUiWLmmzG5lGtBlVDfiV7iNp6bLRTFnWx4jBC2KTk=</DigestValue>
      </Reference>
      <Reference URI="/xl/styles.xml?ContentType=application/vnd.openxmlformats-officedocument.spreadsheetml.styles+xml">
        <DigestMethod Algorithm="http://www.w3.org/2001/04/xmlenc#sha256"/>
        <DigestValue>W7C4rGb6U1ySkmkpME+iWAK6K/oFr65XoaHABBJIMz4=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BAp0/g0fPo5wJz5QEFfkgRmL9eQnHaG8KAneBDwzjQE=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K8irJeUWUq7IU0sm3A6iDKfRrY+duxh+WZCNQjCWSKI=</DigestValue>
      </Reference>
      <Reference URI="/xl/worksheets/sheet10.xml?ContentType=application/vnd.openxmlformats-officedocument.spreadsheetml.worksheet+xml">
        <DigestMethod Algorithm="http://www.w3.org/2001/04/xmlenc#sha256"/>
        <DigestValue>nVLEGRv7RODzAWhc4vDdpia32ygNFohFFD/5+ghNB+o=</DigestValue>
      </Reference>
      <Reference URI="/xl/worksheets/sheet11.xml?ContentType=application/vnd.openxmlformats-officedocument.spreadsheetml.worksheet+xml">
        <DigestMethod Algorithm="http://www.w3.org/2001/04/xmlenc#sha256"/>
        <DigestValue>gxVNzy78tNxXLsaIajGzpoAgcoS34kCQZs34op76pCM=</DigestValue>
      </Reference>
      <Reference URI="/xl/worksheets/sheet12.xml?ContentType=application/vnd.openxmlformats-officedocument.spreadsheetml.worksheet+xml">
        <DigestMethod Algorithm="http://www.w3.org/2001/04/xmlenc#sha256"/>
        <DigestValue>+om4EpoMx+GVvpdIUUP4lSTSDFhg2hOdh7ayHjUGEvc=</DigestValue>
      </Reference>
      <Reference URI="/xl/worksheets/sheet13.xml?ContentType=application/vnd.openxmlformats-officedocument.spreadsheetml.worksheet+xml">
        <DigestMethod Algorithm="http://www.w3.org/2001/04/xmlenc#sha256"/>
        <DigestValue>fCR6Rl1JWQ7Kz0U4DOpZj9KhnySFPZh1Q5GZMR1D+EM=</DigestValue>
      </Reference>
      <Reference URI="/xl/worksheets/sheet14.xml?ContentType=application/vnd.openxmlformats-officedocument.spreadsheetml.worksheet+xml">
        <DigestMethod Algorithm="http://www.w3.org/2001/04/xmlenc#sha256"/>
        <DigestValue>YKo2bBQ/wMk2aD30B+0zDmpANqRQFJdQA61dbG+e/68=</DigestValue>
      </Reference>
      <Reference URI="/xl/worksheets/sheet15.xml?ContentType=application/vnd.openxmlformats-officedocument.spreadsheetml.worksheet+xml">
        <DigestMethod Algorithm="http://www.w3.org/2001/04/xmlenc#sha256"/>
        <DigestValue>KkNqnJ3NIJ1nEDayyFk3KTePMkbrY9g728VEBe3c2Mg=</DigestValue>
      </Reference>
      <Reference URI="/xl/worksheets/sheet16.xml?ContentType=application/vnd.openxmlformats-officedocument.spreadsheetml.worksheet+xml">
        <DigestMethod Algorithm="http://www.w3.org/2001/04/xmlenc#sha256"/>
        <DigestValue>719FOJVlHcGlEc5awLcREdxRQCMs1vJ0sC/jYP/LbZk=</DigestValue>
      </Reference>
      <Reference URI="/xl/worksheets/sheet17.xml?ContentType=application/vnd.openxmlformats-officedocument.spreadsheetml.worksheet+xml">
        <DigestMethod Algorithm="http://www.w3.org/2001/04/xmlenc#sha256"/>
        <DigestValue>ozRxZpBTqnClQmmy+Jbe+zE90fwMSdqbwe14YZGSO9s=</DigestValue>
      </Reference>
      <Reference URI="/xl/worksheets/sheet18.xml?ContentType=application/vnd.openxmlformats-officedocument.spreadsheetml.worksheet+xml">
        <DigestMethod Algorithm="http://www.w3.org/2001/04/xmlenc#sha256"/>
        <DigestValue>zCy5aiJzBUeZHADoj3Zass4jv+cUWMTg5d0TW2HXCfs=</DigestValue>
      </Reference>
      <Reference URI="/xl/worksheets/sheet19.xml?ContentType=application/vnd.openxmlformats-officedocument.spreadsheetml.worksheet+xml">
        <DigestMethod Algorithm="http://www.w3.org/2001/04/xmlenc#sha256"/>
        <DigestValue>uiXikcvRtPJzKbEfqxSw6cQnKBOTxSRSLfpW4HZq1Mc=</DigestValue>
      </Reference>
      <Reference URI="/xl/worksheets/sheet2.xml?ContentType=application/vnd.openxmlformats-officedocument.spreadsheetml.worksheet+xml">
        <DigestMethod Algorithm="http://www.w3.org/2001/04/xmlenc#sha256"/>
        <DigestValue>htTDJb1r5ljXtZlwZq7DCqjAOIIWleGCdINKIKg3+h4=</DigestValue>
      </Reference>
      <Reference URI="/xl/worksheets/sheet20.xml?ContentType=application/vnd.openxmlformats-officedocument.spreadsheetml.worksheet+xml">
        <DigestMethod Algorithm="http://www.w3.org/2001/04/xmlenc#sha256"/>
        <DigestValue>w6XsKRwRkOnXSCBcjQNH1lR+sKEKwXctt62I3dgIMcM=</DigestValue>
      </Reference>
      <Reference URI="/xl/worksheets/sheet21.xml?ContentType=application/vnd.openxmlformats-officedocument.spreadsheetml.worksheet+xml">
        <DigestMethod Algorithm="http://www.w3.org/2001/04/xmlenc#sha256"/>
        <DigestValue>BI1AzXpqy0CMLlERxt/mPVY3EZF9ls7PLvmRkT8IpDk=</DigestValue>
      </Reference>
      <Reference URI="/xl/worksheets/sheet22.xml?ContentType=application/vnd.openxmlformats-officedocument.spreadsheetml.worksheet+xml">
        <DigestMethod Algorithm="http://www.w3.org/2001/04/xmlenc#sha256"/>
        <DigestValue>AQKY55flSFgrbpygdmlq3YkvjQRJAaTUl8b4WYLf+Z0=</DigestValue>
      </Reference>
      <Reference URI="/xl/worksheets/sheet23.xml?ContentType=application/vnd.openxmlformats-officedocument.spreadsheetml.worksheet+xml">
        <DigestMethod Algorithm="http://www.w3.org/2001/04/xmlenc#sha256"/>
        <DigestValue>AkiJudvLFSxMiCvhZozrr5P48YiGuqaLpXbSYbvLxk4=</DigestValue>
      </Reference>
      <Reference URI="/xl/worksheets/sheet24.xml?ContentType=application/vnd.openxmlformats-officedocument.spreadsheetml.worksheet+xml">
        <DigestMethod Algorithm="http://www.w3.org/2001/04/xmlenc#sha256"/>
        <DigestValue>vm1q7y0gVok6d6ArNV/kg2ieYKzFHzT0targ61iGlGM=</DigestValue>
      </Reference>
      <Reference URI="/xl/worksheets/sheet25.xml?ContentType=application/vnd.openxmlformats-officedocument.spreadsheetml.worksheet+xml">
        <DigestMethod Algorithm="http://www.w3.org/2001/04/xmlenc#sha256"/>
        <DigestValue>8m5YTUP9wkcV5ojh9ZzHmLnN7M7EbKvN8tHv2G0fhLQ=</DigestValue>
      </Reference>
      <Reference URI="/xl/worksheets/sheet26.xml?ContentType=application/vnd.openxmlformats-officedocument.spreadsheetml.worksheet+xml">
        <DigestMethod Algorithm="http://www.w3.org/2001/04/xmlenc#sha256"/>
        <DigestValue>8rwfmOFsbXunhItKOH5vssd8nuZTMWMlbBXCxzFB1N4=</DigestValue>
      </Reference>
      <Reference URI="/xl/worksheets/sheet27.xml?ContentType=application/vnd.openxmlformats-officedocument.spreadsheetml.worksheet+xml">
        <DigestMethod Algorithm="http://www.w3.org/2001/04/xmlenc#sha256"/>
        <DigestValue>eS4AF2qo//+jwqv6hc2fwKs0sBSBgVdufz39NCTmmfU=</DigestValue>
      </Reference>
      <Reference URI="/xl/worksheets/sheet28.xml?ContentType=application/vnd.openxmlformats-officedocument.spreadsheetml.worksheet+xml">
        <DigestMethod Algorithm="http://www.w3.org/2001/04/xmlenc#sha256"/>
        <DigestValue>wx017jt6QPuaf0LySQbqmQZycP2G67g8UwKshj1S59k=</DigestValue>
      </Reference>
      <Reference URI="/xl/worksheets/sheet29.xml?ContentType=application/vnd.openxmlformats-officedocument.spreadsheetml.worksheet+xml">
        <DigestMethod Algorithm="http://www.w3.org/2001/04/xmlenc#sha256"/>
        <DigestValue>gZD2WuhvM5bSpZa5X3EpuocxTnxML9p7tXQFHpU1Sp4=</DigestValue>
      </Reference>
      <Reference URI="/xl/worksheets/sheet3.xml?ContentType=application/vnd.openxmlformats-officedocument.spreadsheetml.worksheet+xml">
        <DigestMethod Algorithm="http://www.w3.org/2001/04/xmlenc#sha256"/>
        <DigestValue>3EyfmcZnsxCxxMeu8zF+H4FKEaHffpDPxjVeyoZPWoI=</DigestValue>
      </Reference>
      <Reference URI="/xl/worksheets/sheet4.xml?ContentType=application/vnd.openxmlformats-officedocument.spreadsheetml.worksheet+xml">
        <DigestMethod Algorithm="http://www.w3.org/2001/04/xmlenc#sha256"/>
        <DigestValue>rENqTOWxhpo7tgljtS0JnWqjjqxNDE8oz0RkJ5bnZlI=</DigestValue>
      </Reference>
      <Reference URI="/xl/worksheets/sheet5.xml?ContentType=application/vnd.openxmlformats-officedocument.spreadsheetml.worksheet+xml">
        <DigestMethod Algorithm="http://www.w3.org/2001/04/xmlenc#sha256"/>
        <DigestValue>8okgZZqEmLp79+4Crok1bW04+y/a5IXu+eR4XeonwbI=</DigestValue>
      </Reference>
      <Reference URI="/xl/worksheets/sheet6.xml?ContentType=application/vnd.openxmlformats-officedocument.spreadsheetml.worksheet+xml">
        <DigestMethod Algorithm="http://www.w3.org/2001/04/xmlenc#sha256"/>
        <DigestValue>+df09Dc9AexqoVEcYFaR/Y/10tdR7YbyCEOUK1j1mXo=</DigestValue>
      </Reference>
      <Reference URI="/xl/worksheets/sheet7.xml?ContentType=application/vnd.openxmlformats-officedocument.spreadsheetml.worksheet+xml">
        <DigestMethod Algorithm="http://www.w3.org/2001/04/xmlenc#sha256"/>
        <DigestValue>GKkhmG9nn84FTOvun+6n6DqcFwTmDKDs+vkVxmRrEtg=</DigestValue>
      </Reference>
      <Reference URI="/xl/worksheets/sheet8.xml?ContentType=application/vnd.openxmlformats-officedocument.spreadsheetml.worksheet+xml">
        <DigestMethod Algorithm="http://www.w3.org/2001/04/xmlenc#sha256"/>
        <DigestValue>PlDQPAdazgONrB/sCmSArRhgl2qEt6aAeXzZXuaPujg=</DigestValue>
      </Reference>
      <Reference URI="/xl/worksheets/sheet9.xml?ContentType=application/vnd.openxmlformats-officedocument.spreadsheetml.worksheet+xml">
        <DigestMethod Algorithm="http://www.w3.org/2001/04/xmlenc#sha256"/>
        <DigestValue>ChRuSwJ4VrF/5Nk2vd273nYqaYNnbtZ9+Qph/pq5LpQ=</DigestValue>
      </Reference>
    </Manifest>
    <SignatureProperties>
      <SignatureProperty Id="idSignatureTime" Target="#idPackageSignature">
        <mdssi:SignatureTime xmlns:mdssi="http://schemas.openxmlformats.org/package/2006/digital-signature">
          <mdssi:Format>YYYY-MM-DDThh:mm:ssTZD</mdssi:Format>
          <mdssi:Value>2023-03-02T10:27:25Z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2023-03-02T10:27:25Z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CZjBF7iir9owlFfoI23FN+wiTRnKpJlV6UNzqz3bV+c=</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SEa/Dw9Xb2IWJ9j0FsuZZs65Oamv3ZLlS11IQJmN51s=</DigestValue>
    </Reference>
  </SignedInfo>
  <SignatureValue>6CJ6KlyUH1YM4UdH7aJbL4wL2vGqsN7IVVp0M4+bjCqYG5fT20nr1YN+jL4tmQz+yNQwMhy+vWpi
5hJSyfLSS7WHJZRe78CsW2o7vTVVgVBu1W04buHrsxCj+pGh7xP6JPhKiIp5lUvbq/3L0X6xIflO
0Q3NBKfDj1u2mS0cS9+bWytWfTJGbWqeb/g5fjMDFi+CXE5WdsOIEdFIOjR9Tc1Lsbkss/7esWCO
xoZ49sjwOKONgbFgAXiWLhmJIa/FZpEJJn9JcGLTxNDuh14gwrIUGFOagvfAevpSFFJr1UqfdDyQ
1Zu42H4XYYHByd7syQDb8W/LuuBIEEEIy7pF9g==</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EYDYnVEbUM7hVjKt0eQzf5pIsZEapX2mgCSfdFlgOyA=</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gjtUiWLmmzG5lGtBlVDfiV7iNp6bLRTFnWx4jBC2KTk=</DigestValue>
      </Reference>
      <Reference URI="/xl/styles.xml?ContentType=application/vnd.openxmlformats-officedocument.spreadsheetml.styles+xml">
        <DigestMethod Algorithm="http://www.w3.org/2001/04/xmlenc#sha256"/>
        <DigestValue>W7C4rGb6U1ySkmkpME+iWAK6K/oFr65XoaHABBJIMz4=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BAp0/g0fPo5wJz5QEFfkgRmL9eQnHaG8KAneBDwzjQE=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K8irJeUWUq7IU0sm3A6iDKfRrY+duxh+WZCNQjCWSKI=</DigestValue>
      </Reference>
      <Reference URI="/xl/worksheets/sheet10.xml?ContentType=application/vnd.openxmlformats-officedocument.spreadsheetml.worksheet+xml">
        <DigestMethod Algorithm="http://www.w3.org/2001/04/xmlenc#sha256"/>
        <DigestValue>nVLEGRv7RODzAWhc4vDdpia32ygNFohFFD/5+ghNB+o=</DigestValue>
      </Reference>
      <Reference URI="/xl/worksheets/sheet11.xml?ContentType=application/vnd.openxmlformats-officedocument.spreadsheetml.worksheet+xml">
        <DigestMethod Algorithm="http://www.w3.org/2001/04/xmlenc#sha256"/>
        <DigestValue>gxVNzy78tNxXLsaIajGzpoAgcoS34kCQZs34op76pCM=</DigestValue>
      </Reference>
      <Reference URI="/xl/worksheets/sheet12.xml?ContentType=application/vnd.openxmlformats-officedocument.spreadsheetml.worksheet+xml">
        <DigestMethod Algorithm="http://www.w3.org/2001/04/xmlenc#sha256"/>
        <DigestValue>+om4EpoMx+GVvpdIUUP4lSTSDFhg2hOdh7ayHjUGEvc=</DigestValue>
      </Reference>
      <Reference URI="/xl/worksheets/sheet13.xml?ContentType=application/vnd.openxmlformats-officedocument.spreadsheetml.worksheet+xml">
        <DigestMethod Algorithm="http://www.w3.org/2001/04/xmlenc#sha256"/>
        <DigestValue>fCR6Rl1JWQ7Kz0U4DOpZj9KhnySFPZh1Q5GZMR1D+EM=</DigestValue>
      </Reference>
      <Reference URI="/xl/worksheets/sheet14.xml?ContentType=application/vnd.openxmlformats-officedocument.spreadsheetml.worksheet+xml">
        <DigestMethod Algorithm="http://www.w3.org/2001/04/xmlenc#sha256"/>
        <DigestValue>YKo2bBQ/wMk2aD30B+0zDmpANqRQFJdQA61dbG+e/68=</DigestValue>
      </Reference>
      <Reference URI="/xl/worksheets/sheet15.xml?ContentType=application/vnd.openxmlformats-officedocument.spreadsheetml.worksheet+xml">
        <DigestMethod Algorithm="http://www.w3.org/2001/04/xmlenc#sha256"/>
        <DigestValue>KkNqnJ3NIJ1nEDayyFk3KTePMkbrY9g728VEBe3c2Mg=</DigestValue>
      </Reference>
      <Reference URI="/xl/worksheets/sheet16.xml?ContentType=application/vnd.openxmlformats-officedocument.spreadsheetml.worksheet+xml">
        <DigestMethod Algorithm="http://www.w3.org/2001/04/xmlenc#sha256"/>
        <DigestValue>719FOJVlHcGlEc5awLcREdxRQCMs1vJ0sC/jYP/LbZk=</DigestValue>
      </Reference>
      <Reference URI="/xl/worksheets/sheet17.xml?ContentType=application/vnd.openxmlformats-officedocument.spreadsheetml.worksheet+xml">
        <DigestMethod Algorithm="http://www.w3.org/2001/04/xmlenc#sha256"/>
        <DigestValue>ozRxZpBTqnClQmmy+Jbe+zE90fwMSdqbwe14YZGSO9s=</DigestValue>
      </Reference>
      <Reference URI="/xl/worksheets/sheet18.xml?ContentType=application/vnd.openxmlformats-officedocument.spreadsheetml.worksheet+xml">
        <DigestMethod Algorithm="http://www.w3.org/2001/04/xmlenc#sha256"/>
        <DigestValue>zCy5aiJzBUeZHADoj3Zass4jv+cUWMTg5d0TW2HXCfs=</DigestValue>
      </Reference>
      <Reference URI="/xl/worksheets/sheet19.xml?ContentType=application/vnd.openxmlformats-officedocument.spreadsheetml.worksheet+xml">
        <DigestMethod Algorithm="http://www.w3.org/2001/04/xmlenc#sha256"/>
        <DigestValue>uiXikcvRtPJzKbEfqxSw6cQnKBOTxSRSLfpW4HZq1Mc=</DigestValue>
      </Reference>
      <Reference URI="/xl/worksheets/sheet2.xml?ContentType=application/vnd.openxmlformats-officedocument.spreadsheetml.worksheet+xml">
        <DigestMethod Algorithm="http://www.w3.org/2001/04/xmlenc#sha256"/>
        <DigestValue>htTDJb1r5ljXtZlwZq7DCqjAOIIWleGCdINKIKg3+h4=</DigestValue>
      </Reference>
      <Reference URI="/xl/worksheets/sheet20.xml?ContentType=application/vnd.openxmlformats-officedocument.spreadsheetml.worksheet+xml">
        <DigestMethod Algorithm="http://www.w3.org/2001/04/xmlenc#sha256"/>
        <DigestValue>w6XsKRwRkOnXSCBcjQNH1lR+sKEKwXctt62I3dgIMcM=</DigestValue>
      </Reference>
      <Reference URI="/xl/worksheets/sheet21.xml?ContentType=application/vnd.openxmlformats-officedocument.spreadsheetml.worksheet+xml">
        <DigestMethod Algorithm="http://www.w3.org/2001/04/xmlenc#sha256"/>
        <DigestValue>BI1AzXpqy0CMLlERxt/mPVY3EZF9ls7PLvmRkT8IpDk=</DigestValue>
      </Reference>
      <Reference URI="/xl/worksheets/sheet22.xml?ContentType=application/vnd.openxmlformats-officedocument.spreadsheetml.worksheet+xml">
        <DigestMethod Algorithm="http://www.w3.org/2001/04/xmlenc#sha256"/>
        <DigestValue>AQKY55flSFgrbpygdmlq3YkvjQRJAaTUl8b4WYLf+Z0=</DigestValue>
      </Reference>
      <Reference URI="/xl/worksheets/sheet23.xml?ContentType=application/vnd.openxmlformats-officedocument.spreadsheetml.worksheet+xml">
        <DigestMethod Algorithm="http://www.w3.org/2001/04/xmlenc#sha256"/>
        <DigestValue>AkiJudvLFSxMiCvhZozrr5P48YiGuqaLpXbSYbvLxk4=</DigestValue>
      </Reference>
      <Reference URI="/xl/worksheets/sheet24.xml?ContentType=application/vnd.openxmlformats-officedocument.spreadsheetml.worksheet+xml">
        <DigestMethod Algorithm="http://www.w3.org/2001/04/xmlenc#sha256"/>
        <DigestValue>vm1q7y0gVok6d6ArNV/kg2ieYKzFHzT0targ61iGlGM=</DigestValue>
      </Reference>
      <Reference URI="/xl/worksheets/sheet25.xml?ContentType=application/vnd.openxmlformats-officedocument.spreadsheetml.worksheet+xml">
        <DigestMethod Algorithm="http://www.w3.org/2001/04/xmlenc#sha256"/>
        <DigestValue>8m5YTUP9wkcV5ojh9ZzHmLnN7M7EbKvN8tHv2G0fhLQ=</DigestValue>
      </Reference>
      <Reference URI="/xl/worksheets/sheet26.xml?ContentType=application/vnd.openxmlformats-officedocument.spreadsheetml.worksheet+xml">
        <DigestMethod Algorithm="http://www.w3.org/2001/04/xmlenc#sha256"/>
        <DigestValue>8rwfmOFsbXunhItKOH5vssd8nuZTMWMlbBXCxzFB1N4=</DigestValue>
      </Reference>
      <Reference URI="/xl/worksheets/sheet27.xml?ContentType=application/vnd.openxmlformats-officedocument.spreadsheetml.worksheet+xml">
        <DigestMethod Algorithm="http://www.w3.org/2001/04/xmlenc#sha256"/>
        <DigestValue>eS4AF2qo//+jwqv6hc2fwKs0sBSBgVdufz39NCTmmfU=</DigestValue>
      </Reference>
      <Reference URI="/xl/worksheets/sheet28.xml?ContentType=application/vnd.openxmlformats-officedocument.spreadsheetml.worksheet+xml">
        <DigestMethod Algorithm="http://www.w3.org/2001/04/xmlenc#sha256"/>
        <DigestValue>wx017jt6QPuaf0LySQbqmQZycP2G67g8UwKshj1S59k=</DigestValue>
      </Reference>
      <Reference URI="/xl/worksheets/sheet29.xml?ContentType=application/vnd.openxmlformats-officedocument.spreadsheetml.worksheet+xml">
        <DigestMethod Algorithm="http://www.w3.org/2001/04/xmlenc#sha256"/>
        <DigestValue>gZD2WuhvM5bSpZa5X3EpuocxTnxML9p7tXQFHpU1Sp4=</DigestValue>
      </Reference>
      <Reference URI="/xl/worksheets/sheet3.xml?ContentType=application/vnd.openxmlformats-officedocument.spreadsheetml.worksheet+xml">
        <DigestMethod Algorithm="http://www.w3.org/2001/04/xmlenc#sha256"/>
        <DigestValue>3EyfmcZnsxCxxMeu8zF+H4FKEaHffpDPxjVeyoZPWoI=</DigestValue>
      </Reference>
      <Reference URI="/xl/worksheets/sheet4.xml?ContentType=application/vnd.openxmlformats-officedocument.spreadsheetml.worksheet+xml">
        <DigestMethod Algorithm="http://www.w3.org/2001/04/xmlenc#sha256"/>
        <DigestValue>rENqTOWxhpo7tgljtS0JnWqjjqxNDE8oz0RkJ5bnZlI=</DigestValue>
      </Reference>
      <Reference URI="/xl/worksheets/sheet5.xml?ContentType=application/vnd.openxmlformats-officedocument.spreadsheetml.worksheet+xml">
        <DigestMethod Algorithm="http://www.w3.org/2001/04/xmlenc#sha256"/>
        <DigestValue>8okgZZqEmLp79+4Crok1bW04+y/a5IXu+eR4XeonwbI=</DigestValue>
      </Reference>
      <Reference URI="/xl/worksheets/sheet6.xml?ContentType=application/vnd.openxmlformats-officedocument.spreadsheetml.worksheet+xml">
        <DigestMethod Algorithm="http://www.w3.org/2001/04/xmlenc#sha256"/>
        <DigestValue>+df09Dc9AexqoVEcYFaR/Y/10tdR7YbyCEOUK1j1mXo=</DigestValue>
      </Reference>
      <Reference URI="/xl/worksheets/sheet7.xml?ContentType=application/vnd.openxmlformats-officedocument.spreadsheetml.worksheet+xml">
        <DigestMethod Algorithm="http://www.w3.org/2001/04/xmlenc#sha256"/>
        <DigestValue>GKkhmG9nn84FTOvun+6n6DqcFwTmDKDs+vkVxmRrEtg=</DigestValue>
      </Reference>
      <Reference URI="/xl/worksheets/sheet8.xml?ContentType=application/vnd.openxmlformats-officedocument.spreadsheetml.worksheet+xml">
        <DigestMethod Algorithm="http://www.w3.org/2001/04/xmlenc#sha256"/>
        <DigestValue>PlDQPAdazgONrB/sCmSArRhgl2qEt6aAeXzZXuaPujg=</DigestValue>
      </Reference>
      <Reference URI="/xl/worksheets/sheet9.xml?ContentType=application/vnd.openxmlformats-officedocument.spreadsheetml.worksheet+xml">
        <DigestMethod Algorithm="http://www.w3.org/2001/04/xmlenc#sha256"/>
        <DigestValue>ChRuSwJ4VrF/5Nk2vd273nYqaYNnbtZ9+Qph/pq5LpQ=</DigestValue>
      </Reference>
    </Manifest>
    <SignatureProperties>
      <SignatureProperty Id="idSignatureTime" Target="#idPackageSignature">
        <mdssi:SignatureTime xmlns:mdssi="http://schemas.openxmlformats.org/package/2006/digital-signature">
          <mdssi:Format>YYYY-MM-DDThh:mm:ssTZD</mdssi:Format>
          <mdssi:Value>2023-03-02T10:28:07Z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2023-03-02T10:28:07Z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2023-02-28T08:25:12Z</dcterms:modified>
</cp:coreProperties>
</file>