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defaultThemeVersion="124226"/>
  <xr:revisionPtr revIDLastSave="0" documentId="13_ncr:201_{5AC0E452-1C97-4DCD-AB11-D956950AFED2}" xr6:coauthVersionLast="47" xr6:coauthVersionMax="47" xr10:uidLastSave="{00000000-0000-0000-0000-000000000000}"/>
  <bookViews>
    <workbookView xWindow="-120" yWindow="-120" windowWidth="29040" windowHeight="15840" tabRatio="910" firstSheet="15" activeTab="24"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71" l="1"/>
  <c r="B2" i="91"/>
  <c r="B1" i="52" l="1"/>
  <c r="B3" i="89" l="1"/>
  <c r="B3" i="88"/>
  <c r="B3" i="87"/>
  <c r="B3" i="86"/>
  <c r="B3" i="85"/>
  <c r="B3" i="84"/>
  <c r="B3" i="83"/>
  <c r="B3" i="82"/>
  <c r="B3" i="81"/>
  <c r="C10" i="85" l="1"/>
  <c r="D12" i="84"/>
  <c r="D7" i="84"/>
  <c r="I19" i="82"/>
  <c r="I18" i="82"/>
  <c r="I11" i="82"/>
  <c r="I10" i="82"/>
  <c r="I9" i="82"/>
  <c r="I8" i="82"/>
  <c r="H20" i="81"/>
  <c r="H19" i="81"/>
  <c r="H12" i="81"/>
  <c r="H11" i="81"/>
  <c r="H10" i="81"/>
  <c r="H9" i="81"/>
  <c r="B2" i="80" l="1"/>
  <c r="B1" i="80"/>
  <c r="G33" i="80"/>
  <c r="F33" i="80"/>
  <c r="E33" i="80"/>
  <c r="D33" i="80"/>
  <c r="C33" i="80"/>
  <c r="F24" i="80"/>
  <c r="E24" i="80"/>
  <c r="D24" i="80"/>
  <c r="C24" i="80"/>
  <c r="G18" i="80"/>
  <c r="F18" i="80"/>
  <c r="E18" i="80"/>
  <c r="D18" i="80"/>
  <c r="C18" i="80"/>
  <c r="G14" i="80"/>
  <c r="F14" i="80"/>
  <c r="E14" i="80"/>
  <c r="D14" i="80"/>
  <c r="C14" i="80"/>
  <c r="G11" i="80"/>
  <c r="F11" i="80"/>
  <c r="E11" i="80"/>
  <c r="D11" i="80"/>
  <c r="C11" i="80"/>
  <c r="G8" i="80"/>
  <c r="F8" i="80"/>
  <c r="E8" i="80"/>
  <c r="D8" i="80"/>
  <c r="C8" i="80"/>
  <c r="G21" i="80" l="1"/>
  <c r="B2" i="79"/>
  <c r="B2" i="37"/>
  <c r="B2" i="36"/>
  <c r="B2" i="74"/>
  <c r="B2" i="64"/>
  <c r="B2" i="35"/>
  <c r="B2" i="69"/>
  <c r="B2" i="77"/>
  <c r="B2" i="28"/>
  <c r="B2" i="73"/>
  <c r="B2" i="72"/>
  <c r="B2" i="52"/>
  <c r="B2" i="75"/>
  <c r="B2" i="53"/>
  <c r="B2" i="62"/>
  <c r="C5" i="6" l="1"/>
  <c r="G5" i="6"/>
  <c r="F5" i="6"/>
  <c r="E5" i="6"/>
  <c r="D5" i="6"/>
  <c r="G5" i="71"/>
  <c r="F5" i="71"/>
  <c r="E5" i="71"/>
  <c r="D5" i="71"/>
  <c r="C5" i="71"/>
  <c r="B1" i="79" l="1"/>
  <c r="B1" i="37"/>
  <c r="B1" i="36"/>
  <c r="B1" i="74"/>
  <c r="B1" i="64"/>
  <c r="B1" i="35"/>
  <c r="B1" i="69"/>
  <c r="B1" i="77"/>
  <c r="B1" i="28"/>
  <c r="B1" i="73"/>
  <c r="B1" i="72"/>
  <c r="B1" i="71"/>
  <c r="B1" i="75"/>
  <c r="B1" i="53"/>
  <c r="B1" i="62"/>
  <c r="B1" i="6"/>
  <c r="B1" i="91" l="1"/>
  <c r="B1" i="81"/>
  <c r="B1" i="82"/>
  <c r="B1" i="87"/>
  <c r="B1" i="83"/>
  <c r="B1" i="85"/>
  <c r="B1" i="89"/>
  <c r="B1" i="84"/>
  <c r="B1" i="86"/>
  <c r="B1" i="88"/>
  <c r="C26" i="79"/>
  <c r="D22" i="35" l="1"/>
  <c r="F22" i="35"/>
  <c r="J22" i="35"/>
  <c r="P22" i="35"/>
  <c r="R22" i="35"/>
  <c r="E53" i="75" l="1"/>
  <c r="E52" i="75"/>
  <c r="E51" i="75"/>
  <c r="E50" i="75"/>
  <c r="E49" i="75"/>
  <c r="E48" i="75"/>
  <c r="E47" i="75"/>
  <c r="E46" i="75"/>
  <c r="E45" i="75"/>
  <c r="E44" i="75"/>
  <c r="E42" i="75"/>
  <c r="E41" i="75"/>
  <c r="E40" i="75"/>
  <c r="E39" i="75"/>
  <c r="E38" i="75"/>
  <c r="E37" i="75"/>
  <c r="E36" i="75"/>
  <c r="E15" i="75"/>
  <c r="M21" i="64" l="1"/>
  <c r="N21" i="64"/>
  <c r="O21" i="64"/>
  <c r="P21" i="64"/>
  <c r="Q21" i="64"/>
  <c r="R21" i="64"/>
  <c r="S21" i="64"/>
  <c r="H13" i="62" l="1"/>
  <c r="I23" i="82" l="1"/>
  <c r="I15" i="82"/>
  <c r="F21" i="82" l="1"/>
  <c r="I14" i="82"/>
  <c r="I13" i="82"/>
  <c r="I17" i="82"/>
  <c r="C21" i="82"/>
  <c r="E21" i="82"/>
  <c r="I7" i="82"/>
  <c r="I20" i="82"/>
  <c r="H16" i="81"/>
  <c r="H15" i="81" l="1"/>
  <c r="I12" i="82"/>
  <c r="D21" i="82"/>
  <c r="I21" i="82" s="1"/>
  <c r="H17" i="81"/>
  <c r="H18" i="81"/>
  <c r="E22" i="81" l="1"/>
  <c r="H14" i="81" l="1"/>
  <c r="D22" i="81" l="1"/>
  <c r="H8" i="81"/>
  <c r="F22" i="81"/>
  <c r="G22" i="81" l="1"/>
  <c r="H21" i="81" l="1"/>
  <c r="H13" i="81" l="1"/>
  <c r="H22" i="81" s="1"/>
  <c r="C22" i="81"/>
  <c r="D6" i="71" l="1"/>
  <c r="D13" i="71" s="1"/>
  <c r="H15" i="75"/>
  <c r="H9" i="75"/>
  <c r="H13" i="75" l="1"/>
  <c r="H8" i="75"/>
  <c r="H7" i="75" l="1"/>
  <c r="H14" i="75"/>
  <c r="E9" i="75" l="1"/>
  <c r="E29" i="75" l="1"/>
  <c r="H10" i="75"/>
  <c r="H12" i="75"/>
  <c r="H17" i="75"/>
  <c r="H19" i="75"/>
  <c r="H21" i="75"/>
  <c r="H23" i="75"/>
  <c r="H25" i="75"/>
  <c r="H27" i="75"/>
  <c r="H29" i="75"/>
  <c r="H31" i="75"/>
  <c r="H33" i="75"/>
  <c r="H35" i="75"/>
  <c r="H37" i="75"/>
  <c r="H39" i="75"/>
  <c r="H41" i="75"/>
  <c r="H43" i="75"/>
  <c r="H45" i="75"/>
  <c r="H47" i="75"/>
  <c r="H49" i="75"/>
  <c r="H51" i="75"/>
  <c r="H53" i="75"/>
  <c r="H22" i="75" l="1"/>
  <c r="H20" i="75"/>
  <c r="H18" i="75"/>
  <c r="H16" i="75"/>
  <c r="H11" i="75"/>
  <c r="H52" i="75"/>
  <c r="H46" i="75"/>
  <c r="H38" i="75"/>
  <c r="H50" i="75"/>
  <c r="H44" i="75"/>
  <c r="H40" i="75"/>
  <c r="H34" i="75"/>
  <c r="H30" i="75"/>
  <c r="H26" i="75"/>
  <c r="E35" i="75"/>
  <c r="H48" i="75"/>
  <c r="H42" i="75"/>
  <c r="H36" i="75"/>
  <c r="H32" i="75"/>
  <c r="H28" i="75"/>
  <c r="H24" i="75"/>
  <c r="H19" i="62" l="1"/>
  <c r="H17" i="62"/>
  <c r="H15" i="62"/>
  <c r="H11" i="62"/>
  <c r="H9" i="62"/>
  <c r="H7" i="62"/>
  <c r="G14" i="62" l="1"/>
  <c r="G20" i="62" s="1"/>
  <c r="H8" i="62"/>
  <c r="H10" i="62"/>
  <c r="H16" i="62"/>
  <c r="H18" i="62"/>
  <c r="C19" i="85"/>
  <c r="F14" i="62" l="1"/>
  <c r="H12" i="62"/>
  <c r="D19" i="84"/>
  <c r="F20" i="62" l="1"/>
  <c r="H20" i="62" s="1"/>
  <c r="H14" i="62"/>
  <c r="I16" i="82" l="1"/>
  <c r="E19" i="37" l="1"/>
  <c r="E18" i="37"/>
  <c r="E17" i="37"/>
  <c r="E16" i="37"/>
  <c r="E12" i="37"/>
  <c r="E11" i="37"/>
  <c r="E10" i="37"/>
  <c r="E9" i="37"/>
  <c r="E6" i="71" l="1"/>
  <c r="J7" i="37"/>
  <c r="N9" i="37"/>
  <c r="N13" i="37"/>
  <c r="I14" i="37"/>
  <c r="M14" i="37"/>
  <c r="N18" i="37"/>
  <c r="C31" i="28"/>
  <c r="C30" i="28" s="1"/>
  <c r="E13" i="71"/>
  <c r="F7" i="37"/>
  <c r="E15" i="37"/>
  <c r="E14" i="37" s="1"/>
  <c r="C14" i="37"/>
  <c r="G7" i="37"/>
  <c r="L7" i="37"/>
  <c r="N10" i="37"/>
  <c r="N15" i="37"/>
  <c r="F14" i="37"/>
  <c r="J14" i="37"/>
  <c r="J21" i="37" s="1"/>
  <c r="N19" i="37"/>
  <c r="G6" i="71"/>
  <c r="G13" i="71" s="1"/>
  <c r="H7" i="37"/>
  <c r="M7" i="37"/>
  <c r="M21" i="37" s="1"/>
  <c r="N11" i="37"/>
  <c r="G14" i="37"/>
  <c r="K14" i="37"/>
  <c r="N16" i="37"/>
  <c r="N20" i="37"/>
  <c r="F6" i="71"/>
  <c r="F13" i="71" s="1"/>
  <c r="S9" i="35"/>
  <c r="S10" i="35"/>
  <c r="S11" i="35"/>
  <c r="S12" i="35"/>
  <c r="S19" i="35"/>
  <c r="S20" i="35"/>
  <c r="I7" i="37"/>
  <c r="N12" i="37"/>
  <c r="H14" i="37"/>
  <c r="L14" i="37"/>
  <c r="N17" i="37"/>
  <c r="I21" i="37" l="1"/>
  <c r="E10" i="75"/>
  <c r="H21" i="37"/>
  <c r="G21" i="37"/>
  <c r="N14" i="37"/>
  <c r="F21" i="37"/>
  <c r="L21" i="37"/>
  <c r="H66" i="53"/>
  <c r="H64" i="53"/>
  <c r="H52" i="53"/>
  <c r="H50" i="53"/>
  <c r="H48" i="53"/>
  <c r="H44" i="53"/>
  <c r="H42" i="53"/>
  <c r="H40" i="53"/>
  <c r="H38" i="53"/>
  <c r="H36" i="53"/>
  <c r="H29" i="53"/>
  <c r="H27" i="53"/>
  <c r="H25" i="53"/>
  <c r="H21" i="53"/>
  <c r="H20" i="53"/>
  <c r="H19" i="53"/>
  <c r="H18" i="53"/>
  <c r="H17" i="53"/>
  <c r="H16" i="53"/>
  <c r="H15" i="53"/>
  <c r="H14" i="53"/>
  <c r="H13" i="53"/>
  <c r="H11" i="53"/>
  <c r="H8" i="53"/>
  <c r="E66" i="53"/>
  <c r="H40" i="62"/>
  <c r="H39" i="62"/>
  <c r="H38" i="62"/>
  <c r="H37" i="62"/>
  <c r="H36" i="62"/>
  <c r="H35" i="62"/>
  <c r="H34" i="62"/>
  <c r="H33" i="62"/>
  <c r="H26" i="53" l="1"/>
  <c r="H28" i="53"/>
  <c r="H37" i="53"/>
  <c r="H39" i="53"/>
  <c r="H41" i="53"/>
  <c r="H43" i="53"/>
  <c r="H49" i="53"/>
  <c r="H51" i="53"/>
  <c r="G31" i="62"/>
  <c r="G41" i="62" s="1"/>
  <c r="H12" i="53"/>
  <c r="E26" i="62"/>
  <c r="H23" i="62"/>
  <c r="H25" i="62"/>
  <c r="H27" i="62"/>
  <c r="H29" i="62"/>
  <c r="E27" i="53"/>
  <c r="E37" i="53"/>
  <c r="E39" i="53"/>
  <c r="F9" i="53"/>
  <c r="H10" i="53"/>
  <c r="F30" i="53"/>
  <c r="H24" i="53"/>
  <c r="F34" i="53"/>
  <c r="H35" i="53"/>
  <c r="F53" i="53"/>
  <c r="H47" i="53"/>
  <c r="F61" i="53"/>
  <c r="H61" i="53" s="1"/>
  <c r="F31" i="62"/>
  <c r="H22" i="62"/>
  <c r="H24" i="62"/>
  <c r="H26" i="62"/>
  <c r="H28" i="62"/>
  <c r="H30" i="62"/>
  <c r="E29" i="53"/>
  <c r="E38" i="53"/>
  <c r="G9" i="53"/>
  <c r="G22" i="53" s="1"/>
  <c r="G30" i="53"/>
  <c r="G34" i="53"/>
  <c r="G45" i="53" s="1"/>
  <c r="G53" i="53"/>
  <c r="G54" i="53" l="1"/>
  <c r="H53" i="53"/>
  <c r="H30" i="53"/>
  <c r="G31" i="53"/>
  <c r="F41" i="62"/>
  <c r="H41" i="62" s="1"/>
  <c r="H31" i="62"/>
  <c r="F45" i="53"/>
  <c r="H34" i="53"/>
  <c r="F22" i="53"/>
  <c r="H9" i="53"/>
  <c r="G56" i="53" l="1"/>
  <c r="G63" i="53" s="1"/>
  <c r="G65" i="53" s="1"/>
  <c r="G67" i="53" s="1"/>
  <c r="H22" i="53"/>
  <c r="F31" i="53"/>
  <c r="F54" i="53"/>
  <c r="H54" i="53" s="1"/>
  <c r="H45" i="53"/>
  <c r="S8" i="35" l="1"/>
  <c r="F56" i="53"/>
  <c r="H31" i="53"/>
  <c r="S13" i="35"/>
  <c r="F63" i="53" l="1"/>
  <c r="H56" i="53"/>
  <c r="E22" i="35"/>
  <c r="Q22" i="35"/>
  <c r="S21" i="35" l="1"/>
  <c r="C22" i="35"/>
  <c r="F65" i="53"/>
  <c r="H63" i="53"/>
  <c r="F67" i="53" l="1"/>
  <c r="H67" i="53" s="1"/>
  <c r="H65" i="53"/>
  <c r="C6" i="28" l="1"/>
  <c r="E51" i="53"/>
  <c r="E49" i="53"/>
  <c r="E43" i="53"/>
  <c r="E18" i="53"/>
  <c r="E16" i="53"/>
  <c r="E14" i="53"/>
  <c r="E12" i="53"/>
  <c r="D30" i="53" l="1"/>
  <c r="D34" i="53"/>
  <c r="D45" i="53" s="1"/>
  <c r="D53" i="53"/>
  <c r="C35" i="28"/>
  <c r="C41" i="28" s="1"/>
  <c r="D9" i="53"/>
  <c r="D22" i="53" s="1"/>
  <c r="D31" i="53" s="1"/>
  <c r="E11" i="53"/>
  <c r="E13" i="53"/>
  <c r="E15" i="53"/>
  <c r="E17" i="53"/>
  <c r="E19" i="53"/>
  <c r="E21" i="53"/>
  <c r="E25" i="53"/>
  <c r="E28" i="53"/>
  <c r="E36" i="53"/>
  <c r="E44" i="53"/>
  <c r="E48" i="53"/>
  <c r="E50" i="53"/>
  <c r="E52" i="53"/>
  <c r="C47" i="28"/>
  <c r="E20" i="53"/>
  <c r="C30" i="53"/>
  <c r="E30" i="53" s="1"/>
  <c r="E24" i="53"/>
  <c r="E26" i="53"/>
  <c r="C34" i="53"/>
  <c r="E35" i="53"/>
  <c r="C53" i="53"/>
  <c r="E47" i="53"/>
  <c r="C9" i="53"/>
  <c r="E9" i="53" s="1"/>
  <c r="E10" i="53"/>
  <c r="E8" i="53"/>
  <c r="E18" i="62"/>
  <c r="E40" i="53"/>
  <c r="E41" i="53"/>
  <c r="E42" i="53"/>
  <c r="E64" i="53"/>
  <c r="E34" i="62"/>
  <c r="E39" i="62"/>
  <c r="E21" i="64"/>
  <c r="F21" i="64"/>
  <c r="G21" i="64"/>
  <c r="H21" i="64"/>
  <c r="I21" i="64"/>
  <c r="J21" i="64"/>
  <c r="K21" i="64"/>
  <c r="L21" i="64"/>
  <c r="C61" i="53" l="1"/>
  <c r="E61" i="53" s="1"/>
  <c r="C22" i="53"/>
  <c r="E53" i="53"/>
  <c r="D54" i="53"/>
  <c r="D56" i="53" s="1"/>
  <c r="D63" i="53" s="1"/>
  <c r="D65" i="53" s="1"/>
  <c r="D67" i="53" s="1"/>
  <c r="C21" i="64"/>
  <c r="C31" i="53"/>
  <c r="E22" i="53"/>
  <c r="E34" i="53"/>
  <c r="C45" i="53"/>
  <c r="E37" i="62"/>
  <c r="E35" i="62"/>
  <c r="E36" i="62"/>
  <c r="E17" i="62"/>
  <c r="E28" i="62" l="1"/>
  <c r="E8" i="62"/>
  <c r="C54" i="53"/>
  <c r="E54" i="53" s="1"/>
  <c r="E45" i="53"/>
  <c r="E15" i="62"/>
  <c r="E31" i="53"/>
  <c r="E19" i="62"/>
  <c r="E16" i="62"/>
  <c r="E30" i="62"/>
  <c r="C56" i="53" l="1"/>
  <c r="C63" i="53"/>
  <c r="E56" i="53"/>
  <c r="E7" i="62"/>
  <c r="E23" i="62"/>
  <c r="E24" i="62"/>
  <c r="E10" i="62"/>
  <c r="E25" i="62"/>
  <c r="E22" i="62" l="1"/>
  <c r="C65" i="53"/>
  <c r="E63" i="53"/>
  <c r="E11" i="62"/>
  <c r="C12" i="28"/>
  <c r="C28" i="28" s="1"/>
  <c r="C67" i="53" l="1"/>
  <c r="E67" i="53" s="1"/>
  <c r="E65" i="53"/>
  <c r="C35" i="79" l="1"/>
  <c r="E27" i="62" l="1"/>
  <c r="I22" i="82" l="1"/>
  <c r="U21" i="64" l="1"/>
  <c r="D21" i="72" l="1"/>
  <c r="V18" i="64" l="1"/>
  <c r="V8" i="64"/>
  <c r="V19" i="64"/>
  <c r="V12" i="64"/>
  <c r="V11" i="64"/>
  <c r="V10" i="64"/>
  <c r="V15" i="64"/>
  <c r="V9" i="64"/>
  <c r="V7" i="64" l="1"/>
  <c r="H13" i="74"/>
  <c r="V20" i="64"/>
  <c r="H21" i="74" l="1"/>
  <c r="H8" i="74" l="1"/>
  <c r="E33" i="75" l="1"/>
  <c r="E34" i="75"/>
  <c r="E32" i="75" l="1"/>
  <c r="E13" i="75" l="1"/>
  <c r="E8" i="75" l="1"/>
  <c r="E21" i="75"/>
  <c r="E27" i="75"/>
  <c r="E30" i="75"/>
  <c r="E20" i="75"/>
  <c r="E23" i="75"/>
  <c r="E25" i="75"/>
  <c r="E24" i="75"/>
  <c r="E28" i="75"/>
  <c r="E31" i="75"/>
  <c r="E11" i="75" l="1"/>
  <c r="E14" i="75"/>
  <c r="E12" i="75"/>
  <c r="E8" i="37"/>
  <c r="E7" i="37" s="1"/>
  <c r="E21" i="37" s="1"/>
  <c r="C12" i="79" s="1"/>
  <c r="C18" i="79" s="1"/>
  <c r="C7" i="37"/>
  <c r="C21" i="37" s="1"/>
  <c r="E7" i="75" l="1"/>
  <c r="K7" i="37"/>
  <c r="K21" i="37" s="1"/>
  <c r="N8" i="37"/>
  <c r="N7" i="37" s="1"/>
  <c r="N21" i="37" s="1"/>
  <c r="E22" i="75" l="1"/>
  <c r="E26" i="75"/>
  <c r="E19" i="75"/>
  <c r="E18" i="75" l="1"/>
  <c r="E17" i="75" l="1"/>
  <c r="I22" i="35" l="1"/>
  <c r="K22" i="35"/>
  <c r="G22" i="35"/>
  <c r="S17" i="35" l="1"/>
  <c r="D22" i="74"/>
  <c r="N22" i="35"/>
  <c r="L22" i="35" l="1"/>
  <c r="S15" i="35"/>
  <c r="O22" i="35"/>
  <c r="S18" i="35"/>
  <c r="H22" i="35"/>
  <c r="S16" i="35"/>
  <c r="C30" i="79" l="1"/>
  <c r="H16" i="74"/>
  <c r="E22" i="74" l="1"/>
  <c r="T21" i="64" l="1"/>
  <c r="V16" i="64"/>
  <c r="V14" i="64"/>
  <c r="V17" i="64"/>
  <c r="V13" i="64" l="1"/>
  <c r="V21" i="64" s="1"/>
  <c r="D21" i="64"/>
  <c r="H18" i="74"/>
  <c r="H15" i="74"/>
  <c r="H17" i="74"/>
  <c r="E9" i="62" l="1"/>
  <c r="E16" i="75" l="1"/>
  <c r="D31" i="62" l="1"/>
  <c r="D41" i="62" s="1"/>
  <c r="E12" i="62" l="1"/>
  <c r="E29" i="62"/>
  <c r="C31" i="62"/>
  <c r="C37" i="69"/>
  <c r="E31" i="62" l="1"/>
  <c r="D14" i="62"/>
  <c r="D20" i="62" s="1"/>
  <c r="S14" i="35" l="1"/>
  <c r="S22" i="35" s="1"/>
  <c r="M22" i="35"/>
  <c r="E13" i="62" l="1"/>
  <c r="C14" i="62"/>
  <c r="C22" i="74"/>
  <c r="F22" i="74"/>
  <c r="C8" i="79"/>
  <c r="C36" i="79" s="1"/>
  <c r="C38" i="79" s="1"/>
  <c r="H14" i="74" l="1"/>
  <c r="G22" i="74"/>
  <c r="H22" i="74" s="1"/>
  <c r="E14" i="62"/>
  <c r="C20" i="62"/>
  <c r="E20" i="62" s="1"/>
  <c r="C21" i="72"/>
  <c r="C6" i="71"/>
  <c r="E21" i="72" l="1"/>
  <c r="C5" i="73" s="1"/>
  <c r="C8" i="73" s="1"/>
  <c r="C13" i="73" s="1"/>
  <c r="C25" i="69" l="1"/>
  <c r="C43" i="28"/>
  <c r="C52" i="28" s="1"/>
  <c r="C13" i="71" l="1"/>
  <c r="D7" i="77" l="1"/>
  <c r="D13" i="77"/>
  <c r="D11" i="77"/>
  <c r="D12" i="77"/>
  <c r="D9" i="77"/>
  <c r="D8" i="77"/>
  <c r="C21" i="77" l="1"/>
  <c r="D21" i="77" s="1"/>
  <c r="D17" i="77"/>
  <c r="D15" i="77" l="1"/>
  <c r="C19" i="77"/>
  <c r="D19" i="77" s="1"/>
  <c r="C20" i="77"/>
  <c r="D20" i="77" s="1"/>
  <c r="D16" i="77"/>
  <c r="G24" i="80" l="1"/>
  <c r="G37" i="80" s="1"/>
  <c r="G39" i="80" s="1"/>
  <c r="C12" i="84" l="1"/>
  <c r="H21" i="82" l="1"/>
  <c r="E43" i="75"/>
  <c r="H34" i="83" l="1"/>
  <c r="E38" i="62" l="1"/>
  <c r="E33" i="62" l="1"/>
  <c r="C45" i="69" l="1"/>
  <c r="E40" i="62" l="1"/>
  <c r="C41" i="62"/>
  <c r="E41" i="62" s="1"/>
  <c r="C7" i="84" l="1"/>
  <c r="C19" i="84" s="1"/>
  <c r="I11" i="83" l="1"/>
  <c r="I9" i="83"/>
  <c r="I32" i="83"/>
  <c r="I33" i="83"/>
  <c r="F34" i="83"/>
  <c r="I10" i="83"/>
  <c r="I16" i="83"/>
  <c r="C34" i="83"/>
  <c r="I29" i="83"/>
  <c r="D34" i="83"/>
  <c r="I15" i="83"/>
  <c r="I17" i="83" l="1"/>
  <c r="I7" i="83"/>
  <c r="I26" i="83"/>
  <c r="I19" i="83"/>
  <c r="I23" i="83"/>
  <c r="I20" i="83"/>
  <c r="I24" i="83"/>
  <c r="I25" i="83"/>
  <c r="I27" i="83"/>
  <c r="E34" i="83"/>
  <c r="I34" i="83" s="1"/>
  <c r="I12" i="83"/>
  <c r="I8" i="83"/>
  <c r="I13" i="83"/>
  <c r="I22" i="83"/>
  <c r="I30" i="83"/>
  <c r="I31" i="83"/>
  <c r="I21" i="83"/>
  <c r="I28" i="83"/>
  <c r="I18" i="83"/>
  <c r="I14" i="83"/>
</calcChain>
</file>

<file path=xl/sharedStrings.xml><?xml version="1.0" encoding="utf-8"?>
<sst xmlns="http://schemas.openxmlformats.org/spreadsheetml/2006/main" count="1171" uniqueCount="766">
  <si>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</si>
  <si>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</si>
  <si>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</si>
  <si>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</si>
  <si>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</si>
  <si>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</si>
  <si>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</si>
  <si>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</si>
  <si>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</si>
  <si>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</si>
  <si>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</si>
  <si>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</si>
  <si>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</si>
  <si>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</si>
  <si>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</si>
  <si>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</si>
  <si>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</si>
  <si>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</si>
  <si>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</si>
  <si>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</si>
  <si>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</si>
  <si>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</si>
  <si>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</si>
  <si>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</si>
  <si>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</si>
  <si>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</si>
  <si>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</si>
  <si>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</si>
  <si>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</si>
  <si>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</si>
  <si>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</si>
  <si>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</si>
  <si>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</si>
  <si>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</si>
  <si>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</si>
  <si>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</si>
  <si>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</si>
  <si>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</si>
  <si>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</si>
  <si>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</si>
  <si>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</si>
  <si>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</si>
  <si>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</si>
  <si>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</si>
  <si>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</si>
  <si>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</si>
  <si>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</si>
  <si>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</si>
  <si>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</si>
  <si>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</si>
  <si>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</si>
  <si>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</si>
  <si>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</si>
  <si>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</si>
  <si>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</si>
  <si>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</si>
  <si>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</si>
  <si>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</si>
  <si>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</si>
  <si>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</si>
  <si>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</si>
  <si>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</si>
  <si>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</si>
  <si>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</si>
  <si>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</si>
  <si>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</si>
  <si>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</si>
  <si>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</si>
  <si>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</si>
  <si>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</si>
  <si>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</si>
  <si>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</si>
  <si>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</si>
  <si>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</si>
  <si>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</si>
  <si>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</si>
  <si>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</si>
  <si>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</si>
  <si>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</si>
  <si>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</si>
  <si>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</si>
  <si>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</si>
  <si>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</si>
  <si>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</si>
  <si>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</si>
  <si>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</si>
  <si>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</si>
  <si>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</si>
  <si>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</si>
  <si>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</si>
  <si>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</si>
  <si>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</si>
  <si>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</si>
  <si>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</si>
  <si>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</si>
  <si>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</si>
  <si>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</si>
  <si>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</si>
  <si>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</si>
  <si>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</si>
  <si>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</si>
  <si>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</si>
  <si>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</si>
  <si>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</si>
  <si>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</si>
  <si>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</si>
  <si>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</si>
  <si>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</si>
  <si>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</si>
  <si>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</si>
  <si>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</si>
  <si>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</si>
  <si>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</si>
  <si>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</si>
  <si>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</si>
  <si>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</si>
  <si>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</si>
  <si>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</si>
  <si>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</si>
  <si>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</si>
  <si>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</si>
  <si>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</si>
  <si>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</si>
  <si>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</si>
  <si>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</si>
  <si>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</si>
  <si>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</si>
  <si>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</si>
  <si>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</si>
  <si>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</si>
  <si>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</si>
  <si>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</si>
  <si>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</si>
  <si>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</si>
  <si>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</si>
  <si>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</si>
  <si>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</si>
  <si>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</si>
  <si>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</si>
  <si>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</si>
  <si>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</si>
  <si>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</si>
  <si>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</si>
  <si>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</si>
  <si>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</si>
  <si>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</si>
  <si>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</si>
  <si>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</si>
  <si>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</si>
  <si>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</si>
  <si>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</si>
  <si>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</si>
  <si>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</si>
  <si>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</si>
  <si>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</si>
  <si>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</si>
  <si>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</si>
  <si>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</si>
  <si>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</si>
  <si>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</si>
  <si>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</si>
  <si>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</si>
  <si>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</si>
  <si>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</si>
  <si>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</si>
  <si>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</si>
  <si>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</si>
  <si>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</si>
  <si>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</si>
  <si>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</si>
  <si>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</si>
  <si>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</si>
  <si>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</si>
  <si>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</si>
  <si>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</si>
  <si>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</si>
  <si>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</si>
  <si>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</si>
  <si>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</si>
  <si>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</si>
  <si>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</si>
  <si>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</si>
  <si>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</si>
  <si>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</si>
  <si>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</si>
  <si>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</si>
  <si>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</si>
  <si>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</si>
  <si>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</si>
  <si>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</si>
  <si>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</si>
  <si>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</si>
  <si>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</si>
  <si>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</si>
  <si>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</si>
  <si>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</si>
  <si>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</si>
  <si>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</si>
  <si>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</si>
  <si>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</si>
  <si>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</si>
  <si>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</si>
  <si>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</si>
  <si>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</si>
  <si>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</si>
  <si>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</si>
  <si>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</si>
  <si>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</si>
  <si>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</si>
  <si>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</si>
  <si>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</si>
  <si>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</si>
  <si>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</si>
  <si>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</si>
  <si>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</si>
  <si>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</si>
  <si>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</si>
  <si>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</si>
  <si>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</si>
  <si>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</si>
  <si>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</si>
  <si>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</si>
  <si>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</si>
  <si>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</si>
  <si>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</si>
  <si>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</si>
  <si>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</si>
  <si>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</si>
  <si>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</si>
  <si>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</si>
  <si>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</si>
  <si>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</si>
  <si>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</si>
  <si>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</si>
  <si>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</si>
  <si>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</si>
  <si>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</si>
  <si>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</si>
  <si>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</si>
  <si>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</si>
  <si>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</si>
  <si>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</si>
  <si>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</si>
  <si>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</si>
  <si>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</si>
  <si>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</si>
  <si>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</si>
  <si>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</si>
  <si>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</si>
  <si>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</si>
  <si>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</si>
  <si>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</si>
  <si>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</si>
  <si>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</si>
  <si>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</si>
  <si>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</si>
  <si>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</si>
  <si>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</si>
  <si>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</si>
  <si>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</si>
  <si>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</si>
  <si>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</si>
  <si>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</si>
  <si>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</si>
  <si>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</si>
  <si>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</si>
  <si>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</si>
  <si>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</si>
  <si>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</si>
  <si>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</si>
  <si>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</si>
  <si>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</si>
  <si>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</si>
  <si>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</si>
  <si>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</si>
  <si>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</si>
  <si>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</si>
  <si>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</si>
  <si>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</si>
  <si>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</si>
  <si>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</si>
  <si>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</si>
  <si>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</si>
  <si>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</si>
  <si>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</si>
  <si>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</si>
  <si>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</si>
  <si>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</si>
  <si>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</si>
  <si>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</si>
  <si>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</si>
  <si>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</si>
  <si>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</si>
  <si>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</si>
  <si>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</si>
  <si>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</si>
  <si>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</si>
  <si>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</si>
  <si>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</si>
  <si>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</si>
  <si>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</si>
  <si>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</si>
  <si>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</si>
  <si>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</si>
  <si>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</si>
  <si>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</si>
  <si>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</si>
  <si>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</si>
  <si>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</si>
  <si>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</si>
  <si>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</si>
  <si>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</si>
  <si>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</si>
  <si>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</si>
  <si>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</si>
  <si>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</si>
  <si>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</si>
  <si>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</si>
  <si>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</si>
  <si>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</si>
  <si>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</si>
  <si>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</si>
  <si>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</si>
  <si>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</si>
  <si>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</si>
  <si>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</si>
  <si>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</si>
  <si>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</si>
  <si>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</si>
  <si>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</si>
  <si>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</si>
  <si>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</si>
  <si>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</si>
  <si>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</si>
  <si>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</si>
  <si>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</si>
  <si>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</si>
  <si>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</si>
  <si>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</si>
  <si>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</si>
  <si>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</si>
  <si>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</si>
  <si>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</si>
  <si>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</si>
  <si>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</si>
  <si>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</si>
  <si>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</si>
  <si>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</si>
  <si>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</si>
  <si>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</si>
  <si>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</si>
  <si>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</si>
  <si>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</si>
  <si>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</si>
  <si>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</si>
  <si>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</si>
  <si>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</si>
  <si>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</si>
  <si>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</si>
  <si>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</si>
  <si>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</si>
  <si>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</si>
  <si>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</si>
  <si>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</si>
  <si>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</si>
  <si>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</si>
  <si>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</si>
  <si>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</si>
  <si>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</si>
  <si>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</si>
  <si>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</si>
  <si>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</si>
  <si>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</si>
  <si>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</si>
  <si>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</si>
  <si>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</si>
  <si>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</si>
  <si>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</si>
  <si>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</si>
  <si>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</si>
  <si>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</si>
  <si>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</si>
  <si>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</si>
  <si>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</si>
  <si>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</si>
  <si>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</si>
  <si>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</si>
  <si>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</si>
  <si>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</si>
  <si>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</si>
  <si>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</si>
  <si>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</si>
  <si>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</si>
  <si>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</si>
  <si>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</si>
  <si>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</si>
  <si>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</si>
  <si>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</si>
  <si>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</si>
  <si>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</si>
  <si>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</si>
  <si>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</si>
  <si>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</si>
  <si>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</si>
  <si>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</si>
  <si>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</si>
  <si>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</si>
  <si>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</si>
  <si>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</si>
  <si>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</si>
  <si>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</si>
  <si>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</si>
  <si>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</si>
  <si>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</si>
  <si>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</si>
  <si>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</si>
  <si>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</si>
  <si>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</si>
  <si>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</si>
  <si>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</si>
  <si>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</si>
  <si>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</si>
  <si>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</si>
  <si>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</si>
  <si>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</si>
  <si>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</si>
  <si>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</si>
  <si>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</si>
  <si>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</si>
  <si>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</si>
  <si>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</si>
  <si>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</si>
  <si>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</si>
  <si>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</si>
  <si>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</si>
  <si>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</si>
  <si>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</si>
  <si>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</si>
  <si>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</si>
  <si>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</si>
  <si>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</si>
  <si>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</si>
  <si>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</si>
  <si>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</si>
  <si>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</si>
  <si>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</si>
  <si>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</si>
  <si>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</si>
  <si>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</si>
  <si>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</si>
  <si>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</si>
  <si>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</si>
  <si>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</si>
  <si>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</si>
  <si>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</si>
  <si>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</si>
  <si>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</si>
  <si>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</si>
  <si>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</si>
  <si>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</si>
  <si>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</si>
  <si>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</si>
  <si>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</si>
  <si>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</si>
  <si>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</si>
  <si>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</si>
  <si>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</si>
  <si>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</si>
  <si>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</si>
  <si>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</si>
  <si>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</si>
  <si>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</si>
  <si>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</si>
  <si>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</si>
  <si>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</si>
  <si>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</si>
  <si>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</si>
  <si>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</si>
  <si>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</si>
  <si>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</si>
  <si>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</si>
  <si>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</si>
  <si>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</si>
  <si>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</si>
  <si>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</si>
  <si>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</si>
  <si>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</si>
  <si>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</si>
  <si>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</si>
  <si>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</si>
  <si>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</si>
  <si>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</si>
  <si>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</si>
  <si>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</si>
  <si>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</si>
  <si>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</si>
  <si>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</si>
  <si>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</si>
  <si>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</si>
  <si>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</si>
  <si>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</si>
  <si>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</si>
  <si>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</si>
  <si>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</si>
  <si>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</si>
  <si>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</si>
  <si>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</si>
  <si>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</si>
  <si>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</si>
  <si>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</si>
  <si>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</si>
  <si>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</si>
  <si>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</si>
  <si>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</si>
  <si>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</si>
  <si>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</si>
  <si>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</si>
  <si>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</si>
  <si>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</si>
  <si>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</si>
  <si>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</si>
  <si>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</si>
  <si>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</si>
  <si>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</si>
  <si>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</si>
  <si>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</si>
  <si>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</si>
  <si>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</si>
  <si>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</si>
  <si>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</si>
  <si>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</si>
  <si>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</si>
  <si>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</si>
  <si>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</si>
  <si>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</si>
  <si>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</si>
  <si>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</si>
  <si>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</si>
  <si>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</si>
  <si>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</si>
  <si>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</si>
  <si>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</si>
  <si>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</si>
  <si>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</si>
  <si>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</si>
  <si>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</si>
  <si>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</si>
  <si>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</si>
  <si>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</si>
  <si>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</si>
  <si>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</si>
  <si>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</si>
  <si>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</si>
  <si>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</si>
  <si>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</si>
  <si>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</si>
  <si>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</si>
  <si>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</si>
  <si>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</si>
  <si>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</si>
  <si>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</si>
  <si>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</si>
  <si>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</si>
  <si>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</si>
  <si>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</si>
  <si>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</si>
  <si>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</si>
  <si>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</si>
  <si>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</si>
  <si>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</si>
  <si>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</si>
  <si>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</si>
  <si>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</si>
  <si>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</si>
  <si>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</si>
  <si>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</si>
  <si>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</si>
  <si>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</si>
  <si>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</si>
  <si>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</si>
  <si>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</si>
  <si>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</si>
  <si>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</si>
  <si>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</si>
  <si>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</si>
  <si>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</si>
  <si>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</si>
  <si>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</si>
  <si>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</si>
  <si>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</si>
  <si>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</si>
  <si>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</si>
  <si>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</si>
  <si>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</si>
  <si>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</si>
  <si>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</si>
  <si>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</si>
  <si>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</si>
  <si>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</si>
  <si>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</si>
  <si>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</si>
  <si>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</si>
  <si>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</si>
  <si>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</si>
  <si>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</si>
  <si>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</si>
  <si>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</si>
  <si>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</si>
  <si>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</si>
  <si>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</si>
  <si>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</si>
  <si>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</si>
  <si>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</si>
  <si>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</si>
  <si>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</si>
  <si>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</si>
  <si>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</si>
  <si>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</si>
  <si>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</si>
  <si>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</si>
  <si>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</si>
  <si>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</si>
  <si>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</si>
  <si>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</si>
  <si>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</si>
  <si>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</si>
  <si>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</si>
  <si>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</si>
  <si>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</si>
  <si>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</si>
  <si>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</si>
  <si>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</si>
  <si>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</si>
  <si>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</si>
  <si>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</si>
  <si>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</si>
  <si>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</si>
  <si>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</si>
  <si>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</si>
  <si>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</si>
  <si>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</si>
  <si>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</si>
  <si>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</si>
  <si>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</si>
  <si>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</si>
  <si>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</si>
  <si>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</si>
  <si>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</si>
  <si>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</si>
  <si>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</si>
  <si>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</si>
  <si>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</si>
  <si>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</si>
  <si>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</si>
  <si>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</si>
  <si>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</si>
  <si>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</si>
  <si>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</si>
  <si>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</si>
  <si>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</si>
  <si>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</si>
  <si>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</si>
  <si>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</si>
  <si>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</si>
  <si>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</si>
  <si>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</si>
  <si>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</si>
  <si>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</si>
  <si>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</si>
  <si>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</si>
  <si>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</si>
  <si>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</si>
  <si>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</si>
  <si>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</si>
  <si>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</si>
  <si>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</si>
  <si>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</si>
  <si>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</si>
  <si>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</si>
  <si>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</si>
  <si>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</si>
  <si>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</si>
  <si>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</si>
  <si>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</si>
  <si>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</si>
  <si>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</si>
  <si>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</si>
  <si>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</si>
  <si>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</si>
  <si>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</si>
  <si>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</si>
  <si>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</si>
  <si>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</si>
  <si>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</si>
  <si>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</si>
  <si>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</si>
  <si>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</si>
  <si>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</si>
  <si>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</si>
  <si>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</si>
  <si>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</si>
  <si>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</si>
  <si>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</si>
  <si>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</si>
  <si>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</si>
  <si>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</si>
  <si>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</si>
  <si>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</si>
  <si>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</si>
  <si>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</si>
  <si>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</si>
  <si>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</si>
  <si>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</si>
  <si>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</si>
  <si>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</si>
  <si>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</si>
  <si>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</si>
  <si>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</si>
  <si>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</si>
  <si>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</si>
  <si>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</si>
  <si>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</si>
  <si>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</si>
  <si>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</si>
  <si>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</si>
  <si>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</si>
  <si>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</si>
  <si>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</si>
  <si>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</si>
  <si>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</si>
  <si>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</si>
  <si>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</si>
  <si>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</si>
  <si>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</si>
  <si>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</si>
  <si>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</si>
  <si>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</si>
  <si>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</si>
  <si>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</si>
  <si>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ს.ს. "ტერაბანკი"</t>
  </si>
  <si>
    <t>შეიხი ნაჰაიან მაბარაკ ალ ნაჰაიანი</t>
  </si>
  <si>
    <t>თეა ლორთქიფანიძე</t>
  </si>
  <si>
    <t>www.terabank.ge</t>
  </si>
  <si>
    <t>X</t>
  </si>
  <si>
    <t>არადამოუკიდებელი თავმჯდომარე</t>
  </si>
  <si>
    <t>შეიხი საიფ მოჰამედ ბინ ბუტი ალ ჰამედ</t>
  </si>
  <si>
    <t>არადამოუკიდებელ წევრი</t>
  </si>
  <si>
    <t>სემი ედვარდ ადამ ხალილ</t>
  </si>
  <si>
    <t>სეითი დევდარიანი</t>
  </si>
  <si>
    <t>დამოუკიდებელი წევრი</t>
  </si>
  <si>
    <t>ხირთ რულოფ დე კორტე</t>
  </si>
  <si>
    <t>ნანა მიქაშავიძე</t>
  </si>
  <si>
    <t xml:space="preserve">თეა ლორთქიფანიძე </t>
  </si>
  <si>
    <t>გენერალური დირექტორი</t>
  </si>
  <si>
    <t>სოფიო ჯუღელი</t>
  </si>
  <si>
    <t>ფინანსური დირექტორი</t>
  </si>
  <si>
    <t xml:space="preserve">თეიმურაზ აბულაძე </t>
  </si>
  <si>
    <t>რისკების დირექტორი</t>
  </si>
  <si>
    <t>ვახტანგ ხუციშვილი</t>
  </si>
  <si>
    <t>ოპერაციების დირექტორი</t>
  </si>
  <si>
    <t>დავით ვერულაშვილი</t>
  </si>
  <si>
    <t>კომერციული დირექტორი</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</si>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</sst>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2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9"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88" fontId="2" fillId="70" borderId="88" applyFont="0">
      <alignment horizontal="right" vertical="center"/>
    </xf>
    <xf numFmtId="3" fontId="2" fillId="70" borderId="88" applyFont="0">
      <alignment horizontal="right" vertical="center"/>
    </xf>
    <xf numFmtId="0" fontId="85"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9"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3" fontId="2" fillId="75" borderId="88" applyFont="0">
      <alignment horizontal="right" vertical="center"/>
      <protection locked="0"/>
    </xf>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3" fontId="2" fillId="72" borderId="88" applyFont="0">
      <alignment horizontal="right" vertical="center"/>
      <protection locked="0"/>
    </xf>
    <xf numFmtId="0" fontId="68"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9"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2" fillId="71" borderId="89" applyNumberFormat="0" applyFont="0" applyBorder="0" applyProtection="0">
      <alignment horizontal="left" vertical="center"/>
    </xf>
    <xf numFmtId="9" fontId="2" fillId="71" borderId="88" applyFont="0" applyProtection="0">
      <alignment horizontal="right" vertical="center"/>
    </xf>
    <xf numFmtId="3" fontId="2" fillId="71" borderId="88" applyFont="0" applyProtection="0">
      <alignment horizontal="right" vertical="center"/>
    </xf>
    <xf numFmtId="0" fontId="64" fillId="70" borderId="89" applyFont="0" applyBorder="0">
      <alignment horizontal="center" wrapText="1"/>
    </xf>
    <xf numFmtId="168" fontId="56" fillId="0" borderId="86">
      <alignment horizontal="left" vertical="center"/>
    </xf>
    <xf numFmtId="0" fontId="56" fillId="0" borderId="86">
      <alignment horizontal="left" vertical="center"/>
    </xf>
    <xf numFmtId="0" fontId="56" fillId="0" borderId="86">
      <alignment horizontal="left" vertical="center"/>
    </xf>
    <xf numFmtId="0" fontId="2" fillId="69" borderId="88" applyNumberFormat="0" applyFont="0" applyBorder="0" applyProtection="0">
      <alignment horizontal="center" vertical="center"/>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40"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9"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728">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4"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Border="1" applyAlignment="1">
      <alignment horizontal="right"/>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Border="1" applyAlignment="1" applyProtection="1">
      <alignment horizontal="right"/>
      <protection locked="0"/>
    </xf>
    <xf numFmtId="193" fontId="9" fillId="0" borderId="3" xfId="0" applyNumberFormat="1" applyFont="1" applyBorder="1" applyAlignment="1" applyProtection="1">
      <alignment horizontal="right"/>
      <protection locked="0"/>
    </xf>
    <xf numFmtId="193" fontId="9" fillId="0" borderId="23" xfId="0" applyNumberFormat="1" applyFont="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0" borderId="3" xfId="0" applyNumberFormat="1" applyFont="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Border="1" applyAlignment="1">
      <alignment horizontal="center"/>
    </xf>
    <xf numFmtId="193" fontId="21" fillId="0" borderId="23" xfId="0" applyNumberFormat="1" applyFont="1" applyBorder="1" applyAlignment="1">
      <alignment horizontal="center"/>
    </xf>
    <xf numFmtId="193" fontId="20" fillId="0" borderId="23" xfId="0" applyNumberFormat="1" applyFont="1" applyBorder="1" applyAlignment="1" applyProtection="1">
      <alignment horizontal="right"/>
      <protection locked="0"/>
    </xf>
    <xf numFmtId="193" fontId="20" fillId="0" borderId="3" xfId="0" applyNumberFormat="1" applyFont="1" applyBorder="1" applyAlignment="1" applyProtection="1">
      <alignment horizontal="left" indent="1"/>
      <protection locked="0"/>
    </xf>
    <xf numFmtId="193" fontId="20" fillId="0" borderId="3" xfId="0" applyNumberFormat="1" applyFont="1" applyBorder="1" applyProtection="1">
      <protection locked="0"/>
    </xf>
    <xf numFmtId="193" fontId="9" fillId="36" borderId="23" xfId="7" applyNumberFormat="1" applyFont="1" applyFill="1" applyBorder="1" applyAlignment="1" applyProtection="1"/>
    <xf numFmtId="193" fontId="20" fillId="0" borderId="3" xfId="0" applyNumberFormat="1" applyFont="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36" borderId="26" xfId="0" applyNumberFormat="1" applyFont="1" applyFill="1" applyBorder="1"/>
    <xf numFmtId="193" fontId="4" fillId="36" borderId="57" xfId="0" applyNumberFormat="1" applyFont="1" applyFill="1" applyBorder="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0" xfId="20"/>
    <xf numFmtId="169" fontId="28" fillId="37" borderId="81" xfId="20" applyBorder="1"/>
    <xf numFmtId="0" fontId="4" fillId="0" borderId="7" xfId="0" applyFont="1" applyBorder="1" applyAlignment="1">
      <alignment vertical="center"/>
    </xf>
    <xf numFmtId="0" fontId="4" fillId="0" borderId="88" xfId="0" applyFont="1" applyBorder="1" applyAlignment="1">
      <alignment vertical="center"/>
    </xf>
    <xf numFmtId="0" fontId="6" fillId="0" borderId="88" xfId="0" applyFont="1" applyBorder="1" applyAlignment="1">
      <alignment vertical="center"/>
    </xf>
    <xf numFmtId="0" fontId="4" fillId="0" borderId="20" xfId="0" applyFont="1" applyBorder="1" applyAlignment="1">
      <alignment vertical="center"/>
    </xf>
    <xf numFmtId="0" fontId="4" fillId="0" borderId="30"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4" fillId="0" borderId="19" xfId="0" applyFont="1" applyBorder="1" applyAlignment="1">
      <alignment horizontal="center" vertical="center"/>
    </xf>
    <xf numFmtId="0" fontId="4" fillId="0" borderId="21" xfId="0" applyFont="1" applyBorder="1" applyAlignment="1">
      <alignment vertical="center"/>
    </xf>
    <xf numFmtId="0" fontId="4" fillId="0" borderId="96" xfId="0" applyFont="1" applyBorder="1" applyAlignment="1">
      <alignment horizontal="center" vertical="center"/>
    </xf>
    <xf numFmtId="0" fontId="4" fillId="0" borderId="97" xfId="0" applyFont="1" applyBorder="1" applyAlignment="1">
      <alignment vertical="center"/>
    </xf>
    <xf numFmtId="0" fontId="4" fillId="0" borderId="98" xfId="0" applyFont="1" applyBorder="1" applyAlignment="1">
      <alignment horizontal="center" vertical="center"/>
    </xf>
    <xf numFmtId="169" fontId="28" fillId="37" borderId="34" xfId="20" applyBorder="1"/>
    <xf numFmtId="169" fontId="28" fillId="37" borderId="100" xfId="20" applyBorder="1"/>
    <xf numFmtId="169" fontId="28" fillId="37" borderId="9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Alignment="1">
      <alignment vertical="center"/>
    </xf>
    <xf numFmtId="0" fontId="4" fillId="0" borderId="78" xfId="0" applyFont="1" applyBorder="1" applyAlignment="1">
      <alignment horizontal="center" vertical="center"/>
    </xf>
    <xf numFmtId="0" fontId="4" fillId="3" borderId="86" xfId="0" applyFont="1" applyFill="1" applyBorder="1" applyAlignment="1">
      <alignment vertical="center"/>
    </xf>
    <xf numFmtId="0" fontId="14" fillId="3" borderId="101" xfId="0" applyFont="1" applyFill="1" applyBorder="1" applyAlignment="1">
      <alignment horizontal="left"/>
    </xf>
    <xf numFmtId="0" fontId="14" fillId="3" borderId="102" xfId="0" applyFont="1" applyFill="1" applyBorder="1" applyAlignment="1">
      <alignment horizontal="left"/>
    </xf>
    <xf numFmtId="0" fontId="4" fillId="0" borderId="88" xfId="0" applyFont="1" applyBorder="1" applyAlignment="1">
      <alignment horizontal="center" vertical="center" wrapText="1"/>
    </xf>
    <xf numFmtId="0" fontId="4" fillId="0" borderId="103" xfId="0" applyFont="1" applyBorder="1" applyAlignment="1">
      <alignment horizontal="center" vertical="center" wrapText="1"/>
    </xf>
    <xf numFmtId="0" fontId="6" fillId="3" borderId="104" xfId="0" applyFont="1" applyFill="1" applyBorder="1" applyAlignment="1">
      <alignment vertical="center"/>
    </xf>
    <xf numFmtId="0" fontId="4" fillId="0" borderId="105" xfId="0" applyFont="1" applyBorder="1" applyAlignment="1">
      <alignment horizontal="center" vertical="center"/>
    </xf>
    <xf numFmtId="0" fontId="6" fillId="0" borderId="26"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3"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05" xfId="0" applyBorder="1"/>
    <xf numFmtId="0" fontId="0" fillId="0" borderId="105" xfId="0" applyBorder="1" applyAlignment="1">
      <alignment horizontal="center"/>
    </xf>
    <xf numFmtId="0" fontId="4" fillId="0" borderId="87" xfId="0" applyFont="1" applyBorder="1" applyAlignment="1">
      <alignment vertical="center" wrapText="1"/>
    </xf>
    <xf numFmtId="167" fontId="4" fillId="0" borderId="88" xfId="0" applyNumberFormat="1" applyFont="1" applyBorder="1" applyAlignment="1">
      <alignment horizontal="center" vertical="center"/>
    </xf>
    <xf numFmtId="167" fontId="4" fillId="0" borderId="103" xfId="0" applyNumberFormat="1" applyFont="1" applyBorder="1" applyAlignment="1">
      <alignment horizontal="center" vertical="center"/>
    </xf>
    <xf numFmtId="167" fontId="14" fillId="0" borderId="88" xfId="0" applyNumberFormat="1" applyFont="1" applyBorder="1" applyAlignment="1">
      <alignment horizontal="center" vertical="center"/>
    </xf>
    <xf numFmtId="0" fontId="14" fillId="0" borderId="87" xfId="0" applyFont="1" applyBorder="1" applyAlignment="1">
      <alignment vertical="center" wrapText="1"/>
    </xf>
    <xf numFmtId="0" fontId="0" fillId="0" borderId="25" xfId="0" applyBorder="1"/>
    <xf numFmtId="0" fontId="6" fillId="36" borderId="106"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5" xfId="0" applyFont="1" applyFill="1" applyBorder="1" applyAlignment="1">
      <alignment horizontal="left" vertical="center" wrapText="1"/>
    </xf>
    <xf numFmtId="0" fontId="6" fillId="36" borderId="88" xfId="0" applyFont="1" applyFill="1" applyBorder="1" applyAlignment="1">
      <alignment horizontal="left" vertical="center" wrapText="1"/>
    </xf>
    <xf numFmtId="0" fontId="6" fillId="36" borderId="103" xfId="0" applyFont="1" applyFill="1" applyBorder="1" applyAlignment="1">
      <alignment horizontal="left" vertical="center" wrapText="1"/>
    </xf>
    <xf numFmtId="0" fontId="4" fillId="0" borderId="105" xfId="0" applyFont="1" applyBorder="1" applyAlignment="1">
      <alignment horizontal="right" vertical="center" wrapText="1"/>
    </xf>
    <xf numFmtId="0" fontId="4" fillId="0" borderId="88" xfId="0" applyFont="1" applyBorder="1" applyAlignment="1">
      <alignment horizontal="left" vertical="center" wrapText="1"/>
    </xf>
    <xf numFmtId="0" fontId="108" fillId="0" borderId="105" xfId="0" applyFont="1" applyBorder="1" applyAlignment="1">
      <alignment horizontal="right" vertical="center" wrapText="1"/>
    </xf>
    <xf numFmtId="0" fontId="108" fillId="0" borderId="88" xfId="0" applyFont="1" applyBorder="1" applyAlignment="1">
      <alignment horizontal="left" vertical="center" wrapText="1"/>
    </xf>
    <xf numFmtId="0" fontId="6" fillId="0" borderId="105"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25" xfId="5" applyNumberFormat="1" applyFont="1" applyBorder="1" applyAlignment="1" applyProtection="1">
      <alignment horizontal="left" vertical="center"/>
      <protection locked="0"/>
    </xf>
    <xf numFmtId="0" fontId="110" fillId="0" borderId="26" xfId="9" applyFont="1" applyBorder="1" applyAlignment="1" applyProtection="1">
      <alignment horizontal="left" vertical="center" wrapText="1"/>
      <protection locked="0"/>
    </xf>
    <xf numFmtId="0" fontId="22" fillId="0" borderId="105" xfId="0" applyFont="1" applyBorder="1" applyAlignment="1">
      <alignment horizontal="center" vertical="center" wrapText="1"/>
    </xf>
    <xf numFmtId="3" fontId="23" fillId="36" borderId="88" xfId="0" applyNumberFormat="1" applyFont="1" applyFill="1" applyBorder="1" applyAlignment="1">
      <alignment vertical="center" wrapText="1"/>
    </xf>
    <xf numFmtId="3" fontId="23" fillId="36" borderId="103" xfId="0" applyNumberFormat="1" applyFont="1" applyFill="1" applyBorder="1" applyAlignment="1">
      <alignment vertical="center" wrapText="1"/>
    </xf>
    <xf numFmtId="14" fontId="7" fillId="3" borderId="88" xfId="8" quotePrefix="1" applyNumberFormat="1" applyFont="1" applyFill="1" applyBorder="1" applyAlignment="1" applyProtection="1">
      <alignment horizontal="left" vertical="center" wrapText="1" indent="2"/>
      <protection locked="0"/>
    </xf>
    <xf numFmtId="3" fontId="23" fillId="0" borderId="88" xfId="0" applyNumberFormat="1" applyFont="1" applyBorder="1" applyAlignment="1">
      <alignment vertical="center" wrapText="1"/>
    </xf>
    <xf numFmtId="14" fontId="7" fillId="3" borderId="88" xfId="8" quotePrefix="1" applyNumberFormat="1" applyFont="1" applyFill="1" applyBorder="1" applyAlignment="1" applyProtection="1">
      <alignment horizontal="left" vertical="center" wrapText="1" indent="3"/>
      <protection locked="0"/>
    </xf>
    <xf numFmtId="0" fontId="11" fillId="0" borderId="88" xfId="17" applyFill="1" applyBorder="1" applyAlignment="1" applyProtection="1"/>
    <xf numFmtId="49" fontId="108" fillId="0" borderId="105" xfId="0" applyNumberFormat="1" applyFont="1" applyBorder="1" applyAlignment="1">
      <alignment horizontal="right" vertical="center" wrapText="1"/>
    </xf>
    <xf numFmtId="0" fontId="7" fillId="3" borderId="88" xfId="20960" applyFont="1" applyFill="1" applyBorder="1"/>
    <xf numFmtId="0" fontId="105" fillId="0" borderId="88" xfId="20960" applyFont="1" applyBorder="1" applyAlignment="1">
      <alignment horizontal="center" vertical="center"/>
    </xf>
    <xf numFmtId="0" fontId="4" fillId="0" borderId="88" xfId="0" applyFont="1" applyBorder="1"/>
    <xf numFmtId="0" fontId="11" fillId="0" borderId="88" xfId="17" applyFill="1" applyBorder="1" applyAlignment="1" applyProtection="1">
      <alignment horizontal="left" vertical="center" wrapText="1"/>
    </xf>
    <xf numFmtId="49" fontId="108" fillId="0" borderId="88" xfId="0" applyNumberFormat="1" applyFont="1" applyBorder="1" applyAlignment="1">
      <alignment horizontal="right" vertical="center" wrapText="1"/>
    </xf>
    <xf numFmtId="0" fontId="11" fillId="0" borderId="88" xfId="17" applyFill="1" applyBorder="1" applyAlignment="1" applyProtection="1">
      <alignment horizontal="left" vertical="center"/>
    </xf>
    <xf numFmtId="0" fontId="11" fillId="0" borderId="88" xfId="17" applyBorder="1" applyAlignment="1" applyProtection="1"/>
    <xf numFmtId="0" fontId="111" fillId="77" borderId="89" xfId="21412" applyFont="1" applyFill="1" applyBorder="1" applyAlignment="1" applyProtection="1">
      <alignment vertical="center" wrapText="1"/>
      <protection locked="0"/>
    </xf>
    <xf numFmtId="0" fontId="112" fillId="70" borderId="83" xfId="21412" applyFont="1" applyFill="1" applyBorder="1" applyAlignment="1" applyProtection="1">
      <alignment horizontal="center" vertical="center"/>
      <protection locked="0"/>
    </xf>
    <xf numFmtId="0" fontId="111" fillId="78" borderId="88" xfId="21412" applyFont="1" applyFill="1" applyBorder="1" applyAlignment="1" applyProtection="1">
      <alignment horizontal="center" vertical="center"/>
      <protection locked="0"/>
    </xf>
    <xf numFmtId="0" fontId="111" fillId="77" borderId="89" xfId="21412" applyFont="1" applyFill="1" applyBorder="1" applyProtection="1">
      <alignment vertical="center"/>
      <protection locked="0"/>
    </xf>
    <xf numFmtId="0" fontId="113" fillId="70" borderId="83" xfId="21412" applyFont="1" applyFill="1" applyBorder="1" applyAlignment="1" applyProtection="1">
      <alignment horizontal="center" vertical="center"/>
      <protection locked="0"/>
    </xf>
    <xf numFmtId="0" fontId="113" fillId="3" borderId="83" xfId="21412" applyFont="1" applyFill="1" applyBorder="1" applyAlignment="1" applyProtection="1">
      <alignment horizontal="center" vertical="center"/>
      <protection locked="0"/>
    </xf>
    <xf numFmtId="0" fontId="113" fillId="0" borderId="83" xfId="21412" applyFont="1" applyBorder="1" applyAlignment="1" applyProtection="1">
      <alignment horizontal="center" vertical="center"/>
      <protection locked="0"/>
    </xf>
    <xf numFmtId="0" fontId="114" fillId="78" borderId="88" xfId="21412" applyFont="1" applyFill="1" applyBorder="1" applyAlignment="1" applyProtection="1">
      <alignment horizontal="center" vertical="center"/>
      <protection locked="0"/>
    </xf>
    <xf numFmtId="0" fontId="111" fillId="77" borderId="89" xfId="21412" applyFont="1" applyFill="1" applyBorder="1" applyAlignment="1" applyProtection="1">
      <alignment horizontal="center" vertical="center"/>
      <protection locked="0"/>
    </xf>
    <xf numFmtId="0" fontId="64" fillId="77" borderId="89" xfId="21412" applyFont="1" applyFill="1" applyBorder="1" applyProtection="1">
      <alignment vertical="center"/>
      <protection locked="0"/>
    </xf>
    <xf numFmtId="0" fontId="113" fillId="70" borderId="88" xfId="21412" applyFont="1" applyFill="1" applyBorder="1" applyAlignment="1" applyProtection="1">
      <alignment horizontal="center" vertical="center"/>
      <protection locked="0"/>
    </xf>
    <xf numFmtId="0" fontId="38" fillId="70" borderId="88" xfId="21412" applyFont="1" applyFill="1" applyBorder="1" applyAlignment="1" applyProtection="1">
      <alignment horizontal="center" vertical="center"/>
      <protection locked="0"/>
    </xf>
    <xf numFmtId="0" fontId="64" fillId="77" borderId="87" xfId="21412" applyFont="1" applyFill="1" applyBorder="1" applyProtection="1">
      <alignment vertical="center"/>
      <protection locked="0"/>
    </xf>
    <xf numFmtId="0" fontId="112" fillId="0" borderId="87" xfId="21412" applyFont="1" applyBorder="1" applyAlignment="1" applyProtection="1">
      <alignment horizontal="left" vertical="center" wrapText="1"/>
      <protection locked="0"/>
    </xf>
    <xf numFmtId="164" fontId="112" fillId="0" borderId="88" xfId="948" applyNumberFormat="1" applyFont="1" applyFill="1" applyBorder="1" applyAlignment="1" applyProtection="1">
      <alignment horizontal="right" vertical="center"/>
      <protection locked="0"/>
    </xf>
    <xf numFmtId="0" fontId="111" fillId="78" borderId="87" xfId="21412" applyFont="1" applyFill="1" applyBorder="1" applyAlignment="1" applyProtection="1">
      <alignment vertical="top" wrapText="1"/>
      <protection locked="0"/>
    </xf>
    <xf numFmtId="164" fontId="112" fillId="78" borderId="88" xfId="948" applyNumberFormat="1" applyFont="1" applyFill="1" applyBorder="1" applyAlignment="1" applyProtection="1">
      <alignment horizontal="right" vertical="center"/>
    </xf>
    <xf numFmtId="164" fontId="64" fillId="77" borderId="87" xfId="948" applyNumberFormat="1" applyFont="1" applyFill="1" applyBorder="1" applyAlignment="1" applyProtection="1">
      <alignment horizontal="right" vertical="center"/>
      <protection locked="0"/>
    </xf>
    <xf numFmtId="0" fontId="112" fillId="70" borderId="87" xfId="21412" applyFont="1" applyFill="1" applyBorder="1" applyAlignment="1" applyProtection="1">
      <alignment vertical="center" wrapText="1"/>
      <protection locked="0"/>
    </xf>
    <xf numFmtId="0" fontId="112" fillId="70" borderId="87" xfId="21412" applyFont="1" applyFill="1" applyBorder="1" applyAlignment="1" applyProtection="1">
      <alignment horizontal="left" vertical="center" wrapText="1"/>
      <protection locked="0"/>
    </xf>
    <xf numFmtId="0" fontId="112" fillId="0" borderId="87" xfId="21412" applyFont="1" applyBorder="1" applyAlignment="1" applyProtection="1">
      <alignment vertical="center" wrapText="1"/>
      <protection locked="0"/>
    </xf>
    <xf numFmtId="0" fontId="112" fillId="3" borderId="87" xfId="21412" applyFont="1" applyFill="1" applyBorder="1" applyAlignment="1" applyProtection="1">
      <alignment horizontal="left" vertical="center" wrapText="1"/>
      <protection locked="0"/>
    </xf>
    <xf numFmtId="0" fontId="111" fillId="78" borderId="87" xfId="21412" applyFont="1" applyFill="1" applyBorder="1" applyAlignment="1" applyProtection="1">
      <alignment vertical="center" wrapText="1"/>
      <protection locked="0"/>
    </xf>
    <xf numFmtId="164" fontId="111" fillId="77" borderId="87" xfId="948" applyNumberFormat="1" applyFont="1" applyFill="1" applyBorder="1" applyAlignment="1" applyProtection="1">
      <alignment horizontal="right" vertical="center"/>
      <protection locked="0"/>
    </xf>
    <xf numFmtId="164" fontId="112" fillId="3" borderId="88" xfId="948" applyNumberFormat="1" applyFont="1" applyFill="1" applyBorder="1" applyAlignment="1" applyProtection="1">
      <alignment horizontal="right" vertical="center"/>
      <protection locked="0"/>
    </xf>
    <xf numFmtId="1" fontId="4" fillId="0" borderId="103" xfId="0" applyNumberFormat="1" applyFont="1" applyBorder="1" applyAlignment="1">
      <alignment horizontal="right" vertical="center" wrapText="1"/>
    </xf>
    <xf numFmtId="1" fontId="6" fillId="36" borderId="103" xfId="0" applyNumberFormat="1" applyFont="1" applyFill="1" applyBorder="1" applyAlignment="1">
      <alignment horizontal="right" vertical="center" wrapText="1"/>
    </xf>
    <xf numFmtId="1" fontId="108" fillId="0" borderId="103" xfId="0" applyNumberFormat="1" applyFont="1" applyBorder="1" applyAlignment="1">
      <alignment horizontal="right" vertical="center" wrapText="1"/>
    </xf>
    <xf numFmtId="1" fontId="6" fillId="36" borderId="103" xfId="0" applyNumberFormat="1" applyFont="1" applyFill="1" applyBorder="1" applyAlignment="1">
      <alignment horizontal="center" vertical="center" wrapText="1"/>
    </xf>
    <xf numFmtId="1" fontId="7" fillId="0" borderId="27" xfId="1" applyNumberFormat="1" applyFont="1" applyFill="1" applyBorder="1" applyAlignment="1" applyProtection="1">
      <alignment horizontal="right" vertical="center"/>
    </xf>
    <xf numFmtId="10" fontId="7" fillId="0" borderId="88" xfId="20961" applyNumberFormat="1" applyFont="1" applyFill="1" applyBorder="1" applyAlignment="1">
      <alignment horizontal="left" vertical="center" wrapText="1"/>
    </xf>
    <xf numFmtId="10" fontId="4" fillId="0" borderId="88" xfId="20961" applyNumberFormat="1" applyFont="1" applyFill="1" applyBorder="1" applyAlignment="1">
      <alignment horizontal="left" vertical="center" wrapText="1"/>
    </xf>
    <xf numFmtId="10" fontId="6" fillId="36" borderId="88" xfId="0" applyNumberFormat="1" applyFont="1" applyFill="1" applyBorder="1" applyAlignment="1">
      <alignment horizontal="left" vertical="center" wrapText="1"/>
    </xf>
    <xf numFmtId="10" fontId="108" fillId="0" borderId="88" xfId="20961" applyNumberFormat="1" applyFont="1" applyFill="1" applyBorder="1" applyAlignment="1">
      <alignment horizontal="left" vertical="center" wrapText="1"/>
    </xf>
    <xf numFmtId="10" fontId="6" fillId="36" borderId="88" xfId="20961" applyNumberFormat="1" applyFont="1" applyFill="1" applyBorder="1" applyAlignment="1">
      <alignment horizontal="left" vertical="center" wrapText="1"/>
    </xf>
    <xf numFmtId="10" fontId="6" fillId="36" borderId="88"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5" xfId="0" applyFont="1" applyBorder="1" applyAlignment="1">
      <alignment horizontal="right" vertical="center" wrapText="1"/>
    </xf>
    <xf numFmtId="0" fontId="7" fillId="0" borderId="88" xfId="0" applyFont="1" applyBorder="1" applyAlignment="1">
      <alignment vertical="center" wrapText="1"/>
    </xf>
    <xf numFmtId="0" fontId="4" fillId="0" borderId="88" xfId="0" applyFont="1" applyBorder="1" applyAlignment="1">
      <alignment vertical="center" wrapText="1"/>
    </xf>
    <xf numFmtId="0" fontId="4" fillId="0" borderId="88" xfId="0" applyFont="1" applyBorder="1" applyAlignment="1">
      <alignment horizontal="left" vertical="center" wrapText="1" indent="2"/>
    </xf>
    <xf numFmtId="3" fontId="23" fillId="36" borderId="89"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9"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3" xfId="0" applyFont="1" applyBorder="1"/>
    <xf numFmtId="0" fontId="4" fillId="0" borderId="27" xfId="0" applyFont="1" applyBorder="1"/>
    <xf numFmtId="0" fontId="9" fillId="0" borderId="103" xfId="0" applyFont="1" applyBorder="1"/>
    <xf numFmtId="0" fontId="9" fillId="0" borderId="103" xfId="0" applyFont="1" applyBorder="1" applyAlignment="1">
      <alignment wrapText="1"/>
    </xf>
    <xf numFmtId="0" fontId="10" fillId="0" borderId="21" xfId="0" applyFont="1" applyBorder="1" applyAlignment="1">
      <alignment horizontal="center"/>
    </xf>
    <xf numFmtId="0" fontId="10" fillId="0" borderId="103" xfId="0" applyFont="1" applyBorder="1" applyAlignment="1">
      <alignment horizontal="center" vertical="center" wrapText="1"/>
    </xf>
    <xf numFmtId="14" fontId="7" fillId="0" borderId="0" xfId="0" applyNumberFormat="1" applyFont="1"/>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9" fillId="0" borderId="105" xfId="0" applyFont="1" applyBorder="1" applyAlignment="1">
      <alignment horizontal="center" vertical="center" wrapText="1"/>
    </xf>
    <xf numFmtId="0" fontId="15" fillId="0" borderId="88" xfId="0" applyFont="1" applyBorder="1" applyAlignment="1">
      <alignment horizontal="center" vertical="center" wrapText="1"/>
    </xf>
    <xf numFmtId="0" fontId="16" fillId="0" borderId="88" xfId="0" applyFont="1" applyBorder="1" applyAlignment="1">
      <alignment horizontal="left" vertical="center" wrapText="1"/>
    </xf>
    <xf numFmtId="193" fontId="7" fillId="0" borderId="88" xfId="0" applyNumberFormat="1" applyFont="1" applyBorder="1" applyAlignment="1" applyProtection="1">
      <alignment vertical="center" wrapText="1"/>
      <protection locked="0"/>
    </xf>
    <xf numFmtId="193" fontId="4" fillId="0" borderId="88" xfId="0" applyNumberFormat="1" applyFont="1" applyBorder="1" applyAlignment="1" applyProtection="1">
      <alignment vertical="center" wrapText="1"/>
      <protection locked="0"/>
    </xf>
    <xf numFmtId="193" fontId="4" fillId="0" borderId="103" xfId="0" applyNumberFormat="1" applyFont="1" applyBorder="1" applyAlignment="1" applyProtection="1">
      <alignment vertical="center" wrapText="1"/>
      <protection locked="0"/>
    </xf>
    <xf numFmtId="193" fontId="7" fillId="0" borderId="88" xfId="0" applyNumberFormat="1" applyFont="1" applyBorder="1" applyAlignment="1" applyProtection="1">
      <alignment horizontal="right" vertical="center" wrapText="1"/>
      <protection locked="0"/>
    </xf>
    <xf numFmtId="0" fontId="9" fillId="2" borderId="105" xfId="0" applyFont="1" applyFill="1" applyBorder="1" applyAlignment="1">
      <alignment horizontal="right" vertical="center"/>
    </xf>
    <xf numFmtId="0" fontId="9" fillId="2" borderId="88" xfId="0" applyFont="1" applyFill="1" applyBorder="1" applyAlignment="1">
      <alignment vertical="center"/>
    </xf>
    <xf numFmtId="193" fontId="9" fillId="2" borderId="88" xfId="0" applyNumberFormat="1" applyFont="1" applyFill="1" applyBorder="1" applyAlignment="1" applyProtection="1">
      <alignment vertical="center"/>
      <protection locked="0"/>
    </xf>
    <xf numFmtId="193" fontId="17" fillId="2" borderId="88" xfId="0" applyNumberFormat="1" applyFont="1" applyFill="1" applyBorder="1" applyAlignment="1" applyProtection="1">
      <alignment vertical="center"/>
      <protection locked="0"/>
    </xf>
    <xf numFmtId="193" fontId="17" fillId="2" borderId="103" xfId="0" applyNumberFormat="1" applyFont="1" applyFill="1" applyBorder="1" applyAlignment="1" applyProtection="1">
      <alignment vertical="center"/>
      <protection locked="0"/>
    </xf>
    <xf numFmtId="193" fontId="9" fillId="2" borderId="103" xfId="0" applyNumberFormat="1" applyFont="1" applyFill="1" applyBorder="1" applyAlignment="1" applyProtection="1">
      <alignment vertical="center"/>
      <protection locked="0"/>
    </xf>
    <xf numFmtId="0" fontId="15" fillId="0" borderId="105" xfId="0" applyFont="1" applyBorder="1" applyAlignment="1">
      <alignment horizontal="center" vertical="center" wrapText="1"/>
    </xf>
    <xf numFmtId="14" fontId="4" fillId="0" borderId="0" xfId="0" applyNumberFormat="1" applyFont="1"/>
    <xf numFmtId="10" fontId="4" fillId="0" borderId="88" xfId="20961" applyNumberFormat="1" applyFont="1" applyFill="1" applyBorder="1" applyAlignment="1" applyProtection="1">
      <alignment horizontal="right" vertical="center" wrapText="1"/>
      <protection locked="0"/>
    </xf>
    <xf numFmtId="10" fontId="4" fillId="0" borderId="88" xfId="20961" applyNumberFormat="1" applyFont="1" applyBorder="1" applyAlignment="1" applyProtection="1">
      <alignment vertical="center" wrapText="1"/>
      <protection locked="0"/>
    </xf>
    <xf numFmtId="10" fontId="4" fillId="0" borderId="103" xfId="20961" applyNumberFormat="1" applyFont="1" applyBorder="1" applyAlignment="1" applyProtection="1">
      <alignment vertical="center" wrapText="1"/>
      <protection locked="0"/>
    </xf>
    <xf numFmtId="0" fontId="4" fillId="3" borderId="60" xfId="0" applyFont="1" applyFill="1" applyBorder="1"/>
    <xf numFmtId="0" fontId="4" fillId="3" borderId="108" xfId="0" applyFont="1" applyFill="1" applyBorder="1" applyAlignment="1">
      <alignment wrapText="1"/>
    </xf>
    <xf numFmtId="0" fontId="4" fillId="3" borderId="109" xfId="0" applyFont="1" applyFill="1" applyBorder="1"/>
    <xf numFmtId="0" fontId="6" fillId="3" borderId="11" xfId="0" applyFont="1" applyFill="1" applyBorder="1" applyAlignment="1">
      <alignment horizontal="center" wrapText="1"/>
    </xf>
    <xf numFmtId="0" fontId="4" fillId="0" borderId="88" xfId="0" applyFont="1" applyBorder="1" applyAlignment="1">
      <alignment horizontal="center"/>
    </xf>
    <xf numFmtId="0" fontId="4" fillId="3" borderId="72"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1" xfId="0" applyFont="1" applyFill="1" applyBorder="1" applyAlignment="1">
      <alignment horizontal="center" vertical="center" wrapText="1"/>
    </xf>
    <xf numFmtId="0" fontId="4" fillId="0" borderId="105" xfId="0" applyFont="1" applyBorder="1"/>
    <xf numFmtId="0" fontId="4" fillId="0" borderId="88" xfId="0" applyFont="1" applyBorder="1" applyAlignment="1">
      <alignment wrapText="1"/>
    </xf>
    <xf numFmtId="164" fontId="4" fillId="0" borderId="88" xfId="7" applyNumberFormat="1" applyFont="1" applyBorder="1"/>
    <xf numFmtId="164" fontId="4" fillId="0" borderId="103" xfId="7" applyNumberFormat="1" applyFont="1" applyBorder="1"/>
    <xf numFmtId="0" fontId="14" fillId="0" borderId="88" xfId="0" applyFont="1" applyBorder="1" applyAlignment="1">
      <alignment horizontal="left" wrapText="1" indent="2"/>
    </xf>
    <xf numFmtId="169" fontId="28" fillId="37" borderId="88" xfId="20" applyBorder="1"/>
    <xf numFmtId="164" fontId="4" fillId="0" borderId="88" xfId="7" applyNumberFormat="1" applyFont="1" applyBorder="1" applyAlignment="1">
      <alignment vertical="center"/>
    </xf>
    <xf numFmtId="0" fontId="6" fillId="0" borderId="105" xfId="0" applyFont="1" applyBorder="1"/>
    <xf numFmtId="0" fontId="6" fillId="0" borderId="88" xfId="0" applyFont="1" applyBorder="1" applyAlignment="1">
      <alignment wrapText="1"/>
    </xf>
    <xf numFmtId="164" fontId="6" fillId="0" borderId="103" xfId="7" applyNumberFormat="1" applyFont="1" applyBorder="1"/>
    <xf numFmtId="0" fontId="3" fillId="3" borderId="72"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1" xfId="7" applyNumberFormat="1" applyFont="1" applyFill="1" applyBorder="1"/>
    <xf numFmtId="164" fontId="4" fillId="0" borderId="88" xfId="7" applyNumberFormat="1" applyFont="1" applyFill="1" applyBorder="1"/>
    <xf numFmtId="164" fontId="4" fillId="0" borderId="88" xfId="7" applyNumberFormat="1" applyFont="1" applyFill="1" applyBorder="1" applyAlignment="1">
      <alignment vertical="center"/>
    </xf>
    <xf numFmtId="0" fontId="14" fillId="0" borderId="88"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1" xfId="0" applyFont="1" applyFill="1" applyBorder="1"/>
    <xf numFmtId="0" fontId="6" fillId="0" borderId="25" xfId="0" applyFont="1" applyBorder="1"/>
    <xf numFmtId="0" fontId="6" fillId="0" borderId="26" xfId="0" applyFont="1" applyBorder="1" applyAlignment="1">
      <alignment wrapText="1"/>
    </xf>
    <xf numFmtId="169" fontId="28" fillId="37" borderId="106" xfId="20" applyBorder="1"/>
    <xf numFmtId="10" fontId="6" fillId="0" borderId="27" xfId="20961" applyNumberFormat="1" applyFont="1" applyBorder="1"/>
    <xf numFmtId="0" fontId="9" fillId="2" borderId="96" xfId="0" applyFont="1" applyFill="1" applyBorder="1" applyAlignment="1">
      <alignment horizontal="right" vertical="center"/>
    </xf>
    <xf numFmtId="0" fontId="9" fillId="2" borderId="83" xfId="0" applyFont="1" applyFill="1" applyBorder="1" applyAlignment="1">
      <alignment vertical="center"/>
    </xf>
    <xf numFmtId="193" fontId="9" fillId="2" borderId="83" xfId="0" applyNumberFormat="1" applyFont="1" applyFill="1" applyBorder="1" applyAlignment="1" applyProtection="1">
      <alignment vertical="center"/>
      <protection locked="0"/>
    </xf>
    <xf numFmtId="193" fontId="17" fillId="2" borderId="83" xfId="0" applyNumberFormat="1" applyFont="1" applyFill="1" applyBorder="1" applyAlignment="1" applyProtection="1">
      <alignment vertical="center"/>
      <protection locked="0"/>
    </xf>
    <xf numFmtId="193" fontId="17" fillId="2" borderId="97" xfId="0" applyNumberFormat="1" applyFont="1" applyFill="1" applyBorder="1" applyAlignment="1" applyProtection="1">
      <alignment vertical="center"/>
      <protection locked="0"/>
    </xf>
    <xf numFmtId="0" fontId="9" fillId="0" borderId="88" xfId="0" applyFont="1" applyBorder="1" applyAlignment="1">
      <alignment horizontal="left" vertical="center" wrapText="1"/>
    </xf>
    <xf numFmtId="0" fontId="6" fillId="3" borderId="0" xfId="0" applyFont="1" applyFill="1" applyAlignment="1">
      <alignment horizontal="center"/>
    </xf>
    <xf numFmtId="0" fontId="115" fillId="0" borderId="0" xfId="11" applyFont="1"/>
    <xf numFmtId="0" fontId="116" fillId="0" borderId="0" xfId="0" applyFont="1"/>
    <xf numFmtId="0" fontId="117" fillId="0" borderId="0" xfId="11" applyFont="1"/>
    <xf numFmtId="14" fontId="116" fillId="0" borderId="0" xfId="0" applyNumberFormat="1" applyFont="1"/>
    <xf numFmtId="0" fontId="119" fillId="0" borderId="88" xfId="0" applyFont="1" applyBorder="1" applyAlignment="1">
      <alignment horizontal="center" vertical="center" wrapText="1"/>
    </xf>
    <xf numFmtId="0" fontId="120" fillId="3" borderId="88" xfId="13" applyFont="1" applyFill="1" applyBorder="1" applyAlignment="1" applyProtection="1">
      <alignment horizontal="left" vertical="center" wrapText="1"/>
      <protection locked="0"/>
    </xf>
    <xf numFmtId="0" fontId="119" fillId="0" borderId="88" xfId="0" applyFont="1" applyBorder="1"/>
    <xf numFmtId="0" fontId="120" fillId="0" borderId="88" xfId="13" applyFont="1" applyBorder="1" applyAlignment="1" applyProtection="1">
      <alignment horizontal="left" vertical="center" wrapText="1"/>
      <protection locked="0"/>
    </xf>
    <xf numFmtId="49" fontId="120" fillId="0" borderId="88" xfId="5" applyNumberFormat="1" applyFont="1" applyBorder="1" applyAlignment="1" applyProtection="1">
      <alignment horizontal="right" vertical="center"/>
      <protection locked="0"/>
    </xf>
    <xf numFmtId="49" fontId="121" fillId="0" borderId="88" xfId="5" applyNumberFormat="1" applyFont="1" applyBorder="1" applyAlignment="1" applyProtection="1">
      <alignment horizontal="right" vertical="center"/>
      <protection locked="0"/>
    </xf>
    <xf numFmtId="0" fontId="116" fillId="0" borderId="0" xfId="0" applyFont="1" applyAlignment="1">
      <alignment wrapText="1"/>
    </xf>
    <xf numFmtId="0" fontId="116" fillId="0" borderId="88" xfId="0" applyFont="1" applyBorder="1" applyAlignment="1">
      <alignment horizontal="center" vertical="center"/>
    </xf>
    <xf numFmtId="0" fontId="116" fillId="0" borderId="88" xfId="0" applyFont="1" applyBorder="1" applyAlignment="1">
      <alignment horizontal="center" vertical="center" wrapText="1"/>
    </xf>
    <xf numFmtId="49" fontId="120" fillId="3" borderId="88" xfId="5" applyNumberFormat="1" applyFont="1" applyFill="1" applyBorder="1" applyAlignment="1" applyProtection="1">
      <alignment horizontal="right" vertical="center" wrapText="1"/>
      <protection locked="0"/>
    </xf>
    <xf numFmtId="0" fontId="116" fillId="0" borderId="88" xfId="0" applyFont="1" applyBorder="1"/>
    <xf numFmtId="166" fontId="115" fillId="36" borderId="88" xfId="21413" applyFont="1" applyFill="1" applyBorder="1"/>
    <xf numFmtId="49" fontId="120" fillId="0" borderId="88" xfId="5" applyNumberFormat="1" applyFont="1" applyBorder="1" applyAlignment="1" applyProtection="1">
      <alignment horizontal="right" vertical="center" wrapText="1"/>
      <protection locked="0"/>
    </xf>
    <xf numFmtId="49" fontId="121" fillId="0" borderId="88" xfId="5" applyNumberFormat="1" applyFont="1" applyBorder="1" applyAlignment="1" applyProtection="1">
      <alignment horizontal="right" vertical="center" wrapText="1"/>
      <protection locked="0"/>
    </xf>
    <xf numFmtId="0" fontId="119" fillId="0" borderId="0" xfId="0" applyFont="1"/>
    <xf numFmtId="0" fontId="116" fillId="0" borderId="88" xfId="0" applyFont="1" applyBorder="1" applyAlignment="1">
      <alignment wrapText="1"/>
    </xf>
    <xf numFmtId="0" fontId="116" fillId="0" borderId="88" xfId="0" applyFont="1" applyBorder="1" applyAlignment="1">
      <alignment horizontal="left" indent="8"/>
    </xf>
    <xf numFmtId="0" fontId="115" fillId="0" borderId="88" xfId="0" applyFont="1" applyBorder="1" applyAlignment="1">
      <alignment horizontal="left" vertical="center" wrapText="1"/>
    </xf>
    <xf numFmtId="0" fontId="116" fillId="0" borderId="0" xfId="0" applyFont="1" applyAlignment="1">
      <alignment horizontal="left"/>
    </xf>
    <xf numFmtId="0" fontId="118" fillId="0" borderId="88" xfId="0" applyFont="1" applyBorder="1" applyAlignment="1">
      <alignment horizontal="left" indent="1"/>
    </xf>
    <xf numFmtId="0" fontId="118" fillId="0" borderId="88" xfId="0" applyFont="1" applyBorder="1" applyAlignment="1">
      <alignment horizontal="left" wrapText="1" indent="1"/>
    </xf>
    <xf numFmtId="0" fontId="115" fillId="0" borderId="88" xfId="0" applyFont="1" applyBorder="1" applyAlignment="1">
      <alignment horizontal="left" indent="1"/>
    </xf>
    <xf numFmtId="0" fontId="115" fillId="0" borderId="88" xfId="0" applyFont="1" applyBorder="1" applyAlignment="1">
      <alignment horizontal="left" wrapText="1" indent="2"/>
    </xf>
    <xf numFmtId="0" fontId="118" fillId="0" borderId="88" xfId="0" applyFont="1" applyBorder="1" applyAlignment="1">
      <alignment horizontal="left" vertical="center" indent="1"/>
    </xf>
    <xf numFmtId="0" fontId="116" fillId="79" borderId="88" xfId="0" applyFont="1" applyFill="1" applyBorder="1"/>
    <xf numFmtId="0" fontId="116" fillId="0" borderId="88" xfId="0" applyFont="1" applyBorder="1" applyAlignment="1">
      <alignment horizontal="left" wrapText="1"/>
    </xf>
    <xf numFmtId="0" fontId="116" fillId="0" borderId="88" xfId="0" applyFont="1" applyBorder="1" applyAlignment="1">
      <alignment horizontal="left" wrapText="1" indent="2"/>
    </xf>
    <xf numFmtId="0" fontId="119" fillId="0" borderId="7" xfId="0" applyFont="1" applyBorder="1"/>
    <xf numFmtId="0" fontId="119" fillId="79" borderId="88" xfId="0" applyFont="1" applyFill="1" applyBorder="1"/>
    <xf numFmtId="0" fontId="116" fillId="0" borderId="0" xfId="0" applyFont="1" applyAlignment="1">
      <alignment horizontal="center" vertical="center"/>
    </xf>
    <xf numFmtId="0" fontId="116" fillId="0" borderId="0" xfId="0" applyFont="1" applyAlignment="1">
      <alignment horizontal="center" vertical="center" wrapText="1"/>
    </xf>
    <xf numFmtId="0" fontId="116" fillId="0" borderId="88" xfId="0" applyFont="1" applyBorder="1" applyAlignment="1">
      <alignment horizontal="center"/>
    </xf>
    <xf numFmtId="0" fontId="116" fillId="0" borderId="88" xfId="0" applyFont="1" applyBorder="1" applyAlignment="1">
      <alignment horizontal="left" indent="1"/>
    </xf>
    <xf numFmtId="0" fontId="116" fillId="0" borderId="7" xfId="0" applyFont="1" applyBorder="1"/>
    <xf numFmtId="0" fontId="116" fillId="0" borderId="88" xfId="0" applyFont="1" applyBorder="1" applyAlignment="1">
      <alignment horizontal="left" indent="2"/>
    </xf>
    <xf numFmtId="49" fontId="116" fillId="0" borderId="88" xfId="0" applyNumberFormat="1" applyFont="1" applyBorder="1" applyAlignment="1">
      <alignment horizontal="left" indent="3"/>
    </xf>
    <xf numFmtId="49" fontId="116" fillId="0" borderId="88" xfId="0" applyNumberFormat="1" applyFont="1" applyBorder="1" applyAlignment="1">
      <alignment horizontal="left" indent="1"/>
    </xf>
    <xf numFmtId="49" fontId="116" fillId="0" borderId="88" xfId="0" applyNumberFormat="1" applyFont="1" applyBorder="1" applyAlignment="1">
      <alignment horizontal="left" wrapText="1" indent="2"/>
    </xf>
    <xf numFmtId="49" fontId="116" fillId="0" borderId="88" xfId="0" applyNumberFormat="1" applyFont="1" applyBorder="1" applyAlignment="1">
      <alignment horizontal="left" vertical="top" wrapText="1" indent="2"/>
    </xf>
    <xf numFmtId="49" fontId="116" fillId="0" borderId="88" xfId="0" applyNumberFormat="1" applyFont="1" applyBorder="1" applyAlignment="1">
      <alignment horizontal="left" wrapText="1" indent="3"/>
    </xf>
    <xf numFmtId="0" fontId="116" fillId="0" borderId="88" xfId="0" applyFont="1" applyBorder="1" applyAlignment="1">
      <alignment horizontal="left" wrapText="1" indent="1"/>
    </xf>
    <xf numFmtId="0" fontId="118" fillId="0" borderId="119" xfId="0" applyFont="1" applyBorder="1" applyAlignment="1">
      <alignment horizontal="left" vertical="center" wrapText="1"/>
    </xf>
    <xf numFmtId="0" fontId="116" fillId="0" borderId="83" xfId="0" applyFont="1" applyBorder="1" applyAlignment="1">
      <alignment horizontal="center" vertical="center" wrapText="1"/>
    </xf>
    <xf numFmtId="0" fontId="116" fillId="0" borderId="7" xfId="0" applyFont="1" applyBorder="1" applyAlignment="1">
      <alignment horizontal="center" vertical="center" wrapText="1"/>
    </xf>
    <xf numFmtId="0" fontId="118" fillId="0" borderId="88" xfId="0" applyFont="1" applyBorder="1" applyAlignment="1">
      <alignment horizontal="left" vertical="center" wrapText="1"/>
    </xf>
    <xf numFmtId="0" fontId="124" fillId="0" borderId="0" xfId="0" applyFont="1"/>
    <xf numFmtId="0" fontId="124" fillId="0" borderId="0" xfId="0" applyFont="1" applyAlignment="1">
      <alignment horizontal="center" vertical="center"/>
    </xf>
    <xf numFmtId="0" fontId="11" fillId="0" borderId="88" xfId="17" applyFill="1" applyBorder="1" applyAlignment="1" applyProtection="1">
      <alignment wrapText="1"/>
    </xf>
    <xf numFmtId="49" fontId="116" fillId="0" borderId="88" xfId="0" applyNumberFormat="1" applyFont="1" applyBorder="1" applyAlignment="1">
      <alignment horizontal="left" wrapText="1" indent="1"/>
    </xf>
    <xf numFmtId="10" fontId="9" fillId="2" borderId="88" xfId="20961" applyNumberFormat="1" applyFont="1" applyFill="1" applyBorder="1" applyAlignment="1" applyProtection="1">
      <alignment vertical="center"/>
      <protection locked="0"/>
    </xf>
    <xf numFmtId="10" fontId="17" fillId="2" borderId="88" xfId="20961" applyNumberFormat="1" applyFont="1" applyFill="1" applyBorder="1" applyAlignment="1" applyProtection="1">
      <alignment vertical="center"/>
      <protection locked="0"/>
    </xf>
    <xf numFmtId="10" fontId="17" fillId="2" borderId="103" xfId="20961" applyNumberFormat="1" applyFont="1" applyFill="1" applyBorder="1" applyAlignment="1" applyProtection="1">
      <alignment vertical="center"/>
      <protection locked="0"/>
    </xf>
    <xf numFmtId="10" fontId="9" fillId="2" borderId="10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0" fontId="9" fillId="0" borderId="105" xfId="0" applyFont="1" applyBorder="1" applyAlignment="1">
      <alignment vertical="center"/>
    </xf>
    <xf numFmtId="0" fontId="13" fillId="0" borderId="89" xfId="0" applyFont="1" applyBorder="1" applyAlignment="1">
      <alignment wrapText="1"/>
    </xf>
    <xf numFmtId="0" fontId="9" fillId="0" borderId="96" xfId="0" applyFont="1" applyBorder="1" applyAlignment="1">
      <alignment vertical="center"/>
    </xf>
    <xf numFmtId="0" fontId="13" fillId="0" borderId="84" xfId="0" applyFont="1" applyBorder="1" applyAlignment="1">
      <alignment wrapText="1"/>
    </xf>
    <xf numFmtId="0" fontId="4" fillId="0" borderId="97" xfId="0" applyFont="1" applyBorder="1"/>
    <xf numFmtId="9" fontId="4" fillId="0" borderId="24" xfId="20961" applyFont="1" applyBorder="1" applyAlignment="1"/>
    <xf numFmtId="9" fontId="4" fillId="0" borderId="103" xfId="20961" applyFont="1" applyBorder="1" applyAlignment="1"/>
    <xf numFmtId="9" fontId="4" fillId="0" borderId="97" xfId="20961" applyFont="1" applyBorder="1" applyAlignment="1"/>
    <xf numFmtId="43" fontId="108" fillId="0" borderId="103" xfId="7" applyFont="1" applyFill="1" applyBorder="1" applyAlignment="1">
      <alignment horizontal="right" vertical="center" wrapText="1"/>
    </xf>
    <xf numFmtId="43" fontId="4" fillId="0" borderId="3" xfId="7" applyFont="1" applyBorder="1" applyAlignment="1"/>
    <xf numFmtId="164" fontId="4" fillId="0" borderId="3" xfId="7" applyNumberFormat="1" applyFont="1" applyBorder="1" applyAlignment="1"/>
    <xf numFmtId="164" fontId="4" fillId="0" borderId="8" xfId="7" applyNumberFormat="1" applyFont="1" applyBorder="1" applyAlignment="1"/>
    <xf numFmtId="43" fontId="4" fillId="0" borderId="22" xfId="7" applyFont="1" applyBorder="1" applyAlignment="1"/>
    <xf numFmtId="43" fontId="4" fillId="0" borderId="23" xfId="7" applyFont="1" applyBorder="1" applyAlignment="1"/>
    <xf numFmtId="43" fontId="4" fillId="0" borderId="24" xfId="7" applyFont="1" applyBorder="1" applyAlignment="1">
      <alignment wrapText="1"/>
    </xf>
    <xf numFmtId="43" fontId="4" fillId="0" borderId="24" xfId="7" applyFont="1" applyBorder="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36" borderId="26" xfId="7" applyNumberFormat="1" applyFont="1" applyFill="1" applyBorder="1"/>
    <xf numFmtId="164" fontId="4" fillId="3" borderId="86" xfId="7" applyNumberFormat="1" applyFont="1" applyFill="1" applyBorder="1" applyAlignment="1">
      <alignment vertical="center"/>
    </xf>
    <xf numFmtId="164" fontId="4" fillId="3" borderId="24" xfId="7" applyNumberFormat="1" applyFont="1" applyFill="1" applyBorder="1" applyAlignment="1">
      <alignment vertical="center"/>
    </xf>
    <xf numFmtId="164" fontId="28" fillId="37" borderId="0" xfId="7" applyNumberFormat="1" applyFont="1" applyFill="1" applyBorder="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0" borderId="89"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4" fillId="0" borderId="82" xfId="20961" applyNumberFormat="1" applyFont="1" applyFill="1" applyBorder="1" applyAlignment="1">
      <alignment vertical="center"/>
    </xf>
    <xf numFmtId="9" fontId="4" fillId="0" borderId="82" xfId="20961" applyFont="1" applyFill="1" applyBorder="1" applyAlignment="1">
      <alignment vertical="center"/>
    </xf>
    <xf numFmtId="9" fontId="4" fillId="0" borderId="99" xfId="20961" applyFont="1" applyFill="1" applyBorder="1" applyAlignment="1">
      <alignment vertical="center"/>
    </xf>
    <xf numFmtId="43" fontId="9" fillId="36" borderId="3" xfId="7" applyFont="1" applyFill="1" applyBorder="1" applyProtection="1">
      <protection locked="0"/>
    </xf>
    <xf numFmtId="43" fontId="9" fillId="3" borderId="3" xfId="7" applyFont="1" applyFill="1" applyBorder="1" applyProtection="1">
      <protection locked="0"/>
    </xf>
    <xf numFmtId="164" fontId="9" fillId="36" borderId="3" xfId="7" applyNumberFormat="1" applyFont="1" applyFill="1" applyBorder="1" applyProtection="1">
      <protection locked="0"/>
    </xf>
    <xf numFmtId="164" fontId="9" fillId="36" borderId="23" xfId="7" applyNumberFormat="1" applyFont="1" applyFill="1" applyBorder="1" applyProtection="1">
      <protection locked="0"/>
    </xf>
    <xf numFmtId="164" fontId="9" fillId="3" borderId="3" xfId="7" applyNumberFormat="1" applyFont="1" applyFill="1" applyBorder="1" applyProtection="1">
      <protection locked="0"/>
    </xf>
    <xf numFmtId="164" fontId="9" fillId="0" borderId="3" xfId="7" applyNumberFormat="1" applyFont="1" applyFill="1" applyBorder="1" applyProtection="1">
      <protection locked="0"/>
    </xf>
    <xf numFmtId="164" fontId="10" fillId="36" borderId="26" xfId="7" applyNumberFormat="1" applyFont="1" applyFill="1" applyBorder="1" applyAlignment="1" applyProtection="1">
      <protection locked="0"/>
    </xf>
    <xf numFmtId="164" fontId="9" fillId="3" borderId="26" xfId="7" applyNumberFormat="1" applyFont="1" applyFill="1" applyBorder="1" applyProtection="1">
      <protection locked="0"/>
    </xf>
    <xf numFmtId="164" fontId="10" fillId="36" borderId="27" xfId="7" applyNumberFormat="1" applyFont="1" applyFill="1" applyBorder="1" applyAlignment="1" applyProtection="1">
      <protection locked="0"/>
    </xf>
    <xf numFmtId="10" fontId="112" fillId="78" borderId="88" xfId="20961" applyNumberFormat="1" applyFont="1" applyFill="1" applyBorder="1" applyAlignment="1" applyProtection="1">
      <alignment horizontal="right" vertical="center"/>
    </xf>
    <xf numFmtId="164" fontId="4" fillId="0" borderId="23" xfId="7" applyNumberFormat="1" applyFont="1" applyBorder="1" applyAlignment="1"/>
    <xf numFmtId="164" fontId="4" fillId="36" borderId="27" xfId="7" applyNumberFormat="1" applyFont="1" applyFill="1" applyBorder="1"/>
    <xf numFmtId="164" fontId="119" fillId="0" borderId="88" xfId="7" applyNumberFormat="1" applyFont="1" applyBorder="1"/>
    <xf numFmtId="164" fontId="116" fillId="0" borderId="88" xfId="7" applyNumberFormat="1" applyFont="1" applyBorder="1"/>
    <xf numFmtId="164" fontId="116" fillId="0" borderId="88" xfId="7" applyNumberFormat="1" applyFont="1" applyFill="1" applyBorder="1"/>
    <xf numFmtId="164" fontId="116" fillId="0" borderId="88" xfId="7" applyNumberFormat="1" applyFont="1" applyBorder="1" applyAlignment="1">
      <alignment horizontal="left" indent="1"/>
    </xf>
    <xf numFmtId="164" fontId="116" fillId="80" borderId="88" xfId="7" applyNumberFormat="1" applyFont="1" applyFill="1" applyBorder="1"/>
    <xf numFmtId="164" fontId="119" fillId="0" borderId="7" xfId="7" applyNumberFormat="1" applyFont="1" applyBorder="1"/>
    <xf numFmtId="164" fontId="116" fillId="0" borderId="88" xfId="7" applyNumberFormat="1" applyFont="1" applyBorder="1" applyAlignment="1">
      <alignment horizontal="left" indent="2"/>
    </xf>
    <xf numFmtId="164" fontId="116" fillId="0" borderId="88" xfId="7" applyNumberFormat="1" applyFont="1" applyFill="1" applyBorder="1" applyAlignment="1">
      <alignment horizontal="left" indent="3"/>
    </xf>
    <xf numFmtId="164" fontId="116" fillId="0" borderId="88" xfId="7" applyNumberFormat="1" applyFont="1" applyFill="1" applyBorder="1" applyAlignment="1">
      <alignment horizontal="left" indent="1"/>
    </xf>
    <xf numFmtId="164" fontId="116" fillId="81" borderId="88" xfId="7" applyNumberFormat="1" applyFont="1" applyFill="1" applyBorder="1"/>
    <xf numFmtId="164" fontId="116" fillId="0" borderId="88" xfId="7" applyNumberFormat="1" applyFont="1" applyFill="1" applyBorder="1" applyAlignment="1">
      <alignment horizontal="left" vertical="top" wrapText="1" indent="2"/>
    </xf>
    <xf numFmtId="164" fontId="116" fillId="0" borderId="88" xfId="7" applyNumberFormat="1" applyFont="1" applyFill="1" applyBorder="1" applyAlignment="1">
      <alignment horizontal="left" wrapText="1" indent="3"/>
    </xf>
    <xf numFmtId="164" fontId="116" fillId="0" borderId="88" xfId="7" applyNumberFormat="1" applyFont="1" applyFill="1" applyBorder="1" applyAlignment="1">
      <alignment horizontal="left" wrapText="1" indent="2"/>
    </xf>
    <xf numFmtId="164" fontId="116" fillId="0" borderId="88" xfId="7" applyNumberFormat="1" applyFont="1" applyFill="1" applyBorder="1" applyAlignment="1">
      <alignment horizontal="left" wrapText="1" indent="1"/>
    </xf>
    <xf numFmtId="49" fontId="116" fillId="0" borderId="88" xfId="0" applyNumberFormat="1" applyFont="1" applyBorder="1" applyAlignment="1">
      <alignment horizontal="center" vertical="center" wrapText="1"/>
    </xf>
    <xf numFmtId="0" fontId="116" fillId="0" borderId="7" xfId="0" applyFont="1" applyBorder="1" applyAlignment="1">
      <alignment wrapText="1"/>
    </xf>
    <xf numFmtId="0" fontId="122" fillId="0" borderId="88" xfId="13" applyFont="1" applyBorder="1" applyAlignment="1" applyProtection="1">
      <alignment horizontal="left" vertical="center" wrapText="1"/>
      <protection locked="0"/>
    </xf>
    <xf numFmtId="0" fontId="116" fillId="0" borderId="0" xfId="0" applyFont="1" applyAlignment="1">
      <alignment horizontal="left" vertical="top" wrapText="1"/>
    </xf>
    <xf numFmtId="164" fontId="115" fillId="0" borderId="88" xfId="7" applyNumberFormat="1" applyFont="1" applyFill="1" applyBorder="1" applyAlignment="1">
      <alignment horizontal="left" vertical="center" wrapText="1"/>
    </xf>
    <xf numFmtId="164" fontId="116" fillId="0" borderId="88" xfId="7" applyNumberFormat="1" applyFont="1" applyBorder="1" applyAlignment="1">
      <alignment horizontal="center" vertical="center" wrapText="1"/>
    </xf>
    <xf numFmtId="164" fontId="116" fillId="0" borderId="88" xfId="7" applyNumberFormat="1" applyFont="1" applyBorder="1" applyAlignment="1">
      <alignment horizontal="center" vertical="center"/>
    </xf>
    <xf numFmtId="164" fontId="118" fillId="0" borderId="88" xfId="7" applyNumberFormat="1" applyFont="1" applyFill="1" applyBorder="1" applyAlignment="1">
      <alignment horizontal="left" vertical="center" wrapText="1"/>
    </xf>
    <xf numFmtId="0" fontId="0" fillId="0" borderId="7" xfId="0" applyBorder="1"/>
    <xf numFmtId="0" fontId="124" fillId="0" borderId="88" xfId="0" applyFont="1" applyBorder="1" applyAlignment="1">
      <alignment horizontal="left" indent="2"/>
    </xf>
    <xf numFmtId="0" fontId="126" fillId="0" borderId="123" xfId="0" applyFont="1" applyBorder="1" applyAlignment="1">
      <alignment vertical="center" wrapText="1" readingOrder="1"/>
    </xf>
    <xf numFmtId="0" fontId="126" fillId="0" borderId="124" xfId="0" applyFont="1" applyBorder="1" applyAlignment="1">
      <alignment vertical="center" wrapText="1" readingOrder="1"/>
    </xf>
    <xf numFmtId="0" fontId="126" fillId="0" borderId="124" xfId="0" applyFont="1" applyBorder="1" applyAlignment="1">
      <alignment horizontal="left" vertical="center" wrapText="1" indent="1" readingOrder="1"/>
    </xf>
    <xf numFmtId="0" fontId="124" fillId="0" borderId="83" xfId="0" applyFont="1" applyBorder="1" applyAlignment="1">
      <alignment horizontal="left" indent="2"/>
    </xf>
    <xf numFmtId="0" fontId="126" fillId="0" borderId="125" xfId="0" applyFont="1" applyBorder="1" applyAlignment="1">
      <alignment vertical="center" wrapText="1" readingOrder="1"/>
    </xf>
    <xf numFmtId="0" fontId="127" fillId="0" borderId="88" xfId="0" applyFont="1" applyBorder="1" applyAlignment="1">
      <alignment vertical="center" wrapText="1" readingOrder="1"/>
    </xf>
    <xf numFmtId="0" fontId="124" fillId="0" borderId="88" xfId="0" applyFont="1" applyBorder="1" applyAlignment="1">
      <alignment horizontal="left" indent="3"/>
    </xf>
    <xf numFmtId="164" fontId="124" fillId="0" borderId="88" xfId="7" applyNumberFormat="1" applyFont="1" applyBorder="1"/>
    <xf numFmtId="164" fontId="128" fillId="0" borderId="88" xfId="7" applyNumberFormat="1" applyFont="1" applyBorder="1"/>
    <xf numFmtId="165" fontId="124" fillId="0" borderId="88" xfId="20961" applyNumberFormat="1" applyFont="1" applyBorder="1"/>
    <xf numFmtId="165" fontId="128" fillId="0" borderId="88" xfId="20961" applyNumberFormat="1" applyFont="1" applyBorder="1"/>
    <xf numFmtId="43" fontId="116" fillId="0" borderId="0" xfId="0" applyNumberFormat="1" applyFont="1"/>
    <xf numFmtId="164" fontId="116" fillId="0" borderId="126" xfId="7" applyNumberFormat="1" applyFont="1" applyBorder="1"/>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xf>
    <xf numFmtId="0" fontId="4" fillId="0" borderId="24" xfId="0" applyFont="1" applyBorder="1" applyAlignment="1">
      <alignment horizontal="center"/>
    </xf>
    <xf numFmtId="0" fontId="6" fillId="36" borderId="10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4" xfId="0" applyFont="1" applyFill="1" applyBorder="1" applyAlignment="1">
      <alignment horizontal="center" vertical="center" wrapText="1"/>
    </xf>
    <xf numFmtId="0" fontId="6" fillId="36" borderId="8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9" xfId="1" applyNumberFormat="1" applyFont="1" applyFill="1" applyBorder="1" applyAlignment="1" applyProtection="1">
      <alignment horizontal="center" vertical="center" wrapText="1"/>
      <protection locked="0"/>
    </xf>
    <xf numFmtId="164" fontId="15" fillId="0" borderId="80" xfId="1" applyNumberFormat="1" applyFont="1" applyFill="1" applyBorder="1" applyAlignment="1" applyProtection="1">
      <alignment horizontal="center" vertical="center" wrapText="1"/>
      <protection locked="0"/>
    </xf>
    <xf numFmtId="0" fontId="4" fillId="0" borderId="76"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95" xfId="0" applyFont="1" applyBorder="1" applyAlignment="1">
      <alignment horizontal="center" vertical="center" wrapText="1"/>
    </xf>
    <xf numFmtId="0" fontId="14" fillId="0" borderId="60" xfId="0" applyFont="1" applyBorder="1" applyAlignment="1">
      <alignment horizontal="left" vertical="center"/>
    </xf>
    <xf numFmtId="0" fontId="14" fillId="0" borderId="61"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3" xfId="0" applyFont="1" applyBorder="1" applyAlignment="1">
      <alignment horizontal="center" vertical="center" wrapText="1"/>
    </xf>
    <xf numFmtId="0" fontId="118" fillId="0" borderId="110" xfId="0" applyFont="1" applyBorder="1" applyAlignment="1">
      <alignment horizontal="left" vertical="center" wrapText="1"/>
    </xf>
    <xf numFmtId="0" fontId="118" fillId="0" borderId="111" xfId="0" applyFont="1" applyBorder="1" applyAlignment="1">
      <alignment horizontal="left" vertical="center" wrapText="1"/>
    </xf>
    <xf numFmtId="0" fontId="118" fillId="0" borderId="113" xfId="0" applyFont="1" applyBorder="1" applyAlignment="1">
      <alignment horizontal="left" vertical="center" wrapText="1"/>
    </xf>
    <xf numFmtId="0" fontId="118" fillId="0" borderId="114" xfId="0" applyFont="1" applyBorder="1" applyAlignment="1">
      <alignment horizontal="left" vertical="center" wrapText="1"/>
    </xf>
    <xf numFmtId="0" fontId="118" fillId="0" borderId="116" xfId="0" applyFont="1" applyBorder="1" applyAlignment="1">
      <alignment horizontal="left" vertical="center" wrapText="1"/>
    </xf>
    <xf numFmtId="0" fontId="118" fillId="0" borderId="117" xfId="0" applyFont="1" applyBorder="1" applyAlignment="1">
      <alignment horizontal="left" vertical="center" wrapText="1"/>
    </xf>
    <xf numFmtId="0" fontId="119" fillId="0" borderId="84" xfId="0" applyFont="1" applyBorder="1" applyAlignment="1">
      <alignment horizontal="center" vertical="center" wrapText="1"/>
    </xf>
    <xf numFmtId="0" fontId="119" fillId="0" borderId="102" xfId="0" applyFont="1" applyBorder="1" applyAlignment="1">
      <alignment horizontal="center" vertical="center" wrapText="1"/>
    </xf>
    <xf numFmtId="0" fontId="119" fillId="0" borderId="112" xfId="0" applyFont="1" applyBorder="1" applyAlignment="1">
      <alignment horizontal="center" vertical="center" wrapText="1"/>
    </xf>
    <xf numFmtId="0" fontId="119" fillId="0" borderId="59" xfId="0" applyFont="1" applyBorder="1" applyAlignment="1">
      <alignment horizontal="center" vertical="center" wrapText="1"/>
    </xf>
    <xf numFmtId="0" fontId="119" fillId="0" borderId="115"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83"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8" xfId="0" applyFont="1" applyBorder="1" applyAlignment="1">
      <alignment horizontal="center" vertical="center" wrapText="1"/>
    </xf>
    <xf numFmtId="0" fontId="123" fillId="0" borderId="88" xfId="0" applyFont="1" applyBorder="1" applyAlignment="1">
      <alignment horizontal="center" vertical="center"/>
    </xf>
    <xf numFmtId="0" fontId="123" fillId="0" borderId="84" xfId="0" applyFont="1" applyBorder="1" applyAlignment="1">
      <alignment horizontal="center" vertical="center"/>
    </xf>
    <xf numFmtId="0" fontId="123" fillId="0" borderId="112" xfId="0" applyFont="1" applyBorder="1" applyAlignment="1">
      <alignment horizontal="center" vertical="center"/>
    </xf>
    <xf numFmtId="0" fontId="123" fillId="0" borderId="59" xfId="0" applyFont="1" applyBorder="1" applyAlignment="1">
      <alignment horizontal="center" vertical="center"/>
    </xf>
    <xf numFmtId="0" fontId="123" fillId="0" borderId="11" xfId="0" applyFont="1" applyBorder="1" applyAlignment="1">
      <alignment horizontal="center" vertical="center"/>
    </xf>
    <xf numFmtId="0" fontId="119" fillId="0" borderId="88" xfId="0" applyFont="1" applyBorder="1" applyAlignment="1">
      <alignment horizontal="center" vertical="center" wrapText="1"/>
    </xf>
    <xf numFmtId="0" fontId="119" fillId="0" borderId="118" xfId="0" applyFont="1" applyBorder="1" applyAlignment="1">
      <alignment horizontal="center" vertical="center" wrapText="1"/>
    </xf>
    <xf numFmtId="0" fontId="119" fillId="0" borderId="119" xfId="0" applyFont="1" applyBorder="1" applyAlignment="1">
      <alignment horizontal="center" vertical="center" wrapText="1"/>
    </xf>
    <xf numFmtId="0" fontId="116" fillId="0" borderId="89" xfId="0" applyFont="1" applyBorder="1" applyAlignment="1">
      <alignment horizontal="center" vertical="center" wrapText="1"/>
    </xf>
    <xf numFmtId="0" fontId="116" fillId="0" borderId="86" xfId="0" applyFont="1" applyBorder="1" applyAlignment="1">
      <alignment horizontal="center" vertical="center" wrapText="1"/>
    </xf>
    <xf numFmtId="0" fontId="116" fillId="0" borderId="87" xfId="0" applyFont="1" applyBorder="1" applyAlignment="1">
      <alignment horizontal="center" vertical="center" wrapText="1"/>
    </xf>
    <xf numFmtId="0" fontId="119" fillId="0" borderId="120"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0" xfId="0" applyFont="1" applyBorder="1" applyAlignment="1">
      <alignment horizontal="center" vertical="center" wrapText="1"/>
    </xf>
    <xf numFmtId="0" fontId="116" fillId="0" borderId="118" xfId="0" applyFont="1" applyBorder="1" applyAlignment="1">
      <alignment horizontal="center" vertical="center" wrapText="1"/>
    </xf>
    <xf numFmtId="0" fontId="116" fillId="0" borderId="0" xfId="0" applyFont="1" applyAlignment="1">
      <alignment horizontal="center" vertical="center" wrapText="1"/>
    </xf>
    <xf numFmtId="0" fontId="116" fillId="0" borderId="119" xfId="0" applyFont="1" applyBorder="1" applyAlignment="1">
      <alignment horizontal="center" vertical="center" wrapText="1"/>
    </xf>
    <xf numFmtId="0" fontId="116" fillId="0" borderId="11" xfId="0" applyFont="1" applyBorder="1" applyAlignment="1">
      <alignment horizontal="center" vertical="center" wrapText="1"/>
    </xf>
    <xf numFmtId="0" fontId="118" fillId="0" borderId="84" xfId="0" applyFont="1" applyBorder="1" applyAlignment="1">
      <alignment horizontal="left" vertical="top" wrapText="1"/>
    </xf>
    <xf numFmtId="0" fontId="118" fillId="0" borderId="112" xfId="0" applyFont="1" applyBorder="1" applyAlignment="1">
      <alignment horizontal="left" vertical="top" wrapText="1"/>
    </xf>
    <xf numFmtId="0" fontId="118" fillId="0" borderId="118" xfId="0" applyFont="1" applyBorder="1" applyAlignment="1">
      <alignment horizontal="left" vertical="top" wrapText="1"/>
    </xf>
    <xf numFmtId="0" fontId="118" fillId="0" borderId="119" xfId="0" applyFont="1" applyBorder="1" applyAlignment="1">
      <alignment horizontal="left" vertical="top" wrapText="1"/>
    </xf>
    <xf numFmtId="0" fontId="118" fillId="0" borderId="59" xfId="0" applyFont="1" applyBorder="1" applyAlignment="1">
      <alignment horizontal="left" vertical="top" wrapText="1"/>
    </xf>
    <xf numFmtId="0" fontId="118" fillId="0" borderId="11" xfId="0" applyFont="1" applyBorder="1" applyAlignment="1">
      <alignment horizontal="left" vertical="top" wrapText="1"/>
    </xf>
    <xf numFmtId="0" fontId="116" fillId="0" borderId="84" xfId="0" applyFont="1" applyBorder="1" applyAlignment="1">
      <alignment horizontal="center" vertical="center"/>
    </xf>
    <xf numFmtId="0" fontId="116" fillId="0" borderId="102" xfId="0" applyFont="1" applyBorder="1" applyAlignment="1">
      <alignment horizontal="center" vertical="center"/>
    </xf>
    <xf numFmtId="0" fontId="116" fillId="0" borderId="112" xfId="0" applyFont="1" applyBorder="1" applyAlignment="1">
      <alignment horizontal="center" vertical="center"/>
    </xf>
    <xf numFmtId="0" fontId="116" fillId="0" borderId="84" xfId="0" applyFont="1" applyBorder="1" applyAlignment="1">
      <alignment horizontal="center" vertical="center" wrapText="1"/>
    </xf>
    <xf numFmtId="0" fontId="116" fillId="0" borderId="102" xfId="0" applyFont="1" applyBorder="1" applyAlignment="1">
      <alignment horizontal="center" vertical="center" wrapText="1"/>
    </xf>
    <xf numFmtId="0" fontId="116" fillId="0" borderId="112" xfId="0" applyFont="1" applyBorder="1" applyAlignment="1">
      <alignment horizontal="center" vertical="center" wrapText="1"/>
    </xf>
    <xf numFmtId="0" fontId="116" fillId="0" borderId="84" xfId="0" applyFont="1" applyBorder="1" applyAlignment="1">
      <alignment horizontal="center" vertical="top" wrapText="1"/>
    </xf>
    <xf numFmtId="0" fontId="116" fillId="0" borderId="102" xfId="0" applyFont="1" applyBorder="1" applyAlignment="1">
      <alignment horizontal="center" vertical="top" wrapText="1"/>
    </xf>
    <xf numFmtId="0" fontId="116" fillId="0" borderId="112" xfId="0" applyFont="1" applyBorder="1" applyAlignment="1">
      <alignment horizontal="center" vertical="top" wrapText="1"/>
    </xf>
    <xf numFmtId="0" fontId="116" fillId="0" borderId="86" xfId="0" applyFont="1" applyBorder="1" applyAlignment="1">
      <alignment horizontal="center" vertical="top" wrapText="1"/>
    </xf>
    <xf numFmtId="0" fontId="116" fillId="0" borderId="87" xfId="0" applyFont="1" applyBorder="1" applyAlignment="1">
      <alignment horizontal="center" vertical="top" wrapText="1"/>
    </xf>
    <xf numFmtId="0" fontId="116" fillId="0" borderId="83" xfId="0" applyFont="1" applyBorder="1" applyAlignment="1">
      <alignment horizontal="center" vertical="top" wrapText="1"/>
    </xf>
    <xf numFmtId="0" fontId="116" fillId="0" borderId="7" xfId="0" applyFont="1" applyBorder="1" applyAlignment="1">
      <alignment horizontal="center" vertical="top" wrapText="1"/>
    </xf>
    <xf numFmtId="0" fontId="118" fillId="0" borderId="121" xfId="0" applyFont="1" applyBorder="1" applyAlignment="1">
      <alignment horizontal="left" vertical="top" wrapText="1"/>
    </xf>
    <xf numFmtId="0" fontId="118" fillId="0" borderId="122" xfId="0" applyFont="1" applyBorder="1" applyAlignment="1">
      <alignment horizontal="left" vertical="top" wrapText="1"/>
    </xf>
    <xf numFmtId="0" fontId="124" fillId="0" borderId="88" xfId="0" applyFont="1" applyBorder="1" applyAlignment="1">
      <alignment horizontal="center" vertical="center" wrapText="1"/>
    </xf>
    <xf numFmtId="0" fontId="125" fillId="0" borderId="88" xfId="0" applyFont="1" applyBorder="1" applyAlignment="1">
      <alignment horizontal="center" vertical="center"/>
    </xf>
    <xf numFmtId="0" fontId="124" fillId="0" borderId="83" xfId="0" applyFont="1" applyBorder="1" applyAlignment="1">
      <alignment horizontal="center" vertical="center"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4"/>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71" t="s">
        <v>254</v>
      </c>
      <c r="C1" s="84"/>
    </row>
    <row r="2" spans="1:3" s="168" customFormat="1" ht="15.75">
      <c r="A2" s="212">
        <v>1</v>
      </c>
      <c r="B2" s="169" t="s">
        <v>255</v>
      </c>
      <c r="C2" s="167" t="s">
        <v>739</v>
      </c>
    </row>
    <row r="3" spans="1:3" s="168" customFormat="1" ht="15.75">
      <c r="A3" s="212">
        <v>2</v>
      </c>
      <c r="B3" s="170" t="s">
        <v>256</v>
      </c>
      <c r="C3" s="167" t="s">
        <v>740</v>
      </c>
    </row>
    <row r="4" spans="1:3" s="168" customFormat="1" ht="15.75">
      <c r="A4" s="212">
        <v>3</v>
      </c>
      <c r="B4" s="170" t="s">
        <v>257</v>
      </c>
      <c r="C4" s="167" t="s">
        <v>741</v>
      </c>
    </row>
    <row r="5" spans="1:3" s="168" customFormat="1" ht="15.75">
      <c r="A5" s="213">
        <v>4</v>
      </c>
      <c r="B5" s="173" t="s">
        <v>258</v>
      </c>
      <c r="C5" s="360" t="s">
        <v>742</v>
      </c>
    </row>
    <row r="6" spans="1:3" s="172" customFormat="1" ht="65.25" customHeight="1">
      <c r="A6" s="623" t="s">
        <v>373</v>
      </c>
      <c r="B6" s="624"/>
      <c r="C6" s="624"/>
    </row>
    <row r="7" spans="1:3">
      <c r="A7" s="354" t="s">
        <v>327</v>
      </c>
      <c r="B7" s="355" t="s">
        <v>259</v>
      </c>
    </row>
    <row r="8" spans="1:3">
      <c r="A8" s="356">
        <v>1</v>
      </c>
      <c r="B8" s="352" t="s">
        <v>223</v>
      </c>
    </row>
    <row r="9" spans="1:3">
      <c r="A9" s="356">
        <v>2</v>
      </c>
      <c r="B9" s="352" t="s">
        <v>260</v>
      </c>
    </row>
    <row r="10" spans="1:3">
      <c r="A10" s="356">
        <v>3</v>
      </c>
      <c r="B10" s="352" t="s">
        <v>261</v>
      </c>
    </row>
    <row r="11" spans="1:3">
      <c r="A11" s="356">
        <v>4</v>
      </c>
      <c r="B11" s="352" t="s">
        <v>262</v>
      </c>
    </row>
    <row r="12" spans="1:3">
      <c r="A12" s="356">
        <v>5</v>
      </c>
      <c r="B12" s="352" t="s">
        <v>187</v>
      </c>
    </row>
    <row r="13" spans="1:3">
      <c r="A13" s="356">
        <v>6</v>
      </c>
      <c r="B13" s="357" t="s">
        <v>149</v>
      </c>
    </row>
    <row r="14" spans="1:3">
      <c r="A14" s="356">
        <v>7</v>
      </c>
      <c r="B14" s="352" t="s">
        <v>263</v>
      </c>
    </row>
    <row r="15" spans="1:3">
      <c r="A15" s="356">
        <v>8</v>
      </c>
      <c r="B15" s="352" t="s">
        <v>266</v>
      </c>
    </row>
    <row r="16" spans="1:3">
      <c r="A16" s="356">
        <v>9</v>
      </c>
      <c r="B16" s="352" t="s">
        <v>88</v>
      </c>
    </row>
    <row r="17" spans="1:2">
      <c r="A17" s="358" t="s">
        <v>420</v>
      </c>
      <c r="B17" s="352" t="s">
        <v>400</v>
      </c>
    </row>
    <row r="18" spans="1:2">
      <c r="A18" s="356">
        <v>10</v>
      </c>
      <c r="B18" s="352" t="s">
        <v>269</v>
      </c>
    </row>
    <row r="19" spans="1:2">
      <c r="A19" s="356">
        <v>11</v>
      </c>
      <c r="B19" s="357" t="s">
        <v>250</v>
      </c>
    </row>
    <row r="20" spans="1:2">
      <c r="A20" s="356">
        <v>12</v>
      </c>
      <c r="B20" s="357" t="s">
        <v>247</v>
      </c>
    </row>
    <row r="21" spans="1:2">
      <c r="A21" s="356">
        <v>13</v>
      </c>
      <c r="B21" s="359" t="s">
        <v>363</v>
      </c>
    </row>
    <row r="22" spans="1:2">
      <c r="A22" s="356">
        <v>14</v>
      </c>
      <c r="B22" s="360" t="s">
        <v>394</v>
      </c>
    </row>
    <row r="23" spans="1:2">
      <c r="A23" s="356">
        <v>15</v>
      </c>
      <c r="B23" s="357" t="s">
        <v>77</v>
      </c>
    </row>
    <row r="24" spans="1:2">
      <c r="A24" s="356">
        <v>15.1</v>
      </c>
      <c r="B24" s="352" t="s">
        <v>429</v>
      </c>
    </row>
    <row r="25" spans="1:2">
      <c r="A25" s="356">
        <v>16</v>
      </c>
      <c r="B25" s="352" t="s">
        <v>497</v>
      </c>
    </row>
    <row r="26" spans="1:2">
      <c r="A26" s="356">
        <v>17</v>
      </c>
      <c r="B26" s="352" t="s">
        <v>706</v>
      </c>
    </row>
    <row r="27" spans="1:2">
      <c r="A27" s="356">
        <v>18</v>
      </c>
      <c r="B27" s="352" t="s">
        <v>707</v>
      </c>
    </row>
    <row r="28" spans="1:2">
      <c r="A28" s="356">
        <v>19</v>
      </c>
      <c r="B28" s="352" t="s">
        <v>708</v>
      </c>
    </row>
    <row r="29" spans="1:2">
      <c r="A29" s="356">
        <v>20</v>
      </c>
      <c r="B29" s="360" t="s">
        <v>592</v>
      </c>
    </row>
    <row r="30" spans="1:2">
      <c r="A30" s="356">
        <v>21</v>
      </c>
      <c r="B30" s="352" t="s">
        <v>610</v>
      </c>
    </row>
    <row r="31" spans="1:2">
      <c r="A31" s="356">
        <v>22</v>
      </c>
      <c r="B31" s="531" t="s">
        <v>627</v>
      </c>
    </row>
    <row r="32" spans="1:2" ht="26.25">
      <c r="A32" s="356">
        <v>23</v>
      </c>
      <c r="B32" s="531" t="s">
        <v>709</v>
      </c>
    </row>
    <row r="33" spans="1:2">
      <c r="A33" s="356">
        <v>24</v>
      </c>
      <c r="B33" s="352" t="s">
        <v>710</v>
      </c>
    </row>
    <row r="34" spans="1:2">
      <c r="A34" s="356">
        <v>25</v>
      </c>
      <c r="B34" s="352" t="s">
        <v>711</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32" activePane="bottomRight" state="frozen"/>
      <selection pane="topRight" activeCell="B1" sqref="B1"/>
      <selection pane="bottomLeft" activeCell="A5" sqref="A5"/>
      <selection pane="bottomRight" activeCell="C6" sqref="C6:C52"/>
    </sheetView>
  </sheetViews>
  <sheetFormatPr defaultRowHeight="15"/>
  <cols>
    <col min="1" max="1" width="9.5703125" style="1" bestFit="1" customWidth="1"/>
    <col min="2" max="2" width="132.42578125" style="1" customWidth="1"/>
    <col min="3" max="3" width="18.42578125" style="1" customWidth="1"/>
  </cols>
  <sheetData>
    <row r="1" spans="1:6" ht="15.75">
      <c r="A1" s="14" t="s">
        <v>188</v>
      </c>
      <c r="B1" s="13" t="str">
        <f>Info!C2</f>
        <v>ს.ს. "ტერაბანკი"</v>
      </c>
      <c r="D1" s="1"/>
      <c r="E1" s="1"/>
      <c r="F1" s="1"/>
    </row>
    <row r="2" spans="1:6" s="14" customFormat="1" ht="15.75" customHeight="1">
      <c r="A2" s="14" t="s">
        <v>189</v>
      </c>
      <c r="B2" s="436">
        <f>'1. key ratios'!B2</f>
        <v>44651</v>
      </c>
    </row>
    <row r="3" spans="1:6" s="14" customFormat="1" ht="15.75" customHeight="1"/>
    <row r="4" spans="1:6" ht="15.75" thickBot="1">
      <c r="A4" s="1" t="s">
        <v>336</v>
      </c>
      <c r="B4" s="52" t="s">
        <v>88</v>
      </c>
    </row>
    <row r="5" spans="1:6">
      <c r="A5" s="123" t="s">
        <v>26</v>
      </c>
      <c r="B5" s="124"/>
      <c r="C5" s="125" t="s">
        <v>27</v>
      </c>
    </row>
    <row r="6" spans="1:6">
      <c r="A6" s="126">
        <v>1</v>
      </c>
      <c r="B6" s="73" t="s">
        <v>28</v>
      </c>
      <c r="C6" s="250">
        <f>SUM(C7:C11)</f>
        <v>163444269.93000007</v>
      </c>
    </row>
    <row r="7" spans="1:6">
      <c r="A7" s="126">
        <v>2</v>
      </c>
      <c r="B7" s="70" t="s">
        <v>29</v>
      </c>
      <c r="C7" s="251">
        <v>121372000.00000001</v>
      </c>
    </row>
    <row r="8" spans="1:6">
      <c r="A8" s="126">
        <v>3</v>
      </c>
      <c r="B8" s="65" t="s">
        <v>30</v>
      </c>
      <c r="C8" s="251">
        <v>0</v>
      </c>
    </row>
    <row r="9" spans="1:6">
      <c r="A9" s="126">
        <v>4</v>
      </c>
      <c r="B9" s="65" t="s">
        <v>31</v>
      </c>
      <c r="C9" s="251">
        <v>0</v>
      </c>
    </row>
    <row r="10" spans="1:6">
      <c r="A10" s="126">
        <v>5</v>
      </c>
      <c r="B10" s="65" t="s">
        <v>32</v>
      </c>
      <c r="C10" s="251">
        <v>0</v>
      </c>
    </row>
    <row r="11" spans="1:6">
      <c r="A11" s="126">
        <v>6</v>
      </c>
      <c r="B11" s="71" t="s">
        <v>33</v>
      </c>
      <c r="C11" s="251">
        <v>42072269.930000044</v>
      </c>
    </row>
    <row r="12" spans="1:6" s="2" customFormat="1">
      <c r="A12" s="126">
        <v>7</v>
      </c>
      <c r="B12" s="73" t="s">
        <v>34</v>
      </c>
      <c r="C12" s="252">
        <f>SUM(C13:C27)</f>
        <v>23083279</v>
      </c>
    </row>
    <row r="13" spans="1:6" s="2" customFormat="1">
      <c r="A13" s="126">
        <v>8</v>
      </c>
      <c r="B13" s="72" t="s">
        <v>35</v>
      </c>
      <c r="C13" s="253">
        <v>0</v>
      </c>
    </row>
    <row r="14" spans="1:6" s="2" customFormat="1" ht="25.5">
      <c r="A14" s="126">
        <v>9</v>
      </c>
      <c r="B14" s="66" t="s">
        <v>36</v>
      </c>
      <c r="C14" s="253">
        <v>0</v>
      </c>
    </row>
    <row r="15" spans="1:6" s="2" customFormat="1">
      <c r="A15" s="126">
        <v>10</v>
      </c>
      <c r="B15" s="67" t="s">
        <v>37</v>
      </c>
      <c r="C15" s="253">
        <v>23083279</v>
      </c>
    </row>
    <row r="16" spans="1:6" s="2" customFormat="1">
      <c r="A16" s="126">
        <v>11</v>
      </c>
      <c r="B16" s="68" t="s">
        <v>38</v>
      </c>
      <c r="C16" s="253">
        <v>0</v>
      </c>
    </row>
    <row r="17" spans="1:3" s="2" customFormat="1">
      <c r="A17" s="126">
        <v>12</v>
      </c>
      <c r="B17" s="67" t="s">
        <v>39</v>
      </c>
      <c r="C17" s="253">
        <v>0</v>
      </c>
    </row>
    <row r="18" spans="1:3" s="2" customFormat="1">
      <c r="A18" s="126">
        <v>13</v>
      </c>
      <c r="B18" s="67" t="s">
        <v>40</v>
      </c>
      <c r="C18" s="253">
        <v>0</v>
      </c>
    </row>
    <row r="19" spans="1:3" s="2" customFormat="1">
      <c r="A19" s="126">
        <v>14</v>
      </c>
      <c r="B19" s="67" t="s">
        <v>41</v>
      </c>
      <c r="C19" s="253">
        <v>0</v>
      </c>
    </row>
    <row r="20" spans="1:3" s="2" customFormat="1" ht="25.5">
      <c r="A20" s="126">
        <v>15</v>
      </c>
      <c r="B20" s="67" t="s">
        <v>42</v>
      </c>
      <c r="C20" s="253">
        <v>0</v>
      </c>
    </row>
    <row r="21" spans="1:3" s="2" customFormat="1" ht="25.5">
      <c r="A21" s="126">
        <v>16</v>
      </c>
      <c r="B21" s="66" t="s">
        <v>43</v>
      </c>
      <c r="C21" s="253">
        <v>0</v>
      </c>
    </row>
    <row r="22" spans="1:3" s="2" customFormat="1">
      <c r="A22" s="126">
        <v>17</v>
      </c>
      <c r="B22" s="127" t="s">
        <v>44</v>
      </c>
      <c r="C22" s="253">
        <v>0</v>
      </c>
    </row>
    <row r="23" spans="1:3" s="2" customFormat="1" ht="25.5">
      <c r="A23" s="126">
        <v>18</v>
      </c>
      <c r="B23" s="66" t="s">
        <v>45</v>
      </c>
      <c r="C23" s="253">
        <v>0</v>
      </c>
    </row>
    <row r="24" spans="1:3" s="2" customFormat="1" ht="25.5">
      <c r="A24" s="126">
        <v>19</v>
      </c>
      <c r="B24" s="66" t="s">
        <v>46</v>
      </c>
      <c r="C24" s="253">
        <v>0</v>
      </c>
    </row>
    <row r="25" spans="1:3" s="2" customFormat="1" ht="25.5">
      <c r="A25" s="126">
        <v>20</v>
      </c>
      <c r="B25" s="68" t="s">
        <v>47</v>
      </c>
      <c r="C25" s="253">
        <v>0</v>
      </c>
    </row>
    <row r="26" spans="1:3" s="2" customFormat="1">
      <c r="A26" s="126">
        <v>21</v>
      </c>
      <c r="B26" s="68" t="s">
        <v>48</v>
      </c>
      <c r="C26" s="253">
        <v>0</v>
      </c>
    </row>
    <row r="27" spans="1:3" s="2" customFormat="1" ht="25.5">
      <c r="A27" s="126">
        <v>22</v>
      </c>
      <c r="B27" s="68" t="s">
        <v>49</v>
      </c>
      <c r="C27" s="253">
        <v>0</v>
      </c>
    </row>
    <row r="28" spans="1:3" s="2" customFormat="1">
      <c r="A28" s="126">
        <v>23</v>
      </c>
      <c r="B28" s="74" t="s">
        <v>23</v>
      </c>
      <c r="C28" s="252">
        <f>C6-C12</f>
        <v>140360990.93000007</v>
      </c>
    </row>
    <row r="29" spans="1:3" s="2" customFormat="1">
      <c r="A29" s="128"/>
      <c r="B29" s="69"/>
      <c r="C29" s="253"/>
    </row>
    <row r="30" spans="1:3" s="2" customFormat="1">
      <c r="A30" s="128">
        <v>24</v>
      </c>
      <c r="B30" s="74" t="s">
        <v>50</v>
      </c>
      <c r="C30" s="252">
        <f>C31+C34</f>
        <v>0</v>
      </c>
    </row>
    <row r="31" spans="1:3" s="2" customFormat="1">
      <c r="A31" s="128">
        <v>25</v>
      </c>
      <c r="B31" s="65" t="s">
        <v>51</v>
      </c>
      <c r="C31" s="254">
        <f>C32+C33</f>
        <v>0</v>
      </c>
    </row>
    <row r="32" spans="1:3" s="2" customFormat="1">
      <c r="A32" s="128">
        <v>26</v>
      </c>
      <c r="B32" s="165" t="s">
        <v>52</v>
      </c>
      <c r="C32" s="253">
        <v>0</v>
      </c>
    </row>
    <row r="33" spans="1:3" s="2" customFormat="1">
      <c r="A33" s="128">
        <v>27</v>
      </c>
      <c r="B33" s="165" t="s">
        <v>53</v>
      </c>
      <c r="C33" s="253">
        <v>0</v>
      </c>
    </row>
    <row r="34" spans="1:3" s="2" customFormat="1">
      <c r="A34" s="128">
        <v>28</v>
      </c>
      <c r="B34" s="65" t="s">
        <v>54</v>
      </c>
      <c r="C34" s="253">
        <v>0</v>
      </c>
    </row>
    <row r="35" spans="1:3" s="2" customFormat="1">
      <c r="A35" s="128">
        <v>29</v>
      </c>
      <c r="B35" s="74" t="s">
        <v>55</v>
      </c>
      <c r="C35" s="252">
        <f>SUM(C36:C40)</f>
        <v>0</v>
      </c>
    </row>
    <row r="36" spans="1:3" s="2" customFormat="1">
      <c r="A36" s="128">
        <v>30</v>
      </c>
      <c r="B36" s="66" t="s">
        <v>56</v>
      </c>
      <c r="C36" s="253">
        <v>0</v>
      </c>
    </row>
    <row r="37" spans="1:3" s="2" customFormat="1">
      <c r="A37" s="128">
        <v>31</v>
      </c>
      <c r="B37" s="67" t="s">
        <v>57</v>
      </c>
      <c r="C37" s="253">
        <v>0</v>
      </c>
    </row>
    <row r="38" spans="1:3" s="2" customFormat="1" ht="25.5">
      <c r="A38" s="128">
        <v>32</v>
      </c>
      <c r="B38" s="66" t="s">
        <v>58</v>
      </c>
      <c r="C38" s="253">
        <v>0</v>
      </c>
    </row>
    <row r="39" spans="1:3" s="2" customFormat="1" ht="25.5">
      <c r="A39" s="128">
        <v>33</v>
      </c>
      <c r="B39" s="66" t="s">
        <v>46</v>
      </c>
      <c r="C39" s="253">
        <v>0</v>
      </c>
    </row>
    <row r="40" spans="1:3" s="2" customFormat="1" ht="25.5">
      <c r="A40" s="128">
        <v>34</v>
      </c>
      <c r="B40" s="68" t="s">
        <v>59</v>
      </c>
      <c r="C40" s="253">
        <v>0</v>
      </c>
    </row>
    <row r="41" spans="1:3" s="2" customFormat="1">
      <c r="A41" s="128">
        <v>35</v>
      </c>
      <c r="B41" s="74" t="s">
        <v>24</v>
      </c>
      <c r="C41" s="252">
        <f>C30-C35</f>
        <v>0</v>
      </c>
    </row>
    <row r="42" spans="1:3" s="2" customFormat="1">
      <c r="A42" s="128"/>
      <c r="B42" s="69"/>
      <c r="C42" s="253"/>
    </row>
    <row r="43" spans="1:3" s="2" customFormat="1">
      <c r="A43" s="128">
        <v>36</v>
      </c>
      <c r="B43" s="75" t="s">
        <v>60</v>
      </c>
      <c r="C43" s="252">
        <f>SUM(C44:C46)</f>
        <v>61126628.603272051</v>
      </c>
    </row>
    <row r="44" spans="1:3" s="2" customFormat="1">
      <c r="A44" s="128">
        <v>37</v>
      </c>
      <c r="B44" s="65" t="s">
        <v>61</v>
      </c>
      <c r="C44" s="253">
        <v>48221373.770000003</v>
      </c>
    </row>
    <row r="45" spans="1:3" s="2" customFormat="1">
      <c r="A45" s="128">
        <v>38</v>
      </c>
      <c r="B45" s="65" t="s">
        <v>62</v>
      </c>
      <c r="C45" s="253">
        <v>0</v>
      </c>
    </row>
    <row r="46" spans="1:3" s="2" customFormat="1">
      <c r="A46" s="128">
        <v>39</v>
      </c>
      <c r="B46" s="65" t="s">
        <v>63</v>
      </c>
      <c r="C46" s="253">
        <v>12905254.833272047</v>
      </c>
    </row>
    <row r="47" spans="1:3" s="2" customFormat="1">
      <c r="A47" s="128">
        <v>40</v>
      </c>
      <c r="B47" s="75" t="s">
        <v>64</v>
      </c>
      <c r="C47" s="252">
        <f>SUM(C48:C51)</f>
        <v>0</v>
      </c>
    </row>
    <row r="48" spans="1:3" s="2" customFormat="1">
      <c r="A48" s="128">
        <v>41</v>
      </c>
      <c r="B48" s="66" t="s">
        <v>65</v>
      </c>
      <c r="C48" s="253">
        <v>0</v>
      </c>
    </row>
    <row r="49" spans="1:3" s="2" customFormat="1">
      <c r="A49" s="128">
        <v>42</v>
      </c>
      <c r="B49" s="67" t="s">
        <v>66</v>
      </c>
      <c r="C49" s="253">
        <v>0</v>
      </c>
    </row>
    <row r="50" spans="1:3" s="2" customFormat="1" ht="25.5">
      <c r="A50" s="128">
        <v>43</v>
      </c>
      <c r="B50" s="66" t="s">
        <v>67</v>
      </c>
      <c r="C50" s="253">
        <v>0</v>
      </c>
    </row>
    <row r="51" spans="1:3" s="2" customFormat="1" ht="25.5">
      <c r="A51" s="128">
        <v>44</v>
      </c>
      <c r="B51" s="66" t="s">
        <v>46</v>
      </c>
      <c r="C51" s="253">
        <v>0</v>
      </c>
    </row>
    <row r="52" spans="1:3" s="2" customFormat="1" ht="15.75" thickBot="1">
      <c r="A52" s="129">
        <v>45</v>
      </c>
      <c r="B52" s="130" t="s">
        <v>25</v>
      </c>
      <c r="C52" s="255">
        <f>C43-C47</f>
        <v>61126628.603272051</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election activeCell="C7" sqref="C7:D21"/>
    </sheetView>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4" ht="15">
      <c r="A1" s="14" t="s">
        <v>188</v>
      </c>
      <c r="B1" s="13" t="str">
        <f>Info!C2</f>
        <v>ს.ს. "ტერაბანკი"</v>
      </c>
    </row>
    <row r="2" spans="1:4" s="14" customFormat="1" ht="15.75" customHeight="1">
      <c r="A2" s="14" t="s">
        <v>189</v>
      </c>
      <c r="B2" s="436">
        <f>'1. key ratios'!B2</f>
        <v>44651</v>
      </c>
    </row>
    <row r="3" spans="1:4" s="14" customFormat="1" ht="15.75" customHeight="1"/>
    <row r="4" spans="1:4" ht="13.5" thickBot="1">
      <c r="A4" s="1" t="s">
        <v>399</v>
      </c>
      <c r="B4" s="341" t="s">
        <v>400</v>
      </c>
    </row>
    <row r="5" spans="1:4" s="60" customFormat="1">
      <c r="A5" s="642" t="s">
        <v>401</v>
      </c>
      <c r="B5" s="643"/>
      <c r="C5" s="331" t="s">
        <v>402</v>
      </c>
      <c r="D5" s="332" t="s">
        <v>403</v>
      </c>
    </row>
    <row r="6" spans="1:4" s="342" customFormat="1">
      <c r="A6" s="333">
        <v>1</v>
      </c>
      <c r="B6" s="334" t="s">
        <v>404</v>
      </c>
      <c r="C6" s="334"/>
      <c r="D6" s="335"/>
    </row>
    <row r="7" spans="1:4" s="342" customFormat="1">
      <c r="A7" s="336" t="s">
        <v>405</v>
      </c>
      <c r="B7" s="337" t="s">
        <v>406</v>
      </c>
      <c r="C7" s="391">
        <v>4.4999999999999998E-2</v>
      </c>
      <c r="D7" s="386">
        <f>C7*'5. RWA'!$C$13</f>
        <v>52176739.856648117</v>
      </c>
    </row>
    <row r="8" spans="1:4" s="342" customFormat="1">
      <c r="A8" s="336" t="s">
        <v>407</v>
      </c>
      <c r="B8" s="337" t="s">
        <v>408</v>
      </c>
      <c r="C8" s="392">
        <v>0.06</v>
      </c>
      <c r="D8" s="386">
        <f>C8*'5. RWA'!$C$13</f>
        <v>69568986.475530818</v>
      </c>
    </row>
    <row r="9" spans="1:4" s="342" customFormat="1">
      <c r="A9" s="336" t="s">
        <v>409</v>
      </c>
      <c r="B9" s="337" t="s">
        <v>410</v>
      </c>
      <c r="C9" s="392">
        <v>0.08</v>
      </c>
      <c r="D9" s="386">
        <f>C9*'5. RWA'!$C$13</f>
        <v>92758648.634041101</v>
      </c>
    </row>
    <row r="10" spans="1:4" s="342" customFormat="1">
      <c r="A10" s="333" t="s">
        <v>411</v>
      </c>
      <c r="B10" s="334" t="s">
        <v>412</v>
      </c>
      <c r="C10" s="393"/>
      <c r="D10" s="387"/>
    </row>
    <row r="11" spans="1:4" s="343" customFormat="1">
      <c r="A11" s="338" t="s">
        <v>413</v>
      </c>
      <c r="B11" s="339" t="s">
        <v>475</v>
      </c>
      <c r="C11" s="394">
        <v>0</v>
      </c>
      <c r="D11" s="548">
        <f>C11*'5. RWA'!$C$13</f>
        <v>0</v>
      </c>
    </row>
    <row r="12" spans="1:4" s="343" customFormat="1">
      <c r="A12" s="338" t="s">
        <v>414</v>
      </c>
      <c r="B12" s="339" t="s">
        <v>415</v>
      </c>
      <c r="C12" s="394">
        <v>0</v>
      </c>
      <c r="D12" s="548">
        <f>C12*'5. RWA'!$C$13</f>
        <v>0</v>
      </c>
    </row>
    <row r="13" spans="1:4" s="343" customFormat="1">
      <c r="A13" s="338" t="s">
        <v>416</v>
      </c>
      <c r="B13" s="339" t="s">
        <v>417</v>
      </c>
      <c r="C13" s="394">
        <v>0</v>
      </c>
      <c r="D13" s="548">
        <f>C13*'5. RWA'!$C$13</f>
        <v>0</v>
      </c>
    </row>
    <row r="14" spans="1:4" s="342" customFormat="1">
      <c r="A14" s="333" t="s">
        <v>418</v>
      </c>
      <c r="B14" s="334" t="s">
        <v>473</v>
      </c>
      <c r="C14" s="395"/>
      <c r="D14" s="387"/>
    </row>
    <row r="15" spans="1:4" s="342" customFormat="1">
      <c r="A15" s="353" t="s">
        <v>421</v>
      </c>
      <c r="B15" s="339" t="s">
        <v>474</v>
      </c>
      <c r="C15" s="394">
        <v>2.1482741735698488E-2</v>
      </c>
      <c r="D15" s="388">
        <f>C15*'5. RWA'!$C$13</f>
        <v>24908876.154468827</v>
      </c>
    </row>
    <row r="16" spans="1:4" s="342" customFormat="1">
      <c r="A16" s="353" t="s">
        <v>422</v>
      </c>
      <c r="B16" s="339" t="s">
        <v>424</v>
      </c>
      <c r="C16" s="394">
        <v>2.867257631525235E-2</v>
      </c>
      <c r="D16" s="388">
        <f>C16*'5. RWA'!$C$13</f>
        <v>33245367.898240268</v>
      </c>
    </row>
    <row r="17" spans="1:4" s="342" customFormat="1">
      <c r="A17" s="353" t="s">
        <v>423</v>
      </c>
      <c r="B17" s="339" t="s">
        <v>471</v>
      </c>
      <c r="C17" s="394">
        <v>4.5618577118009498E-2</v>
      </c>
      <c r="D17" s="388">
        <f>C17*'5. RWA'!$C$13</f>
        <v>52893969.575929381</v>
      </c>
    </row>
    <row r="18" spans="1:4" s="60" customFormat="1">
      <c r="A18" s="644" t="s">
        <v>472</v>
      </c>
      <c r="B18" s="645"/>
      <c r="C18" s="396" t="s">
        <v>402</v>
      </c>
      <c r="D18" s="389" t="s">
        <v>403</v>
      </c>
    </row>
    <row r="19" spans="1:4" s="342" customFormat="1">
      <c r="A19" s="340">
        <v>4</v>
      </c>
      <c r="B19" s="339" t="s">
        <v>23</v>
      </c>
      <c r="C19" s="394">
        <f>C7+C11+C12+C13+C15</f>
        <v>6.6482741735698486E-2</v>
      </c>
      <c r="D19" s="386">
        <f>C19*'5. RWA'!$C$13</f>
        <v>77085616.011116952</v>
      </c>
    </row>
    <row r="20" spans="1:4" s="342" customFormat="1">
      <c r="A20" s="340">
        <v>5</v>
      </c>
      <c r="B20" s="339" t="s">
        <v>89</v>
      </c>
      <c r="C20" s="394">
        <f>C8+C11+C12+C13+C16</f>
        <v>8.8672576315252355E-2</v>
      </c>
      <c r="D20" s="386">
        <f>C20*'5. RWA'!$C$13</f>
        <v>102814354.3737711</v>
      </c>
    </row>
    <row r="21" spans="1:4" s="342" customFormat="1" ht="13.5" thickBot="1">
      <c r="A21" s="344" t="s">
        <v>419</v>
      </c>
      <c r="B21" s="345" t="s">
        <v>88</v>
      </c>
      <c r="C21" s="397">
        <f>C9+C11+C12+C13+C17</f>
        <v>0.1256185771180095</v>
      </c>
      <c r="D21" s="390">
        <f>C21*'5. RWA'!$C$13</f>
        <v>145652618.20997047</v>
      </c>
    </row>
    <row r="23" spans="1:4" ht="63.75">
      <c r="B23" s="18" t="s">
        <v>476</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Normal="100" workbookViewId="0">
      <pane xSplit="1" ySplit="5" topLeftCell="B6" activePane="bottomRight" state="frozen"/>
      <selection pane="topRight" activeCell="B1" sqref="B1"/>
      <selection pane="bottomLeft" activeCell="A5" sqref="A5"/>
      <selection pane="bottomRight" activeCell="C6" sqref="C6:D45"/>
    </sheetView>
  </sheetViews>
  <sheetFormatPr defaultRowHeight="15.75"/>
  <cols>
    <col min="1" max="1" width="10.7109375" style="61" customWidth="1"/>
    <col min="2" max="2" width="91.85546875" style="61" customWidth="1"/>
    <col min="3" max="3" width="53.140625" style="61" customWidth="1"/>
    <col min="4" max="4" width="32.28515625" style="61" customWidth="1"/>
    <col min="5" max="5" width="9.42578125" customWidth="1"/>
  </cols>
  <sheetData>
    <row r="1" spans="1:6">
      <c r="A1" s="14" t="s">
        <v>188</v>
      </c>
      <c r="B1" s="15" t="str">
        <f>Info!C2</f>
        <v>ს.ს. "ტერაბანკი"</v>
      </c>
      <c r="E1" s="1"/>
      <c r="F1" s="1"/>
    </row>
    <row r="2" spans="1:6" s="14" customFormat="1" ht="15.75" customHeight="1">
      <c r="A2" s="14" t="s">
        <v>189</v>
      </c>
      <c r="B2" s="436">
        <f>'1. key ratios'!B2</f>
        <v>44651</v>
      </c>
    </row>
    <row r="3" spans="1:6" s="14" customFormat="1" ht="15.75" customHeight="1">
      <c r="A3" s="21"/>
    </row>
    <row r="4" spans="1:6" s="14" customFormat="1" ht="15.75" customHeight="1" thickBot="1">
      <c r="A4" s="14" t="s">
        <v>337</v>
      </c>
      <c r="B4" s="188" t="s">
        <v>269</v>
      </c>
      <c r="D4" s="190" t="s">
        <v>93</v>
      </c>
    </row>
    <row r="5" spans="1:6" ht="38.25">
      <c r="A5" s="142" t="s">
        <v>26</v>
      </c>
      <c r="B5" s="143" t="s">
        <v>231</v>
      </c>
      <c r="C5" s="144" t="s">
        <v>237</v>
      </c>
      <c r="D5" s="189" t="s">
        <v>270</v>
      </c>
    </row>
    <row r="6" spans="1:6">
      <c r="A6" s="131">
        <v>1</v>
      </c>
      <c r="B6" s="76" t="s">
        <v>154</v>
      </c>
      <c r="C6" s="256">
        <v>38869584.420000002</v>
      </c>
      <c r="D6" s="132"/>
      <c r="E6" s="5"/>
    </row>
    <row r="7" spans="1:6">
      <c r="A7" s="131">
        <v>2</v>
      </c>
      <c r="B7" s="77" t="s">
        <v>155</v>
      </c>
      <c r="C7" s="257">
        <v>144300012.23000002</v>
      </c>
      <c r="D7" s="133"/>
      <c r="E7" s="5"/>
    </row>
    <row r="8" spans="1:6">
      <c r="A8" s="131">
        <v>3</v>
      </c>
      <c r="B8" s="77" t="s">
        <v>156</v>
      </c>
      <c r="C8" s="257">
        <v>11157382.6</v>
      </c>
      <c r="D8" s="133"/>
      <c r="E8" s="5"/>
    </row>
    <row r="9" spans="1:6">
      <c r="A9" s="131">
        <v>4</v>
      </c>
      <c r="B9" s="77" t="s">
        <v>185</v>
      </c>
      <c r="C9" s="257">
        <v>0</v>
      </c>
      <c r="D9" s="133"/>
      <c r="E9" s="5"/>
    </row>
    <row r="10" spans="1:6">
      <c r="A10" s="131">
        <v>5</v>
      </c>
      <c r="B10" s="77" t="s">
        <v>157</v>
      </c>
      <c r="C10" s="257">
        <v>152627685.78</v>
      </c>
      <c r="D10" s="133"/>
      <c r="E10" s="5"/>
    </row>
    <row r="11" spans="1:6">
      <c r="A11" s="131">
        <v>6.1</v>
      </c>
      <c r="B11" s="77" t="s">
        <v>158</v>
      </c>
      <c r="C11" s="258">
        <v>1001625239.629997</v>
      </c>
      <c r="D11" s="134"/>
      <c r="E11" s="6"/>
    </row>
    <row r="12" spans="1:6">
      <c r="A12" s="131">
        <v>6.2</v>
      </c>
      <c r="B12" s="78" t="s">
        <v>159</v>
      </c>
      <c r="C12" s="258">
        <v>-49138707.470000327</v>
      </c>
      <c r="D12" s="134"/>
      <c r="E12" s="6"/>
    </row>
    <row r="13" spans="1:6">
      <c r="A13" s="131" t="s">
        <v>371</v>
      </c>
      <c r="B13" s="79" t="s">
        <v>372</v>
      </c>
      <c r="C13" s="258">
        <v>-16676000.310000073</v>
      </c>
      <c r="D13" s="134"/>
      <c r="E13" s="6"/>
    </row>
    <row r="14" spans="1:6">
      <c r="A14" s="131" t="s">
        <v>495</v>
      </c>
      <c r="B14" s="79" t="s">
        <v>484</v>
      </c>
      <c r="C14" s="258">
        <v>0</v>
      </c>
      <c r="D14" s="134"/>
      <c r="E14" s="6"/>
    </row>
    <row r="15" spans="1:6">
      <c r="A15" s="131">
        <v>6</v>
      </c>
      <c r="B15" s="77" t="s">
        <v>160</v>
      </c>
      <c r="C15" s="264">
        <v>952486532.15999675</v>
      </c>
      <c r="D15" s="134"/>
      <c r="E15" s="5"/>
    </row>
    <row r="16" spans="1:6">
      <c r="A16" s="131">
        <v>7</v>
      </c>
      <c r="B16" s="77" t="s">
        <v>161</v>
      </c>
      <c r="C16" s="257">
        <v>9784744.6700000353</v>
      </c>
      <c r="D16" s="133"/>
      <c r="E16" s="5"/>
    </row>
    <row r="17" spans="1:5">
      <c r="A17" s="131">
        <v>8</v>
      </c>
      <c r="B17" s="77" t="s">
        <v>162</v>
      </c>
      <c r="C17" s="257">
        <v>3854055.8799999952</v>
      </c>
      <c r="D17" s="133"/>
      <c r="E17" s="5"/>
    </row>
    <row r="18" spans="1:5">
      <c r="A18" s="131">
        <v>9</v>
      </c>
      <c r="B18" s="77" t="s">
        <v>163</v>
      </c>
      <c r="C18" s="257">
        <v>0</v>
      </c>
      <c r="D18" s="133"/>
      <c r="E18" s="5"/>
    </row>
    <row r="19" spans="1:5">
      <c r="A19" s="131">
        <v>9.1</v>
      </c>
      <c r="B19" s="79" t="s">
        <v>246</v>
      </c>
      <c r="C19" s="258">
        <v>0</v>
      </c>
      <c r="D19" s="133"/>
      <c r="E19" s="5"/>
    </row>
    <row r="20" spans="1:5">
      <c r="A20" s="131">
        <v>9.1999999999999993</v>
      </c>
      <c r="B20" s="79" t="s">
        <v>236</v>
      </c>
      <c r="C20" s="258">
        <v>0</v>
      </c>
      <c r="D20" s="133"/>
      <c r="E20" s="5"/>
    </row>
    <row r="21" spans="1:5">
      <c r="A21" s="131">
        <v>9.3000000000000007</v>
      </c>
      <c r="B21" s="79" t="s">
        <v>235</v>
      </c>
      <c r="C21" s="258">
        <v>0</v>
      </c>
      <c r="D21" s="133"/>
      <c r="E21" s="5"/>
    </row>
    <row r="22" spans="1:5">
      <c r="A22" s="131">
        <v>10</v>
      </c>
      <c r="B22" s="77" t="s">
        <v>164</v>
      </c>
      <c r="C22" s="257">
        <v>45191619.210000031</v>
      </c>
      <c r="D22" s="133"/>
      <c r="E22" s="5"/>
    </row>
    <row r="23" spans="1:5">
      <c r="A23" s="131">
        <v>10.1</v>
      </c>
      <c r="B23" s="79" t="s">
        <v>234</v>
      </c>
      <c r="C23" s="257">
        <v>23083279</v>
      </c>
      <c r="D23" s="214" t="s">
        <v>344</v>
      </c>
      <c r="E23" s="5"/>
    </row>
    <row r="24" spans="1:5">
      <c r="A24" s="131">
        <v>11</v>
      </c>
      <c r="B24" s="80" t="s">
        <v>165</v>
      </c>
      <c r="C24" s="259">
        <v>13765497.494999999</v>
      </c>
      <c r="D24" s="135"/>
      <c r="E24" s="5"/>
    </row>
    <row r="25" spans="1:5">
      <c r="A25" s="131">
        <v>12</v>
      </c>
      <c r="B25" s="82" t="s">
        <v>166</v>
      </c>
      <c r="C25" s="260">
        <f>SUM(C6:C10,C15:C18,C22,C24)</f>
        <v>1372037114.4449968</v>
      </c>
      <c r="D25" s="136"/>
      <c r="E25" s="4"/>
    </row>
    <row r="26" spans="1:5">
      <c r="A26" s="131">
        <v>13</v>
      </c>
      <c r="B26" s="77" t="s">
        <v>167</v>
      </c>
      <c r="C26" s="261">
        <v>61615.75</v>
      </c>
      <c r="D26" s="137"/>
      <c r="E26" s="5"/>
    </row>
    <row r="27" spans="1:5">
      <c r="A27" s="131">
        <v>14</v>
      </c>
      <c r="B27" s="77" t="s">
        <v>168</v>
      </c>
      <c r="C27" s="257">
        <v>225040814.13007852</v>
      </c>
      <c r="D27" s="133"/>
      <c r="E27" s="5"/>
    </row>
    <row r="28" spans="1:5">
      <c r="A28" s="131">
        <v>15</v>
      </c>
      <c r="B28" s="77" t="s">
        <v>169</v>
      </c>
      <c r="C28" s="257">
        <v>228442705.34000003</v>
      </c>
      <c r="D28" s="133"/>
      <c r="E28" s="5"/>
    </row>
    <row r="29" spans="1:5">
      <c r="A29" s="131">
        <v>16</v>
      </c>
      <c r="B29" s="77" t="s">
        <v>170</v>
      </c>
      <c r="C29" s="257">
        <v>395032067.73999989</v>
      </c>
      <c r="D29" s="133"/>
      <c r="E29" s="5"/>
    </row>
    <row r="30" spans="1:5">
      <c r="A30" s="131">
        <v>17</v>
      </c>
      <c r="B30" s="77" t="s">
        <v>171</v>
      </c>
      <c r="C30" s="257">
        <v>0</v>
      </c>
      <c r="D30" s="133"/>
      <c r="E30" s="5"/>
    </row>
    <row r="31" spans="1:5">
      <c r="A31" s="131">
        <v>18</v>
      </c>
      <c r="B31" s="77" t="s">
        <v>172</v>
      </c>
      <c r="C31" s="257">
        <v>254423776</v>
      </c>
      <c r="D31" s="133"/>
      <c r="E31" s="5"/>
    </row>
    <row r="32" spans="1:5">
      <c r="A32" s="131">
        <v>19</v>
      </c>
      <c r="B32" s="77" t="s">
        <v>173</v>
      </c>
      <c r="C32" s="257">
        <v>5781903.8600000031</v>
      </c>
      <c r="D32" s="133"/>
      <c r="E32" s="5"/>
    </row>
    <row r="33" spans="1:5">
      <c r="A33" s="131">
        <v>20</v>
      </c>
      <c r="B33" s="77" t="s">
        <v>95</v>
      </c>
      <c r="C33" s="257">
        <v>30721263.43</v>
      </c>
      <c r="D33" s="133"/>
      <c r="E33" s="5"/>
    </row>
    <row r="34" spans="1:5">
      <c r="A34" s="131">
        <v>20.100000000000001</v>
      </c>
      <c r="B34" s="81" t="s">
        <v>370</v>
      </c>
      <c r="C34" s="259">
        <v>1166874.17</v>
      </c>
      <c r="D34" s="135"/>
      <c r="E34" s="5"/>
    </row>
    <row r="35" spans="1:5">
      <c r="A35" s="131">
        <v>21</v>
      </c>
      <c r="B35" s="80" t="s">
        <v>174</v>
      </c>
      <c r="C35" s="259">
        <v>69088698.24000001</v>
      </c>
      <c r="D35" s="135"/>
      <c r="E35" s="5"/>
    </row>
    <row r="36" spans="1:5">
      <c r="A36" s="131">
        <v>21.1</v>
      </c>
      <c r="B36" s="81" t="s">
        <v>233</v>
      </c>
      <c r="C36" s="262">
        <v>48221373.770000003</v>
      </c>
      <c r="D36" s="138"/>
      <c r="E36" s="5"/>
    </row>
    <row r="37" spans="1:5">
      <c r="A37" s="131">
        <v>22</v>
      </c>
      <c r="B37" s="82" t="s">
        <v>175</v>
      </c>
      <c r="C37" s="260">
        <f>SUM(C26:C33)+C35</f>
        <v>1208592844.4900784</v>
      </c>
      <c r="D37" s="136"/>
      <c r="E37" s="4"/>
    </row>
    <row r="38" spans="1:5">
      <c r="A38" s="131">
        <v>23</v>
      </c>
      <c r="B38" s="80" t="s">
        <v>176</v>
      </c>
      <c r="C38" s="257">
        <v>121372000</v>
      </c>
      <c r="D38" s="133"/>
      <c r="E38" s="5"/>
    </row>
    <row r="39" spans="1:5">
      <c r="A39" s="131">
        <v>24</v>
      </c>
      <c r="B39" s="80" t="s">
        <v>177</v>
      </c>
      <c r="C39" s="257">
        <v>0</v>
      </c>
      <c r="D39" s="133"/>
      <c r="E39" s="5"/>
    </row>
    <row r="40" spans="1:5">
      <c r="A40" s="131">
        <v>25</v>
      </c>
      <c r="B40" s="80" t="s">
        <v>232</v>
      </c>
      <c r="C40" s="257">
        <v>0</v>
      </c>
      <c r="D40" s="133"/>
      <c r="E40" s="5"/>
    </row>
    <row r="41" spans="1:5">
      <c r="A41" s="131">
        <v>26</v>
      </c>
      <c r="B41" s="80" t="s">
        <v>179</v>
      </c>
      <c r="C41" s="257">
        <v>0</v>
      </c>
      <c r="D41" s="133"/>
      <c r="E41" s="5"/>
    </row>
    <row r="42" spans="1:5">
      <c r="A42" s="131">
        <v>27</v>
      </c>
      <c r="B42" s="80" t="s">
        <v>180</v>
      </c>
      <c r="C42" s="257">
        <v>0</v>
      </c>
      <c r="D42" s="133"/>
      <c r="E42" s="5"/>
    </row>
    <row r="43" spans="1:5">
      <c r="A43" s="131">
        <v>28</v>
      </c>
      <c r="B43" s="80" t="s">
        <v>181</v>
      </c>
      <c r="C43" s="257">
        <v>42072269.920000002</v>
      </c>
      <c r="D43" s="133"/>
      <c r="E43" s="5"/>
    </row>
    <row r="44" spans="1:5">
      <c r="A44" s="131">
        <v>29</v>
      </c>
      <c r="B44" s="80" t="s">
        <v>35</v>
      </c>
      <c r="C44" s="257">
        <v>0</v>
      </c>
      <c r="D44" s="133"/>
      <c r="E44" s="5"/>
    </row>
    <row r="45" spans="1:5" ht="16.5" thickBot="1">
      <c r="A45" s="139">
        <v>30</v>
      </c>
      <c r="B45" s="140" t="s">
        <v>182</v>
      </c>
      <c r="C45" s="263">
        <f>SUM(C38:C44)</f>
        <v>163444269.92000002</v>
      </c>
      <c r="D45" s="141"/>
      <c r="E45" s="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workbookViewId="0">
      <pane xSplit="2" ySplit="7" topLeftCell="J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1" bestFit="1" customWidth="1"/>
    <col min="2" max="2" width="95" style="1" customWidth="1"/>
    <col min="3" max="3" width="14.5703125" style="1" bestFit="1" customWidth="1"/>
    <col min="4" max="4" width="13.42578125" style="1" bestFit="1" customWidth="1"/>
    <col min="5" max="5" width="13.5703125" style="1" bestFit="1" customWidth="1"/>
    <col min="6" max="6" width="13.42578125" style="1" bestFit="1" customWidth="1"/>
    <col min="7" max="7" width="14.5703125" style="1" bestFit="1" customWidth="1"/>
    <col min="8" max="8" width="13.42578125" style="1" bestFit="1" customWidth="1"/>
    <col min="9" max="9" width="13.5703125" style="1" bestFit="1" customWidth="1"/>
    <col min="10" max="10" width="13.42578125" style="1" bestFit="1" customWidth="1"/>
    <col min="11" max="11" width="14.5703125" style="1" bestFit="1" customWidth="1"/>
    <col min="12" max="12" width="13.42578125" style="1" bestFit="1" customWidth="1"/>
    <col min="13" max="13" width="14.5703125" style="1" bestFit="1" customWidth="1"/>
    <col min="14" max="14" width="13.5703125" style="1" bestFit="1" customWidth="1"/>
    <col min="15" max="15" width="12.42578125" style="1" bestFit="1" customWidth="1"/>
    <col min="16" max="16" width="13.42578125" style="1" bestFit="1" customWidth="1"/>
    <col min="17" max="17" width="9.5703125" style="1" bestFit="1" customWidth="1"/>
    <col min="18" max="18" width="13.42578125" style="1" bestFit="1" customWidth="1"/>
    <col min="19" max="19" width="31.5703125" style="1" bestFit="1" customWidth="1"/>
    <col min="20" max="16384" width="9.140625" style="9"/>
  </cols>
  <sheetData>
    <row r="1" spans="1:19">
      <c r="A1" s="1" t="s">
        <v>188</v>
      </c>
      <c r="B1" s="1" t="str">
        <f>Info!C2</f>
        <v>ს.ს. "ტერაბანკი"</v>
      </c>
    </row>
    <row r="2" spans="1:19">
      <c r="A2" s="1" t="s">
        <v>189</v>
      </c>
      <c r="B2" s="436">
        <f>'1. key ratios'!B2</f>
        <v>44651</v>
      </c>
    </row>
    <row r="4" spans="1:19" ht="26.25" thickBot="1">
      <c r="A4" s="60" t="s">
        <v>338</v>
      </c>
      <c r="B4" s="278" t="s">
        <v>360</v>
      </c>
    </row>
    <row r="5" spans="1:19">
      <c r="A5" s="120"/>
      <c r="B5" s="122"/>
      <c r="C5" s="106" t="s">
        <v>0</v>
      </c>
      <c r="D5" s="106" t="s">
        <v>1</v>
      </c>
      <c r="E5" s="106" t="s">
        <v>2</v>
      </c>
      <c r="F5" s="106" t="s">
        <v>3</v>
      </c>
      <c r="G5" s="106" t="s">
        <v>4</v>
      </c>
      <c r="H5" s="106" t="s">
        <v>5</v>
      </c>
      <c r="I5" s="106" t="s">
        <v>238</v>
      </c>
      <c r="J5" s="106" t="s">
        <v>239</v>
      </c>
      <c r="K5" s="106" t="s">
        <v>240</v>
      </c>
      <c r="L5" s="106" t="s">
        <v>241</v>
      </c>
      <c r="M5" s="106" t="s">
        <v>242</v>
      </c>
      <c r="N5" s="106" t="s">
        <v>243</v>
      </c>
      <c r="O5" s="106" t="s">
        <v>347</v>
      </c>
      <c r="P5" s="106" t="s">
        <v>348</v>
      </c>
      <c r="Q5" s="106" t="s">
        <v>349</v>
      </c>
      <c r="R5" s="274" t="s">
        <v>350</v>
      </c>
      <c r="S5" s="107" t="s">
        <v>351</v>
      </c>
    </row>
    <row r="6" spans="1:19" ht="46.5" customHeight="1">
      <c r="A6" s="145"/>
      <c r="B6" s="650" t="s">
        <v>352</v>
      </c>
      <c r="C6" s="648">
        <v>0</v>
      </c>
      <c r="D6" s="649"/>
      <c r="E6" s="648">
        <v>0.2</v>
      </c>
      <c r="F6" s="649"/>
      <c r="G6" s="648">
        <v>0.35</v>
      </c>
      <c r="H6" s="649"/>
      <c r="I6" s="648">
        <v>0.5</v>
      </c>
      <c r="J6" s="649"/>
      <c r="K6" s="648">
        <v>0.75</v>
      </c>
      <c r="L6" s="649"/>
      <c r="M6" s="648">
        <v>1</v>
      </c>
      <c r="N6" s="649"/>
      <c r="O6" s="648">
        <v>1.5</v>
      </c>
      <c r="P6" s="649"/>
      <c r="Q6" s="648">
        <v>2.5</v>
      </c>
      <c r="R6" s="649"/>
      <c r="S6" s="646" t="s">
        <v>251</v>
      </c>
    </row>
    <row r="7" spans="1:19">
      <c r="A7" s="145"/>
      <c r="B7" s="651"/>
      <c r="C7" s="277" t="s">
        <v>345</v>
      </c>
      <c r="D7" s="277" t="s">
        <v>346</v>
      </c>
      <c r="E7" s="277" t="s">
        <v>345</v>
      </c>
      <c r="F7" s="277" t="s">
        <v>346</v>
      </c>
      <c r="G7" s="277" t="s">
        <v>345</v>
      </c>
      <c r="H7" s="277" t="s">
        <v>346</v>
      </c>
      <c r="I7" s="277" t="s">
        <v>345</v>
      </c>
      <c r="J7" s="277" t="s">
        <v>346</v>
      </c>
      <c r="K7" s="277" t="s">
        <v>345</v>
      </c>
      <c r="L7" s="277" t="s">
        <v>346</v>
      </c>
      <c r="M7" s="277" t="s">
        <v>345</v>
      </c>
      <c r="N7" s="277" t="s">
        <v>346</v>
      </c>
      <c r="O7" s="277" t="s">
        <v>345</v>
      </c>
      <c r="P7" s="277" t="s">
        <v>346</v>
      </c>
      <c r="Q7" s="277" t="s">
        <v>345</v>
      </c>
      <c r="R7" s="277" t="s">
        <v>346</v>
      </c>
      <c r="S7" s="647"/>
    </row>
    <row r="8" spans="1:19">
      <c r="A8" s="110">
        <v>1</v>
      </c>
      <c r="B8" s="164" t="s">
        <v>216</v>
      </c>
      <c r="C8" s="550">
        <v>167812488.86000001</v>
      </c>
      <c r="D8" s="550">
        <v>0</v>
      </c>
      <c r="E8" s="550">
        <v>0</v>
      </c>
      <c r="F8" s="551">
        <v>0</v>
      </c>
      <c r="G8" s="550">
        <v>0</v>
      </c>
      <c r="H8" s="550">
        <v>0</v>
      </c>
      <c r="I8" s="550">
        <v>0</v>
      </c>
      <c r="J8" s="550">
        <v>0</v>
      </c>
      <c r="K8" s="550">
        <v>0</v>
      </c>
      <c r="L8" s="550">
        <v>0</v>
      </c>
      <c r="M8" s="550">
        <v>127330919.80000001</v>
      </c>
      <c r="N8" s="550">
        <v>0</v>
      </c>
      <c r="O8" s="550">
        <v>0</v>
      </c>
      <c r="P8" s="550">
        <v>0</v>
      </c>
      <c r="Q8" s="550">
        <v>0</v>
      </c>
      <c r="R8" s="551">
        <v>0</v>
      </c>
      <c r="S8" s="584">
        <f>$C$6*SUM(C8:D8)+$E$6*SUM(E8:F8)+$G$6*SUM(G8:H8)+$I$6*SUM(I8:J8)+$K$6*SUM(K8:L8)+$M$6*SUM(M8:N8)+$O$6*SUM(O8:P8)+$Q$6*SUM(Q8:R8)</f>
        <v>127330919.80000001</v>
      </c>
    </row>
    <row r="9" spans="1:19">
      <c r="A9" s="110">
        <v>2</v>
      </c>
      <c r="B9" s="164" t="s">
        <v>217</v>
      </c>
      <c r="C9" s="550">
        <v>0</v>
      </c>
      <c r="D9" s="550">
        <v>0</v>
      </c>
      <c r="E9" s="550">
        <v>0</v>
      </c>
      <c r="F9" s="550">
        <v>0</v>
      </c>
      <c r="G9" s="550">
        <v>0</v>
      </c>
      <c r="H9" s="550">
        <v>0</v>
      </c>
      <c r="I9" s="550">
        <v>0</v>
      </c>
      <c r="J9" s="550">
        <v>0</v>
      </c>
      <c r="K9" s="550">
        <v>0</v>
      </c>
      <c r="L9" s="550">
        <v>0</v>
      </c>
      <c r="M9" s="550">
        <v>0</v>
      </c>
      <c r="N9" s="550">
        <v>0</v>
      </c>
      <c r="O9" s="550">
        <v>0</v>
      </c>
      <c r="P9" s="550">
        <v>0</v>
      </c>
      <c r="Q9" s="550">
        <v>0</v>
      </c>
      <c r="R9" s="551">
        <v>0</v>
      </c>
      <c r="S9" s="584">
        <f t="shared" ref="S9:S21" si="0">$C$6*SUM(C9:D9)+$E$6*SUM(E9:F9)+$G$6*SUM(G9:H9)+$I$6*SUM(I9:J9)+$K$6*SUM(K9:L9)+$M$6*SUM(M9:N9)+$O$6*SUM(O9:P9)+$Q$6*SUM(Q9:R9)</f>
        <v>0</v>
      </c>
    </row>
    <row r="10" spans="1:19">
      <c r="A10" s="110">
        <v>3</v>
      </c>
      <c r="B10" s="164" t="s">
        <v>218</v>
      </c>
      <c r="C10" s="550">
        <v>0</v>
      </c>
      <c r="D10" s="550">
        <v>0</v>
      </c>
      <c r="E10" s="550">
        <v>0</v>
      </c>
      <c r="F10" s="550">
        <v>0</v>
      </c>
      <c r="G10" s="550">
        <v>0</v>
      </c>
      <c r="H10" s="550">
        <v>0</v>
      </c>
      <c r="I10" s="550">
        <v>0</v>
      </c>
      <c r="J10" s="550">
        <v>0</v>
      </c>
      <c r="K10" s="550">
        <v>0</v>
      </c>
      <c r="L10" s="550">
        <v>0</v>
      </c>
      <c r="M10" s="550">
        <v>0</v>
      </c>
      <c r="N10" s="550">
        <v>0</v>
      </c>
      <c r="O10" s="550">
        <v>0</v>
      </c>
      <c r="P10" s="550">
        <v>0</v>
      </c>
      <c r="Q10" s="550">
        <v>0</v>
      </c>
      <c r="R10" s="551">
        <v>0</v>
      </c>
      <c r="S10" s="584">
        <f t="shared" si="0"/>
        <v>0</v>
      </c>
    </row>
    <row r="11" spans="1:19">
      <c r="A11" s="110">
        <v>4</v>
      </c>
      <c r="B11" s="164" t="s">
        <v>219</v>
      </c>
      <c r="C11" s="550">
        <v>0</v>
      </c>
      <c r="D11" s="550">
        <v>0</v>
      </c>
      <c r="E11" s="550">
        <v>0</v>
      </c>
      <c r="F11" s="550">
        <v>0</v>
      </c>
      <c r="G11" s="550">
        <v>0</v>
      </c>
      <c r="H11" s="550">
        <v>0</v>
      </c>
      <c r="I11" s="550">
        <v>0</v>
      </c>
      <c r="J11" s="550">
        <v>0</v>
      </c>
      <c r="K11" s="550">
        <v>0</v>
      </c>
      <c r="L11" s="550">
        <v>0</v>
      </c>
      <c r="M11" s="550">
        <v>0</v>
      </c>
      <c r="N11" s="550">
        <v>0</v>
      </c>
      <c r="O11" s="550">
        <v>0</v>
      </c>
      <c r="P11" s="550">
        <v>0</v>
      </c>
      <c r="Q11" s="550">
        <v>0</v>
      </c>
      <c r="R11" s="551">
        <v>0</v>
      </c>
      <c r="S11" s="584">
        <f t="shared" si="0"/>
        <v>0</v>
      </c>
    </row>
    <row r="12" spans="1:19">
      <c r="A12" s="110">
        <v>5</v>
      </c>
      <c r="B12" s="164" t="s">
        <v>220</v>
      </c>
      <c r="C12" s="550">
        <v>0</v>
      </c>
      <c r="D12" s="550">
        <v>0</v>
      </c>
      <c r="E12" s="550">
        <v>0</v>
      </c>
      <c r="F12" s="550">
        <v>0</v>
      </c>
      <c r="G12" s="550">
        <v>0</v>
      </c>
      <c r="H12" s="550">
        <v>0</v>
      </c>
      <c r="I12" s="550">
        <v>0</v>
      </c>
      <c r="J12" s="550">
        <v>0</v>
      </c>
      <c r="K12" s="550">
        <v>0</v>
      </c>
      <c r="L12" s="550">
        <v>0</v>
      </c>
      <c r="M12" s="550">
        <v>0</v>
      </c>
      <c r="N12" s="550">
        <v>0</v>
      </c>
      <c r="O12" s="550">
        <v>0</v>
      </c>
      <c r="P12" s="550">
        <v>0</v>
      </c>
      <c r="Q12" s="550">
        <v>0</v>
      </c>
      <c r="R12" s="551">
        <v>0</v>
      </c>
      <c r="S12" s="584">
        <f t="shared" si="0"/>
        <v>0</v>
      </c>
    </row>
    <row r="13" spans="1:19">
      <c r="A13" s="110">
        <v>6</v>
      </c>
      <c r="B13" s="164" t="s">
        <v>221</v>
      </c>
      <c r="C13" s="550">
        <v>0</v>
      </c>
      <c r="D13" s="550">
        <v>0</v>
      </c>
      <c r="E13" s="550">
        <v>4016788.73</v>
      </c>
      <c r="F13" s="550">
        <v>0</v>
      </c>
      <c r="G13" s="550">
        <v>0</v>
      </c>
      <c r="H13" s="550">
        <v>0</v>
      </c>
      <c r="I13" s="550">
        <v>4392204.5799999991</v>
      </c>
      <c r="J13" s="550">
        <v>0</v>
      </c>
      <c r="K13" s="550">
        <v>0</v>
      </c>
      <c r="L13" s="550">
        <v>0</v>
      </c>
      <c r="M13" s="550">
        <v>2748389.29</v>
      </c>
      <c r="N13" s="550">
        <v>0</v>
      </c>
      <c r="O13" s="550">
        <v>0</v>
      </c>
      <c r="P13" s="550">
        <v>0</v>
      </c>
      <c r="Q13" s="550">
        <v>0</v>
      </c>
      <c r="R13" s="551">
        <v>0</v>
      </c>
      <c r="S13" s="584">
        <f t="shared" si="0"/>
        <v>5747849.3259999994</v>
      </c>
    </row>
    <row r="14" spans="1:19">
      <c r="A14" s="110">
        <v>7</v>
      </c>
      <c r="B14" s="164" t="s">
        <v>73</v>
      </c>
      <c r="C14" s="550">
        <v>0</v>
      </c>
      <c r="D14" s="550">
        <v>0</v>
      </c>
      <c r="E14" s="550">
        <v>0</v>
      </c>
      <c r="F14" s="550">
        <v>0</v>
      </c>
      <c r="G14" s="550">
        <v>0</v>
      </c>
      <c r="H14" s="550">
        <v>0</v>
      </c>
      <c r="I14" s="550">
        <v>0</v>
      </c>
      <c r="J14" s="550">
        <v>0</v>
      </c>
      <c r="K14" s="550">
        <v>0</v>
      </c>
      <c r="L14" s="550">
        <v>0</v>
      </c>
      <c r="M14" s="550">
        <v>516984104.39327461</v>
      </c>
      <c r="N14" s="550">
        <v>41834935.872000009</v>
      </c>
      <c r="O14" s="550">
        <v>0</v>
      </c>
      <c r="P14" s="550">
        <v>0</v>
      </c>
      <c r="Q14" s="550">
        <v>0</v>
      </c>
      <c r="R14" s="551">
        <v>0</v>
      </c>
      <c r="S14" s="584">
        <f t="shared" si="0"/>
        <v>558819040.26527464</v>
      </c>
    </row>
    <row r="15" spans="1:19">
      <c r="A15" s="110">
        <v>8</v>
      </c>
      <c r="B15" s="164" t="s">
        <v>74</v>
      </c>
      <c r="C15" s="550">
        <v>0</v>
      </c>
      <c r="D15" s="550">
        <v>0</v>
      </c>
      <c r="E15" s="550">
        <v>0</v>
      </c>
      <c r="F15" s="550">
        <v>0</v>
      </c>
      <c r="G15" s="550">
        <v>0</v>
      </c>
      <c r="H15" s="550">
        <v>0</v>
      </c>
      <c r="I15" s="550">
        <v>0</v>
      </c>
      <c r="J15" s="550">
        <v>0</v>
      </c>
      <c r="K15" s="550">
        <v>290304294.76809657</v>
      </c>
      <c r="L15" s="550">
        <v>6163436.4049999975</v>
      </c>
      <c r="M15" s="550">
        <v>0</v>
      </c>
      <c r="N15" s="550">
        <v>0</v>
      </c>
      <c r="O15" s="550">
        <v>0</v>
      </c>
      <c r="P15" s="550">
        <v>0</v>
      </c>
      <c r="Q15" s="550">
        <v>0</v>
      </c>
      <c r="R15" s="551">
        <v>0</v>
      </c>
      <c r="S15" s="584">
        <f t="shared" si="0"/>
        <v>222350798.3798224</v>
      </c>
    </row>
    <row r="16" spans="1:19">
      <c r="A16" s="110">
        <v>9</v>
      </c>
      <c r="B16" s="164" t="s">
        <v>75</v>
      </c>
      <c r="C16" s="550">
        <v>0</v>
      </c>
      <c r="D16" s="550">
        <v>0</v>
      </c>
      <c r="E16" s="550">
        <v>0</v>
      </c>
      <c r="F16" s="550">
        <v>0</v>
      </c>
      <c r="G16" s="550">
        <v>111147636.49714416</v>
      </c>
      <c r="H16" s="550">
        <v>1077455.9500000002</v>
      </c>
      <c r="I16" s="550">
        <v>0</v>
      </c>
      <c r="J16" s="550">
        <v>0</v>
      </c>
      <c r="K16" s="550">
        <v>0</v>
      </c>
      <c r="L16" s="550">
        <v>0</v>
      </c>
      <c r="M16" s="550">
        <v>0</v>
      </c>
      <c r="N16" s="550">
        <v>0</v>
      </c>
      <c r="O16" s="550">
        <v>0</v>
      </c>
      <c r="P16" s="550">
        <v>0</v>
      </c>
      <c r="Q16" s="550">
        <v>0</v>
      </c>
      <c r="R16" s="551">
        <v>0</v>
      </c>
      <c r="S16" s="584">
        <f t="shared" si="0"/>
        <v>39278782.356500454</v>
      </c>
    </row>
    <row r="17" spans="1:19">
      <c r="A17" s="110">
        <v>10</v>
      </c>
      <c r="B17" s="164" t="s">
        <v>69</v>
      </c>
      <c r="C17" s="550">
        <v>0</v>
      </c>
      <c r="D17" s="550">
        <v>0</v>
      </c>
      <c r="E17" s="550">
        <v>0</v>
      </c>
      <c r="F17" s="550">
        <v>0</v>
      </c>
      <c r="G17" s="550">
        <v>0</v>
      </c>
      <c r="H17" s="550">
        <v>0</v>
      </c>
      <c r="I17" s="550">
        <v>1550115.7457862205</v>
      </c>
      <c r="J17" s="550">
        <v>0</v>
      </c>
      <c r="K17" s="550">
        <v>0</v>
      </c>
      <c r="L17" s="550">
        <v>0</v>
      </c>
      <c r="M17" s="550">
        <v>7846088.1619734885</v>
      </c>
      <c r="N17" s="550">
        <v>0</v>
      </c>
      <c r="O17" s="550">
        <v>589204.35251942766</v>
      </c>
      <c r="P17" s="550">
        <v>0</v>
      </c>
      <c r="Q17" s="550">
        <v>0</v>
      </c>
      <c r="R17" s="551">
        <v>0</v>
      </c>
      <c r="S17" s="584">
        <f t="shared" si="0"/>
        <v>9504952.563645741</v>
      </c>
    </row>
    <row r="18" spans="1:19">
      <c r="A18" s="110">
        <v>11</v>
      </c>
      <c r="B18" s="164" t="s">
        <v>70</v>
      </c>
      <c r="C18" s="550">
        <v>0</v>
      </c>
      <c r="D18" s="550">
        <v>0</v>
      </c>
      <c r="E18" s="550">
        <v>0</v>
      </c>
      <c r="F18" s="550">
        <v>0</v>
      </c>
      <c r="G18" s="550">
        <v>0</v>
      </c>
      <c r="H18" s="550">
        <v>0</v>
      </c>
      <c r="I18" s="550">
        <v>0</v>
      </c>
      <c r="J18" s="550">
        <v>0</v>
      </c>
      <c r="K18" s="550">
        <v>0</v>
      </c>
      <c r="L18" s="550">
        <v>0</v>
      </c>
      <c r="M18" s="550">
        <v>35417690.059068665</v>
      </c>
      <c r="N18" s="550">
        <v>0</v>
      </c>
      <c r="O18" s="550">
        <v>18761288.902134616</v>
      </c>
      <c r="P18" s="550">
        <v>0</v>
      </c>
      <c r="Q18" s="550">
        <v>0</v>
      </c>
      <c r="R18" s="551">
        <v>0</v>
      </c>
      <c r="S18" s="584">
        <f t="shared" si="0"/>
        <v>63559623.412270591</v>
      </c>
    </row>
    <row r="19" spans="1:19">
      <c r="A19" s="110">
        <v>12</v>
      </c>
      <c r="B19" s="164" t="s">
        <v>71</v>
      </c>
      <c r="C19" s="550">
        <v>0</v>
      </c>
      <c r="D19" s="550">
        <v>0</v>
      </c>
      <c r="E19" s="550">
        <v>0</v>
      </c>
      <c r="F19" s="550">
        <v>0</v>
      </c>
      <c r="G19" s="550">
        <v>0</v>
      </c>
      <c r="H19" s="550">
        <v>0</v>
      </c>
      <c r="I19" s="550">
        <v>0</v>
      </c>
      <c r="J19" s="550">
        <v>0</v>
      </c>
      <c r="K19" s="550">
        <v>0</v>
      </c>
      <c r="L19" s="550">
        <v>0</v>
      </c>
      <c r="M19" s="550">
        <v>0</v>
      </c>
      <c r="N19" s="550">
        <v>0</v>
      </c>
      <c r="O19" s="550">
        <v>0</v>
      </c>
      <c r="P19" s="550">
        <v>0</v>
      </c>
      <c r="Q19" s="550">
        <v>0</v>
      </c>
      <c r="R19" s="551">
        <v>0</v>
      </c>
      <c r="S19" s="584">
        <f t="shared" si="0"/>
        <v>0</v>
      </c>
    </row>
    <row r="20" spans="1:19">
      <c r="A20" s="110">
        <v>13</v>
      </c>
      <c r="B20" s="164" t="s">
        <v>72</v>
      </c>
      <c r="C20" s="550">
        <v>0</v>
      </c>
      <c r="D20" s="550">
        <v>0</v>
      </c>
      <c r="E20" s="550">
        <v>0</v>
      </c>
      <c r="F20" s="550">
        <v>0</v>
      </c>
      <c r="G20" s="550">
        <v>0</v>
      </c>
      <c r="H20" s="550">
        <v>0</v>
      </c>
      <c r="I20" s="550">
        <v>0</v>
      </c>
      <c r="J20" s="550">
        <v>0</v>
      </c>
      <c r="K20" s="550">
        <v>0</v>
      </c>
      <c r="L20" s="550">
        <v>0</v>
      </c>
      <c r="M20" s="550">
        <v>0</v>
      </c>
      <c r="N20" s="550">
        <v>0</v>
      </c>
      <c r="O20" s="550">
        <v>0</v>
      </c>
      <c r="P20" s="550">
        <v>0</v>
      </c>
      <c r="Q20" s="550">
        <v>0</v>
      </c>
      <c r="R20" s="551">
        <v>0</v>
      </c>
      <c r="S20" s="584">
        <f t="shared" si="0"/>
        <v>0</v>
      </c>
    </row>
    <row r="21" spans="1:19">
      <c r="A21" s="110">
        <v>14</v>
      </c>
      <c r="B21" s="164" t="s">
        <v>249</v>
      </c>
      <c r="C21" s="550">
        <v>38628148.209999993</v>
      </c>
      <c r="D21" s="550">
        <v>0</v>
      </c>
      <c r="E21" s="550">
        <v>241436.21000000002</v>
      </c>
      <c r="F21" s="550">
        <v>0</v>
      </c>
      <c r="G21" s="550">
        <v>0</v>
      </c>
      <c r="H21" s="550">
        <v>0</v>
      </c>
      <c r="I21" s="550">
        <v>0</v>
      </c>
      <c r="J21" s="550">
        <v>0</v>
      </c>
      <c r="K21" s="550">
        <v>0</v>
      </c>
      <c r="L21" s="550">
        <v>0</v>
      </c>
      <c r="M21" s="550">
        <v>37959036.710000016</v>
      </c>
      <c r="N21" s="550">
        <v>0</v>
      </c>
      <c r="O21" s="550">
        <v>0</v>
      </c>
      <c r="P21" s="550">
        <v>0</v>
      </c>
      <c r="Q21" s="550">
        <v>0</v>
      </c>
      <c r="R21" s="551">
        <v>0</v>
      </c>
      <c r="S21" s="584">
        <f t="shared" si="0"/>
        <v>38007323.952000014</v>
      </c>
    </row>
    <row r="22" spans="1:19" ht="13.5" thickBot="1">
      <c r="A22" s="93"/>
      <c r="B22" s="150" t="s">
        <v>68</v>
      </c>
      <c r="C22" s="265">
        <f>SUM(C8:C21)</f>
        <v>206440637.06999999</v>
      </c>
      <c r="D22" s="265">
        <f t="shared" ref="D22:S22" si="1">SUM(D8:D21)</f>
        <v>0</v>
      </c>
      <c r="E22" s="265">
        <f t="shared" si="1"/>
        <v>4258224.9400000004</v>
      </c>
      <c r="F22" s="265">
        <f t="shared" si="1"/>
        <v>0</v>
      </c>
      <c r="G22" s="265">
        <f t="shared" si="1"/>
        <v>111147636.49714416</v>
      </c>
      <c r="H22" s="265">
        <f t="shared" si="1"/>
        <v>1077455.9500000002</v>
      </c>
      <c r="I22" s="265">
        <f t="shared" si="1"/>
        <v>5942320.3257862199</v>
      </c>
      <c r="J22" s="265">
        <f t="shared" si="1"/>
        <v>0</v>
      </c>
      <c r="K22" s="265">
        <f t="shared" si="1"/>
        <v>290304294.76809657</v>
      </c>
      <c r="L22" s="265">
        <f t="shared" si="1"/>
        <v>6163436.4049999975</v>
      </c>
      <c r="M22" s="265">
        <f t="shared" si="1"/>
        <v>728286228.41431677</v>
      </c>
      <c r="N22" s="265">
        <f t="shared" si="1"/>
        <v>41834935.872000009</v>
      </c>
      <c r="O22" s="265">
        <f t="shared" si="1"/>
        <v>19350493.254654042</v>
      </c>
      <c r="P22" s="265">
        <f t="shared" si="1"/>
        <v>0</v>
      </c>
      <c r="Q22" s="265">
        <f t="shared" si="1"/>
        <v>0</v>
      </c>
      <c r="R22" s="265">
        <f t="shared" si="1"/>
        <v>0</v>
      </c>
      <c r="S22" s="585">
        <f t="shared" si="1"/>
        <v>1064599290.0555139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O7" activePane="bottomRight" state="frozen"/>
      <selection pane="topRight" activeCell="C1" sqref="C1"/>
      <selection pane="bottomLeft" activeCell="A6" sqref="A6"/>
      <selection pane="bottomRight" activeCell="C7" sqref="C7:V21"/>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9"/>
  </cols>
  <sheetData>
    <row r="1" spans="1:22">
      <c r="A1" s="1" t="s">
        <v>188</v>
      </c>
      <c r="B1" s="1" t="str">
        <f>Info!C2</f>
        <v>ს.ს. "ტერაბანკი"</v>
      </c>
    </row>
    <row r="2" spans="1:22">
      <c r="A2" s="1" t="s">
        <v>189</v>
      </c>
      <c r="B2" s="436">
        <f>'1. key ratios'!B2</f>
        <v>44651</v>
      </c>
    </row>
    <row r="4" spans="1:22" ht="27.75" thickBot="1">
      <c r="A4" s="1" t="s">
        <v>339</v>
      </c>
      <c r="B4" s="278" t="s">
        <v>361</v>
      </c>
      <c r="V4" s="190" t="s">
        <v>93</v>
      </c>
    </row>
    <row r="5" spans="1:22">
      <c r="A5" s="91"/>
      <c r="B5" s="92"/>
      <c r="C5" s="652" t="s">
        <v>198</v>
      </c>
      <c r="D5" s="653"/>
      <c r="E5" s="653"/>
      <c r="F5" s="653"/>
      <c r="G5" s="653"/>
      <c r="H5" s="653"/>
      <c r="I5" s="653"/>
      <c r="J5" s="653"/>
      <c r="K5" s="653"/>
      <c r="L5" s="654"/>
      <c r="M5" s="652" t="s">
        <v>199</v>
      </c>
      <c r="N5" s="653"/>
      <c r="O5" s="653"/>
      <c r="P5" s="653"/>
      <c r="Q5" s="653"/>
      <c r="R5" s="653"/>
      <c r="S5" s="654"/>
      <c r="T5" s="657" t="s">
        <v>359</v>
      </c>
      <c r="U5" s="657" t="s">
        <v>358</v>
      </c>
      <c r="V5" s="655" t="s">
        <v>200</v>
      </c>
    </row>
    <row r="6" spans="1:22" s="60" customFormat="1" ht="127.5">
      <c r="A6" s="108"/>
      <c r="B6" s="166"/>
      <c r="C6" s="89" t="s">
        <v>201</v>
      </c>
      <c r="D6" s="88" t="s">
        <v>202</v>
      </c>
      <c r="E6" s="86" t="s">
        <v>203</v>
      </c>
      <c r="F6" s="86" t="s">
        <v>353</v>
      </c>
      <c r="G6" s="88" t="s">
        <v>204</v>
      </c>
      <c r="H6" s="88" t="s">
        <v>205</v>
      </c>
      <c r="I6" s="88" t="s">
        <v>206</v>
      </c>
      <c r="J6" s="88" t="s">
        <v>248</v>
      </c>
      <c r="K6" s="88" t="s">
        <v>207</v>
      </c>
      <c r="L6" s="90" t="s">
        <v>208</v>
      </c>
      <c r="M6" s="89" t="s">
        <v>209</v>
      </c>
      <c r="N6" s="88" t="s">
        <v>210</v>
      </c>
      <c r="O6" s="88" t="s">
        <v>211</v>
      </c>
      <c r="P6" s="88" t="s">
        <v>212</v>
      </c>
      <c r="Q6" s="88" t="s">
        <v>213</v>
      </c>
      <c r="R6" s="88" t="s">
        <v>214</v>
      </c>
      <c r="S6" s="90" t="s">
        <v>215</v>
      </c>
      <c r="T6" s="658"/>
      <c r="U6" s="658"/>
      <c r="V6" s="656"/>
    </row>
    <row r="7" spans="1:22">
      <c r="A7" s="149">
        <v>1</v>
      </c>
      <c r="B7" s="148" t="s">
        <v>216</v>
      </c>
      <c r="C7" s="552">
        <v>0</v>
      </c>
      <c r="D7" s="549">
        <v>0</v>
      </c>
      <c r="E7" s="549">
        <v>0</v>
      </c>
      <c r="F7" s="549">
        <v>0</v>
      </c>
      <c r="G7" s="549">
        <v>0</v>
      </c>
      <c r="H7" s="549">
        <v>0</v>
      </c>
      <c r="I7" s="549">
        <v>0</v>
      </c>
      <c r="J7" s="549">
        <v>0</v>
      </c>
      <c r="K7" s="549">
        <v>0</v>
      </c>
      <c r="L7" s="553">
        <v>0</v>
      </c>
      <c r="M7" s="552">
        <v>0</v>
      </c>
      <c r="N7" s="549">
        <v>0</v>
      </c>
      <c r="O7" s="549">
        <v>0</v>
      </c>
      <c r="P7" s="549">
        <v>0</v>
      </c>
      <c r="Q7" s="549">
        <v>0</v>
      </c>
      <c r="R7" s="549">
        <v>0</v>
      </c>
      <c r="S7" s="553">
        <v>0</v>
      </c>
      <c r="T7" s="554">
        <v>0</v>
      </c>
      <c r="U7" s="555">
        <v>0</v>
      </c>
      <c r="V7" s="266">
        <f>SUM(C7:S7)</f>
        <v>0</v>
      </c>
    </row>
    <row r="8" spans="1:22">
      <c r="A8" s="149">
        <v>2</v>
      </c>
      <c r="B8" s="148" t="s">
        <v>217</v>
      </c>
      <c r="C8" s="552">
        <v>0</v>
      </c>
      <c r="D8" s="549">
        <v>0</v>
      </c>
      <c r="E8" s="549">
        <v>0</v>
      </c>
      <c r="F8" s="549">
        <v>0</v>
      </c>
      <c r="G8" s="549">
        <v>0</v>
      </c>
      <c r="H8" s="549">
        <v>0</v>
      </c>
      <c r="I8" s="549">
        <v>0</v>
      </c>
      <c r="J8" s="549">
        <v>0</v>
      </c>
      <c r="K8" s="549">
        <v>0</v>
      </c>
      <c r="L8" s="553">
        <v>0</v>
      </c>
      <c r="M8" s="552">
        <v>0</v>
      </c>
      <c r="N8" s="549">
        <v>0</v>
      </c>
      <c r="O8" s="549">
        <v>0</v>
      </c>
      <c r="P8" s="549">
        <v>0</v>
      </c>
      <c r="Q8" s="549">
        <v>0</v>
      </c>
      <c r="R8" s="549">
        <v>0</v>
      </c>
      <c r="S8" s="553">
        <v>0</v>
      </c>
      <c r="T8" s="555">
        <v>0</v>
      </c>
      <c r="U8" s="555">
        <v>0</v>
      </c>
      <c r="V8" s="266">
        <f t="shared" ref="V8:V20" si="0">SUM(C8:S8)</f>
        <v>0</v>
      </c>
    </row>
    <row r="9" spans="1:22">
      <c r="A9" s="149">
        <v>3</v>
      </c>
      <c r="B9" s="148" t="s">
        <v>218</v>
      </c>
      <c r="C9" s="552">
        <v>0</v>
      </c>
      <c r="D9" s="549">
        <v>0</v>
      </c>
      <c r="E9" s="549">
        <v>0</v>
      </c>
      <c r="F9" s="549">
        <v>0</v>
      </c>
      <c r="G9" s="549">
        <v>0</v>
      </c>
      <c r="H9" s="549">
        <v>0</v>
      </c>
      <c r="I9" s="549">
        <v>0</v>
      </c>
      <c r="J9" s="549">
        <v>0</v>
      </c>
      <c r="K9" s="549">
        <v>0</v>
      </c>
      <c r="L9" s="553">
        <v>0</v>
      </c>
      <c r="M9" s="552">
        <v>0</v>
      </c>
      <c r="N9" s="549">
        <v>0</v>
      </c>
      <c r="O9" s="549">
        <v>0</v>
      </c>
      <c r="P9" s="549">
        <v>0</v>
      </c>
      <c r="Q9" s="549">
        <v>0</v>
      </c>
      <c r="R9" s="549">
        <v>0</v>
      </c>
      <c r="S9" s="553">
        <v>0</v>
      </c>
      <c r="T9" s="555">
        <v>0</v>
      </c>
      <c r="U9" s="555">
        <v>0</v>
      </c>
      <c r="V9" s="266">
        <f>SUM(C9:S9)</f>
        <v>0</v>
      </c>
    </row>
    <row r="10" spans="1:22">
      <c r="A10" s="149">
        <v>4</v>
      </c>
      <c r="B10" s="148" t="s">
        <v>219</v>
      </c>
      <c r="C10" s="552">
        <v>0</v>
      </c>
      <c r="D10" s="549">
        <v>0</v>
      </c>
      <c r="E10" s="549">
        <v>0</v>
      </c>
      <c r="F10" s="549">
        <v>0</v>
      </c>
      <c r="G10" s="549">
        <v>0</v>
      </c>
      <c r="H10" s="549">
        <v>0</v>
      </c>
      <c r="I10" s="549">
        <v>0</v>
      </c>
      <c r="J10" s="549">
        <v>0</v>
      </c>
      <c r="K10" s="549">
        <v>0</v>
      </c>
      <c r="L10" s="553">
        <v>0</v>
      </c>
      <c r="M10" s="552">
        <v>0</v>
      </c>
      <c r="N10" s="549">
        <v>0</v>
      </c>
      <c r="O10" s="549">
        <v>0</v>
      </c>
      <c r="P10" s="549">
        <v>0</v>
      </c>
      <c r="Q10" s="549">
        <v>0</v>
      </c>
      <c r="R10" s="549">
        <v>0</v>
      </c>
      <c r="S10" s="553">
        <v>0</v>
      </c>
      <c r="T10" s="555">
        <v>0</v>
      </c>
      <c r="U10" s="555">
        <v>0</v>
      </c>
      <c r="V10" s="266">
        <f t="shared" si="0"/>
        <v>0</v>
      </c>
    </row>
    <row r="11" spans="1:22">
      <c r="A11" s="149">
        <v>5</v>
      </c>
      <c r="B11" s="148" t="s">
        <v>220</v>
      </c>
      <c r="C11" s="552">
        <v>0</v>
      </c>
      <c r="D11" s="549">
        <v>0</v>
      </c>
      <c r="E11" s="549">
        <v>0</v>
      </c>
      <c r="F11" s="549">
        <v>0</v>
      </c>
      <c r="G11" s="549">
        <v>0</v>
      </c>
      <c r="H11" s="549">
        <v>0</v>
      </c>
      <c r="I11" s="549">
        <v>0</v>
      </c>
      <c r="J11" s="549">
        <v>0</v>
      </c>
      <c r="K11" s="549">
        <v>0</v>
      </c>
      <c r="L11" s="553">
        <v>0</v>
      </c>
      <c r="M11" s="552">
        <v>0</v>
      </c>
      <c r="N11" s="549">
        <v>0</v>
      </c>
      <c r="O11" s="549">
        <v>0</v>
      </c>
      <c r="P11" s="549">
        <v>0</v>
      </c>
      <c r="Q11" s="549">
        <v>0</v>
      </c>
      <c r="R11" s="549">
        <v>0</v>
      </c>
      <c r="S11" s="553">
        <v>0</v>
      </c>
      <c r="T11" s="555">
        <v>0</v>
      </c>
      <c r="U11" s="555">
        <v>0</v>
      </c>
      <c r="V11" s="266">
        <f t="shared" si="0"/>
        <v>0</v>
      </c>
    </row>
    <row r="12" spans="1:22">
      <c r="A12" s="149">
        <v>6</v>
      </c>
      <c r="B12" s="148" t="s">
        <v>221</v>
      </c>
      <c r="C12" s="552">
        <v>0</v>
      </c>
      <c r="D12" s="549">
        <v>0</v>
      </c>
      <c r="E12" s="549">
        <v>0</v>
      </c>
      <c r="F12" s="549">
        <v>0</v>
      </c>
      <c r="G12" s="549">
        <v>0</v>
      </c>
      <c r="H12" s="549">
        <v>0</v>
      </c>
      <c r="I12" s="549">
        <v>0</v>
      </c>
      <c r="J12" s="549">
        <v>0</v>
      </c>
      <c r="K12" s="549">
        <v>0</v>
      </c>
      <c r="L12" s="553">
        <v>0</v>
      </c>
      <c r="M12" s="552">
        <v>0</v>
      </c>
      <c r="N12" s="549">
        <v>0</v>
      </c>
      <c r="O12" s="549">
        <v>0</v>
      </c>
      <c r="P12" s="549">
        <v>0</v>
      </c>
      <c r="Q12" s="549">
        <v>0</v>
      </c>
      <c r="R12" s="549">
        <v>0</v>
      </c>
      <c r="S12" s="553">
        <v>0</v>
      </c>
      <c r="T12" s="555">
        <v>0</v>
      </c>
      <c r="U12" s="555">
        <v>0</v>
      </c>
      <c r="V12" s="266">
        <f t="shared" si="0"/>
        <v>0</v>
      </c>
    </row>
    <row r="13" spans="1:22">
      <c r="A13" s="149">
        <v>7</v>
      </c>
      <c r="B13" s="148" t="s">
        <v>73</v>
      </c>
      <c r="C13" s="552">
        <v>0</v>
      </c>
      <c r="D13" s="549">
        <v>30494999.128749996</v>
      </c>
      <c r="E13" s="549">
        <v>0</v>
      </c>
      <c r="F13" s="549">
        <v>0</v>
      </c>
      <c r="G13" s="549">
        <v>0</v>
      </c>
      <c r="H13" s="549">
        <v>0</v>
      </c>
      <c r="I13" s="549">
        <v>0</v>
      </c>
      <c r="J13" s="549">
        <v>0</v>
      </c>
      <c r="K13" s="549">
        <v>0</v>
      </c>
      <c r="L13" s="553">
        <v>0</v>
      </c>
      <c r="M13" s="552">
        <v>0</v>
      </c>
      <c r="N13" s="549">
        <v>0</v>
      </c>
      <c r="O13" s="549">
        <v>0</v>
      </c>
      <c r="P13" s="549">
        <v>0</v>
      </c>
      <c r="Q13" s="549">
        <v>0</v>
      </c>
      <c r="R13" s="549">
        <v>0</v>
      </c>
      <c r="S13" s="553">
        <v>0</v>
      </c>
      <c r="T13" s="555">
        <v>19520521.689999998</v>
      </c>
      <c r="U13" s="555">
        <v>10974477.438750001</v>
      </c>
      <c r="V13" s="266">
        <f t="shared" si="0"/>
        <v>30494999.128749996</v>
      </c>
    </row>
    <row r="14" spans="1:22">
      <c r="A14" s="149">
        <v>8</v>
      </c>
      <c r="B14" s="148" t="s">
        <v>74</v>
      </c>
      <c r="C14" s="552">
        <v>0</v>
      </c>
      <c r="D14" s="549">
        <v>2677887.1949999998</v>
      </c>
      <c r="E14" s="549">
        <v>0</v>
      </c>
      <c r="F14" s="549">
        <v>0</v>
      </c>
      <c r="G14" s="549">
        <v>0</v>
      </c>
      <c r="H14" s="549">
        <v>0</v>
      </c>
      <c r="I14" s="549">
        <v>0</v>
      </c>
      <c r="J14" s="549">
        <v>0</v>
      </c>
      <c r="K14" s="549">
        <v>0</v>
      </c>
      <c r="L14" s="553">
        <v>0</v>
      </c>
      <c r="M14" s="552">
        <v>0</v>
      </c>
      <c r="N14" s="549">
        <v>0</v>
      </c>
      <c r="O14" s="549">
        <v>0</v>
      </c>
      <c r="P14" s="549">
        <v>0</v>
      </c>
      <c r="Q14" s="549">
        <v>0</v>
      </c>
      <c r="R14" s="549">
        <v>0</v>
      </c>
      <c r="S14" s="553">
        <v>0</v>
      </c>
      <c r="T14" s="555">
        <v>2677887.1949999998</v>
      </c>
      <c r="U14" s="555">
        <v>0</v>
      </c>
      <c r="V14" s="266">
        <f t="shared" si="0"/>
        <v>2677887.1949999998</v>
      </c>
    </row>
    <row r="15" spans="1:22">
      <c r="A15" s="149">
        <v>9</v>
      </c>
      <c r="B15" s="148" t="s">
        <v>75</v>
      </c>
      <c r="C15" s="552">
        <v>0</v>
      </c>
      <c r="D15" s="549">
        <v>0</v>
      </c>
      <c r="E15" s="549">
        <v>0</v>
      </c>
      <c r="F15" s="549">
        <v>0</v>
      </c>
      <c r="G15" s="549">
        <v>0</v>
      </c>
      <c r="H15" s="549">
        <v>0</v>
      </c>
      <c r="I15" s="549">
        <v>0</v>
      </c>
      <c r="J15" s="549">
        <v>0</v>
      </c>
      <c r="K15" s="549">
        <v>0</v>
      </c>
      <c r="L15" s="553">
        <v>0</v>
      </c>
      <c r="M15" s="552">
        <v>0</v>
      </c>
      <c r="N15" s="549">
        <v>0</v>
      </c>
      <c r="O15" s="549">
        <v>0</v>
      </c>
      <c r="P15" s="549">
        <v>0</v>
      </c>
      <c r="Q15" s="549">
        <v>0</v>
      </c>
      <c r="R15" s="549">
        <v>0</v>
      </c>
      <c r="S15" s="553">
        <v>0</v>
      </c>
      <c r="T15" s="555">
        <v>0</v>
      </c>
      <c r="U15" s="555">
        <v>0</v>
      </c>
      <c r="V15" s="266">
        <f t="shared" si="0"/>
        <v>0</v>
      </c>
    </row>
    <row r="16" spans="1:22">
      <c r="A16" s="149">
        <v>10</v>
      </c>
      <c r="B16" s="148" t="s">
        <v>69</v>
      </c>
      <c r="C16" s="552">
        <v>0</v>
      </c>
      <c r="D16" s="549">
        <v>5</v>
      </c>
      <c r="E16" s="549">
        <v>0</v>
      </c>
      <c r="F16" s="549">
        <v>0</v>
      </c>
      <c r="G16" s="549">
        <v>0</v>
      </c>
      <c r="H16" s="549">
        <v>0</v>
      </c>
      <c r="I16" s="549">
        <v>0</v>
      </c>
      <c r="J16" s="549">
        <v>0</v>
      </c>
      <c r="K16" s="549">
        <v>0</v>
      </c>
      <c r="L16" s="553">
        <v>0</v>
      </c>
      <c r="M16" s="552">
        <v>0</v>
      </c>
      <c r="N16" s="549">
        <v>0</v>
      </c>
      <c r="O16" s="549">
        <v>0</v>
      </c>
      <c r="P16" s="549">
        <v>0</v>
      </c>
      <c r="Q16" s="549">
        <v>0</v>
      </c>
      <c r="R16" s="549">
        <v>0</v>
      </c>
      <c r="S16" s="553">
        <v>0</v>
      </c>
      <c r="T16" s="555">
        <v>5</v>
      </c>
      <c r="U16" s="555">
        <v>0</v>
      </c>
      <c r="V16" s="266">
        <f t="shared" si="0"/>
        <v>5</v>
      </c>
    </row>
    <row r="17" spans="1:22">
      <c r="A17" s="149">
        <v>11</v>
      </c>
      <c r="B17" s="148" t="s">
        <v>70</v>
      </c>
      <c r="C17" s="552">
        <v>0</v>
      </c>
      <c r="D17" s="549">
        <v>201858.06999999998</v>
      </c>
      <c r="E17" s="549">
        <v>0</v>
      </c>
      <c r="F17" s="549">
        <v>0</v>
      </c>
      <c r="G17" s="549">
        <v>0</v>
      </c>
      <c r="H17" s="549">
        <v>0</v>
      </c>
      <c r="I17" s="549">
        <v>0</v>
      </c>
      <c r="J17" s="549">
        <v>0</v>
      </c>
      <c r="K17" s="549">
        <v>0</v>
      </c>
      <c r="L17" s="553">
        <v>0</v>
      </c>
      <c r="M17" s="552">
        <v>0</v>
      </c>
      <c r="N17" s="549">
        <v>0</v>
      </c>
      <c r="O17" s="549">
        <v>0</v>
      </c>
      <c r="P17" s="549">
        <v>0</v>
      </c>
      <c r="Q17" s="549">
        <v>0</v>
      </c>
      <c r="R17" s="549">
        <v>0</v>
      </c>
      <c r="S17" s="553">
        <v>0</v>
      </c>
      <c r="T17" s="555">
        <v>201858.06999999998</v>
      </c>
      <c r="U17" s="555">
        <v>0</v>
      </c>
      <c r="V17" s="266">
        <f t="shared" si="0"/>
        <v>201858.06999999998</v>
      </c>
    </row>
    <row r="18" spans="1:22">
      <c r="A18" s="149">
        <v>12</v>
      </c>
      <c r="B18" s="148" t="s">
        <v>71</v>
      </c>
      <c r="C18" s="552">
        <v>0</v>
      </c>
      <c r="D18" s="549">
        <v>0</v>
      </c>
      <c r="E18" s="549">
        <v>0</v>
      </c>
      <c r="F18" s="549">
        <v>0</v>
      </c>
      <c r="G18" s="549">
        <v>0</v>
      </c>
      <c r="H18" s="549">
        <v>0</v>
      </c>
      <c r="I18" s="549">
        <v>0</v>
      </c>
      <c r="J18" s="549">
        <v>0</v>
      </c>
      <c r="K18" s="549">
        <v>0</v>
      </c>
      <c r="L18" s="553">
        <v>0</v>
      </c>
      <c r="M18" s="552">
        <v>0</v>
      </c>
      <c r="N18" s="549">
        <v>0</v>
      </c>
      <c r="O18" s="549">
        <v>0</v>
      </c>
      <c r="P18" s="549">
        <v>0</v>
      </c>
      <c r="Q18" s="549">
        <v>0</v>
      </c>
      <c r="R18" s="549">
        <v>0</v>
      </c>
      <c r="S18" s="553">
        <v>0</v>
      </c>
      <c r="T18" s="555">
        <v>0</v>
      </c>
      <c r="U18" s="555">
        <v>0</v>
      </c>
      <c r="V18" s="266">
        <f t="shared" si="0"/>
        <v>0</v>
      </c>
    </row>
    <row r="19" spans="1:22">
      <c r="A19" s="149">
        <v>13</v>
      </c>
      <c r="B19" s="148" t="s">
        <v>72</v>
      </c>
      <c r="C19" s="552">
        <v>0</v>
      </c>
      <c r="D19" s="549">
        <v>0</v>
      </c>
      <c r="E19" s="549">
        <v>0</v>
      </c>
      <c r="F19" s="549">
        <v>0</v>
      </c>
      <c r="G19" s="549">
        <v>0</v>
      </c>
      <c r="H19" s="549">
        <v>0</v>
      </c>
      <c r="I19" s="549">
        <v>0</v>
      </c>
      <c r="J19" s="549">
        <v>0</v>
      </c>
      <c r="K19" s="549">
        <v>0</v>
      </c>
      <c r="L19" s="553">
        <v>0</v>
      </c>
      <c r="M19" s="552">
        <v>0</v>
      </c>
      <c r="N19" s="549">
        <v>0</v>
      </c>
      <c r="O19" s="549">
        <v>0</v>
      </c>
      <c r="P19" s="549">
        <v>0</v>
      </c>
      <c r="Q19" s="549">
        <v>0</v>
      </c>
      <c r="R19" s="549">
        <v>0</v>
      </c>
      <c r="S19" s="553">
        <v>0</v>
      </c>
      <c r="T19" s="555">
        <v>0</v>
      </c>
      <c r="U19" s="555">
        <v>0</v>
      </c>
      <c r="V19" s="266">
        <f t="shared" si="0"/>
        <v>0</v>
      </c>
    </row>
    <row r="20" spans="1:22">
      <c r="A20" s="149">
        <v>14</v>
      </c>
      <c r="B20" s="148" t="s">
        <v>249</v>
      </c>
      <c r="C20" s="552">
        <v>0</v>
      </c>
      <c r="D20" s="549">
        <v>0</v>
      </c>
      <c r="E20" s="549">
        <v>0</v>
      </c>
      <c r="F20" s="549">
        <v>0</v>
      </c>
      <c r="G20" s="549">
        <v>0</v>
      </c>
      <c r="H20" s="549">
        <v>0</v>
      </c>
      <c r="I20" s="549">
        <v>0</v>
      </c>
      <c r="J20" s="549">
        <v>0</v>
      </c>
      <c r="K20" s="549">
        <v>0</v>
      </c>
      <c r="L20" s="553">
        <v>0</v>
      </c>
      <c r="M20" s="552">
        <v>0</v>
      </c>
      <c r="N20" s="549">
        <v>0</v>
      </c>
      <c r="O20" s="549">
        <v>0</v>
      </c>
      <c r="P20" s="549">
        <v>0</v>
      </c>
      <c r="Q20" s="549">
        <v>0</v>
      </c>
      <c r="R20" s="549">
        <v>0</v>
      </c>
      <c r="S20" s="553">
        <v>0</v>
      </c>
      <c r="T20" s="555">
        <v>0</v>
      </c>
      <c r="U20" s="555">
        <v>0</v>
      </c>
      <c r="V20" s="266">
        <f t="shared" si="0"/>
        <v>0</v>
      </c>
    </row>
    <row r="21" spans="1:22" ht="13.5" thickBot="1">
      <c r="A21" s="93"/>
      <c r="B21" s="94" t="s">
        <v>68</v>
      </c>
      <c r="C21" s="267">
        <f>SUM(C7:C20)</f>
        <v>0</v>
      </c>
      <c r="D21" s="265">
        <f t="shared" ref="D21:V21" si="1">SUM(D7:D20)</f>
        <v>33374749.393749997</v>
      </c>
      <c r="E21" s="265">
        <f t="shared" si="1"/>
        <v>0</v>
      </c>
      <c r="F21" s="265">
        <f t="shared" si="1"/>
        <v>0</v>
      </c>
      <c r="G21" s="265">
        <f t="shared" si="1"/>
        <v>0</v>
      </c>
      <c r="H21" s="265">
        <f t="shared" si="1"/>
        <v>0</v>
      </c>
      <c r="I21" s="265">
        <f t="shared" si="1"/>
        <v>0</v>
      </c>
      <c r="J21" s="265">
        <f t="shared" si="1"/>
        <v>0</v>
      </c>
      <c r="K21" s="265">
        <f t="shared" si="1"/>
        <v>0</v>
      </c>
      <c r="L21" s="268">
        <f t="shared" si="1"/>
        <v>0</v>
      </c>
      <c r="M21" s="267">
        <f t="shared" si="1"/>
        <v>0</v>
      </c>
      <c r="N21" s="265">
        <f t="shared" si="1"/>
        <v>0</v>
      </c>
      <c r="O21" s="265">
        <f t="shared" si="1"/>
        <v>0</v>
      </c>
      <c r="P21" s="265">
        <f t="shared" si="1"/>
        <v>0</v>
      </c>
      <c r="Q21" s="265">
        <f t="shared" si="1"/>
        <v>0</v>
      </c>
      <c r="R21" s="265">
        <f t="shared" si="1"/>
        <v>0</v>
      </c>
      <c r="S21" s="268">
        <f t="shared" si="1"/>
        <v>0</v>
      </c>
      <c r="T21" s="268">
        <f>SUM(T7:T20)</f>
        <v>22400271.954999998</v>
      </c>
      <c r="U21" s="268">
        <f t="shared" si="1"/>
        <v>10974477.438750001</v>
      </c>
      <c r="V21" s="269">
        <f t="shared" si="1"/>
        <v>33374749.393749997</v>
      </c>
    </row>
    <row r="24" spans="1:22">
      <c r="C24" s="64"/>
      <c r="D24" s="64"/>
      <c r="E24" s="64"/>
    </row>
    <row r="25" spans="1:22">
      <c r="A25" s="59"/>
      <c r="B25" s="59"/>
      <c r="D25" s="64"/>
      <c r="E25" s="64"/>
    </row>
    <row r="26" spans="1:22">
      <c r="A26" s="59"/>
      <c r="B26" s="87"/>
      <c r="D26" s="64"/>
      <c r="E26" s="64"/>
    </row>
    <row r="27" spans="1:22">
      <c r="A27" s="59"/>
      <c r="B27" s="59"/>
      <c r="D27" s="64"/>
      <c r="E27" s="64"/>
    </row>
    <row r="28" spans="1:22">
      <c r="A28" s="59"/>
      <c r="B28" s="87"/>
      <c r="D28" s="64"/>
      <c r="E28" s="6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9"/>
  </cols>
  <sheetData>
    <row r="1" spans="1:9">
      <c r="A1" s="1" t="s">
        <v>188</v>
      </c>
      <c r="B1" s="1" t="str">
        <f>Info!C2</f>
        <v>ს.ს. "ტერაბანკი"</v>
      </c>
    </row>
    <row r="2" spans="1:9">
      <c r="A2" s="1" t="s">
        <v>189</v>
      </c>
      <c r="B2" s="436">
        <f>'1. key ratios'!B2</f>
        <v>44651</v>
      </c>
    </row>
    <row r="4" spans="1:9" ht="13.5" thickBot="1">
      <c r="A4" s="1" t="s">
        <v>340</v>
      </c>
      <c r="B4" s="52" t="s">
        <v>362</v>
      </c>
    </row>
    <row r="5" spans="1:9">
      <c r="A5" s="91"/>
      <c r="B5" s="146"/>
      <c r="C5" s="151" t="s">
        <v>0</v>
      </c>
      <c r="D5" s="151" t="s">
        <v>1</v>
      </c>
      <c r="E5" s="151" t="s">
        <v>2</v>
      </c>
      <c r="F5" s="151" t="s">
        <v>3</v>
      </c>
      <c r="G5" s="275" t="s">
        <v>4</v>
      </c>
      <c r="H5" s="152" t="s">
        <v>5</v>
      </c>
      <c r="I5" s="19"/>
    </row>
    <row r="6" spans="1:9" ht="15" customHeight="1">
      <c r="A6" s="145"/>
      <c r="B6" s="17"/>
      <c r="C6" s="650" t="s">
        <v>354</v>
      </c>
      <c r="D6" s="661" t="s">
        <v>364</v>
      </c>
      <c r="E6" s="662"/>
      <c r="F6" s="650" t="s">
        <v>365</v>
      </c>
      <c r="G6" s="650" t="s">
        <v>366</v>
      </c>
      <c r="H6" s="659" t="s">
        <v>356</v>
      </c>
      <c r="I6" s="19"/>
    </row>
    <row r="7" spans="1:9" ht="63.75">
      <c r="A7" s="145"/>
      <c r="B7" s="17"/>
      <c r="C7" s="651"/>
      <c r="D7" s="276" t="s">
        <v>357</v>
      </c>
      <c r="E7" s="276" t="s">
        <v>355</v>
      </c>
      <c r="F7" s="651"/>
      <c r="G7" s="651"/>
      <c r="H7" s="660"/>
      <c r="I7" s="19"/>
    </row>
    <row r="8" spans="1:9">
      <c r="A8" s="83">
        <v>1</v>
      </c>
      <c r="B8" s="66" t="s">
        <v>216</v>
      </c>
      <c r="C8" s="556">
        <v>295143408.66000003</v>
      </c>
      <c r="D8" s="557">
        <v>0</v>
      </c>
      <c r="E8" s="556">
        <v>0</v>
      </c>
      <c r="F8" s="556">
        <v>127330919.80000001</v>
      </c>
      <c r="G8" s="558">
        <v>127330919.80000001</v>
      </c>
      <c r="H8" s="279">
        <f>G8/(C8+E8)</f>
        <v>0.43142050970442974</v>
      </c>
    </row>
    <row r="9" spans="1:9" ht="15" customHeight="1">
      <c r="A9" s="83">
        <v>2</v>
      </c>
      <c r="B9" s="66" t="s">
        <v>217</v>
      </c>
      <c r="C9" s="556">
        <v>0</v>
      </c>
      <c r="D9" s="557">
        <v>0</v>
      </c>
      <c r="E9" s="556">
        <v>0</v>
      </c>
      <c r="F9" s="556">
        <v>0</v>
      </c>
      <c r="G9" s="558">
        <v>0</v>
      </c>
      <c r="H9" s="279"/>
    </row>
    <row r="10" spans="1:9">
      <c r="A10" s="83">
        <v>3</v>
      </c>
      <c r="B10" s="66" t="s">
        <v>218</v>
      </c>
      <c r="C10" s="556">
        <v>0</v>
      </c>
      <c r="D10" s="557">
        <v>0</v>
      </c>
      <c r="E10" s="556">
        <v>0</v>
      </c>
      <c r="F10" s="556">
        <v>0</v>
      </c>
      <c r="G10" s="558">
        <v>0</v>
      </c>
      <c r="H10" s="279"/>
    </row>
    <row r="11" spans="1:9">
      <c r="A11" s="83">
        <v>4</v>
      </c>
      <c r="B11" s="66" t="s">
        <v>219</v>
      </c>
      <c r="C11" s="556">
        <v>0</v>
      </c>
      <c r="D11" s="557">
        <v>0</v>
      </c>
      <c r="E11" s="556">
        <v>0</v>
      </c>
      <c r="F11" s="556">
        <v>0</v>
      </c>
      <c r="G11" s="558">
        <v>0</v>
      </c>
      <c r="H11" s="279"/>
    </row>
    <row r="12" spans="1:9">
      <c r="A12" s="83">
        <v>5</v>
      </c>
      <c r="B12" s="66" t="s">
        <v>220</v>
      </c>
      <c r="C12" s="556">
        <v>0</v>
      </c>
      <c r="D12" s="557">
        <v>0</v>
      </c>
      <c r="E12" s="556">
        <v>0</v>
      </c>
      <c r="F12" s="556">
        <v>0</v>
      </c>
      <c r="G12" s="558">
        <v>0</v>
      </c>
      <c r="H12" s="279"/>
    </row>
    <row r="13" spans="1:9">
      <c r="A13" s="83">
        <v>6</v>
      </c>
      <c r="B13" s="66" t="s">
        <v>221</v>
      </c>
      <c r="C13" s="556">
        <v>11157382.599999998</v>
      </c>
      <c r="D13" s="557">
        <v>0</v>
      </c>
      <c r="E13" s="556">
        <v>0</v>
      </c>
      <c r="F13" s="556">
        <v>5747849.3259999994</v>
      </c>
      <c r="G13" s="558">
        <v>5747849.3259999994</v>
      </c>
      <c r="H13" s="279">
        <f t="shared" ref="H13:H21" si="0">G13/(C13+E13)</f>
        <v>0.5151610850021402</v>
      </c>
    </row>
    <row r="14" spans="1:9">
      <c r="A14" s="83">
        <v>7</v>
      </c>
      <c r="B14" s="66" t="s">
        <v>73</v>
      </c>
      <c r="C14" s="556">
        <v>516984104.39327461</v>
      </c>
      <c r="D14" s="557">
        <v>79835832.830000013</v>
      </c>
      <c r="E14" s="556">
        <v>41834935.872000009</v>
      </c>
      <c r="F14" s="557">
        <v>558819040.26527464</v>
      </c>
      <c r="G14" s="559">
        <v>528324041.13652468</v>
      </c>
      <c r="H14" s="279">
        <f>G14/(C14+E14)</f>
        <v>0.94542956318332705</v>
      </c>
    </row>
    <row r="15" spans="1:9">
      <c r="A15" s="83">
        <v>8</v>
      </c>
      <c r="B15" s="66" t="s">
        <v>74</v>
      </c>
      <c r="C15" s="556">
        <v>290304294.76809657</v>
      </c>
      <c r="D15" s="557">
        <v>13400845.369999994</v>
      </c>
      <c r="E15" s="556">
        <v>6163436.4049999975</v>
      </c>
      <c r="F15" s="557">
        <v>222350798.3798224</v>
      </c>
      <c r="G15" s="559">
        <v>219672911.18482241</v>
      </c>
      <c r="H15" s="279">
        <f t="shared" si="0"/>
        <v>0.7409673569382953</v>
      </c>
    </row>
    <row r="16" spans="1:9">
      <c r="A16" s="83">
        <v>9</v>
      </c>
      <c r="B16" s="66" t="s">
        <v>75</v>
      </c>
      <c r="C16" s="556">
        <v>111147636.49714416</v>
      </c>
      <c r="D16" s="557">
        <v>1910196.8100000003</v>
      </c>
      <c r="E16" s="556">
        <v>1077455.9500000002</v>
      </c>
      <c r="F16" s="557">
        <v>39278782.356500454</v>
      </c>
      <c r="G16" s="559">
        <v>39278782.356500454</v>
      </c>
      <c r="H16" s="279">
        <f t="shared" si="0"/>
        <v>0.35</v>
      </c>
    </row>
    <row r="17" spans="1:8">
      <c r="A17" s="83">
        <v>10</v>
      </c>
      <c r="B17" s="66" t="s">
        <v>69</v>
      </c>
      <c r="C17" s="556">
        <v>9985408.2602791376</v>
      </c>
      <c r="D17" s="557">
        <v>0</v>
      </c>
      <c r="E17" s="556">
        <v>0</v>
      </c>
      <c r="F17" s="557">
        <v>9504952.563645741</v>
      </c>
      <c r="G17" s="559">
        <v>9504947.563645741</v>
      </c>
      <c r="H17" s="279">
        <f t="shared" si="0"/>
        <v>0.95188372031370849</v>
      </c>
    </row>
    <row r="18" spans="1:8">
      <c r="A18" s="83">
        <v>11</v>
      </c>
      <c r="B18" s="66" t="s">
        <v>70</v>
      </c>
      <c r="C18" s="556">
        <v>54178978.961203277</v>
      </c>
      <c r="D18" s="557">
        <v>0</v>
      </c>
      <c r="E18" s="556">
        <v>0</v>
      </c>
      <c r="F18" s="557">
        <v>63559623.412270591</v>
      </c>
      <c r="G18" s="559">
        <v>63357765.34227059</v>
      </c>
      <c r="H18" s="279">
        <f t="shared" si="0"/>
        <v>1.1694160088849237</v>
      </c>
    </row>
    <row r="19" spans="1:8">
      <c r="A19" s="83">
        <v>12</v>
      </c>
      <c r="B19" s="66" t="s">
        <v>71</v>
      </c>
      <c r="C19" s="556">
        <v>0</v>
      </c>
      <c r="D19" s="557">
        <v>0</v>
      </c>
      <c r="E19" s="556">
        <v>0</v>
      </c>
      <c r="F19" s="557">
        <v>0</v>
      </c>
      <c r="G19" s="559">
        <v>0</v>
      </c>
      <c r="H19" s="279"/>
    </row>
    <row r="20" spans="1:8">
      <c r="A20" s="83">
        <v>13</v>
      </c>
      <c r="B20" s="66" t="s">
        <v>72</v>
      </c>
      <c r="C20" s="556">
        <v>0</v>
      </c>
      <c r="D20" s="557">
        <v>0</v>
      </c>
      <c r="E20" s="556">
        <v>0</v>
      </c>
      <c r="F20" s="557">
        <v>0</v>
      </c>
      <c r="G20" s="559">
        <v>0</v>
      </c>
      <c r="H20" s="279"/>
    </row>
    <row r="21" spans="1:8">
      <c r="A21" s="83">
        <v>14</v>
      </c>
      <c r="B21" s="66" t="s">
        <v>249</v>
      </c>
      <c r="C21" s="556">
        <v>76828621.13000001</v>
      </c>
      <c r="D21" s="557">
        <v>0</v>
      </c>
      <c r="E21" s="556">
        <v>0</v>
      </c>
      <c r="F21" s="557">
        <v>38007323.952000014</v>
      </c>
      <c r="G21" s="559">
        <v>38007323.952000014</v>
      </c>
      <c r="H21" s="279">
        <f t="shared" si="0"/>
        <v>0.49470266930456375</v>
      </c>
    </row>
    <row r="22" spans="1:8" ht="13.5" thickBot="1">
      <c r="A22" s="147"/>
      <c r="B22" s="153" t="s">
        <v>68</v>
      </c>
      <c r="C22" s="560">
        <f>SUM(C8:C21)</f>
        <v>1365729835.2699981</v>
      </c>
      <c r="D22" s="265">
        <f>SUM(D8:D21)</f>
        <v>95146875.010000005</v>
      </c>
      <c r="E22" s="265">
        <f>SUM(E8:E21)</f>
        <v>49075828.227000013</v>
      </c>
      <c r="F22" s="265">
        <f>SUM(F8:F21)</f>
        <v>1064599290.0555139</v>
      </c>
      <c r="G22" s="265">
        <f>SUM(G8:G21)</f>
        <v>1031224540.661764</v>
      </c>
      <c r="H22" s="280">
        <f t="shared" ref="H22" si="1">IFERROR(G22/(C22+E22),"")</f>
        <v>0.72888069879001594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5" sqref="F25"/>
    </sheetView>
  </sheetViews>
  <sheetFormatPr defaultColWidth="9.140625" defaultRowHeight="12.75"/>
  <cols>
    <col min="1" max="1" width="10.5703125" style="1" bestFit="1" customWidth="1"/>
    <col min="2" max="2" width="104.140625" style="1" customWidth="1"/>
    <col min="3" max="4" width="12.7109375" style="1" customWidth="1"/>
    <col min="5" max="5" width="13.5703125" style="1" bestFit="1" customWidth="1"/>
    <col min="6" max="11" width="12.7109375" style="1" customWidth="1"/>
    <col min="12" max="16384" width="9.140625" style="1"/>
  </cols>
  <sheetData>
    <row r="1" spans="1:11">
      <c r="A1" s="1" t="s">
        <v>188</v>
      </c>
      <c r="B1" s="1" t="str">
        <f>Info!C2</f>
        <v>ს.ს. "ტერაბანკი"</v>
      </c>
    </row>
    <row r="2" spans="1:11">
      <c r="A2" s="1" t="s">
        <v>189</v>
      </c>
      <c r="B2" s="436">
        <f>'1. key ratios'!B2</f>
        <v>44651</v>
      </c>
    </row>
    <row r="4" spans="1:11" ht="13.5" thickBot="1">
      <c r="A4" s="1" t="s">
        <v>395</v>
      </c>
      <c r="B4" s="52" t="s">
        <v>394</v>
      </c>
    </row>
    <row r="5" spans="1:11" ht="30" customHeight="1">
      <c r="A5" s="666"/>
      <c r="B5" s="667"/>
      <c r="C5" s="664" t="s">
        <v>426</v>
      </c>
      <c r="D5" s="664"/>
      <c r="E5" s="664"/>
      <c r="F5" s="664" t="s">
        <v>427</v>
      </c>
      <c r="G5" s="664"/>
      <c r="H5" s="664"/>
      <c r="I5" s="664" t="s">
        <v>428</v>
      </c>
      <c r="J5" s="664"/>
      <c r="K5" s="665"/>
    </row>
    <row r="6" spans="1:11">
      <c r="A6" s="307"/>
      <c r="B6" s="308"/>
      <c r="C6" s="309" t="s">
        <v>27</v>
      </c>
      <c r="D6" s="309" t="s">
        <v>96</v>
      </c>
      <c r="E6" s="309" t="s">
        <v>68</v>
      </c>
      <c r="F6" s="309" t="s">
        <v>27</v>
      </c>
      <c r="G6" s="309" t="s">
        <v>96</v>
      </c>
      <c r="H6" s="309" t="s">
        <v>68</v>
      </c>
      <c r="I6" s="309" t="s">
        <v>27</v>
      </c>
      <c r="J6" s="309" t="s">
        <v>96</v>
      </c>
      <c r="K6" s="310" t="s">
        <v>68</v>
      </c>
    </row>
    <row r="7" spans="1:11">
      <c r="A7" s="311" t="s">
        <v>374</v>
      </c>
      <c r="B7" s="306"/>
      <c r="C7" s="561"/>
      <c r="D7" s="561"/>
      <c r="E7" s="561"/>
      <c r="F7" s="561"/>
      <c r="G7" s="561"/>
      <c r="H7" s="561"/>
      <c r="I7" s="561"/>
      <c r="J7" s="561"/>
      <c r="K7" s="562"/>
    </row>
    <row r="8" spans="1:11">
      <c r="A8" s="305">
        <v>1</v>
      </c>
      <c r="B8" s="286" t="s">
        <v>374</v>
      </c>
      <c r="C8" s="563"/>
      <c r="D8" s="563"/>
      <c r="E8" s="563"/>
      <c r="F8" s="564">
        <v>74490703.355885655</v>
      </c>
      <c r="G8" s="564">
        <v>177087947.6116285</v>
      </c>
      <c r="H8" s="564">
        <v>251578650.96751416</v>
      </c>
      <c r="I8" s="564">
        <v>67354110.415115044</v>
      </c>
      <c r="J8" s="564">
        <v>156049660.29306218</v>
      </c>
      <c r="K8" s="565">
        <v>223403770.70817724</v>
      </c>
    </row>
    <row r="9" spans="1:11">
      <c r="A9" s="311" t="s">
        <v>375</v>
      </c>
      <c r="B9" s="306"/>
      <c r="C9" s="561"/>
      <c r="D9" s="561"/>
      <c r="E9" s="561"/>
      <c r="F9" s="561"/>
      <c r="G9" s="561"/>
      <c r="H9" s="561"/>
      <c r="I9" s="561"/>
      <c r="J9" s="561"/>
      <c r="K9" s="562"/>
    </row>
    <row r="10" spans="1:11">
      <c r="A10" s="312">
        <v>2</v>
      </c>
      <c r="B10" s="287" t="s">
        <v>376</v>
      </c>
      <c r="C10" s="464">
        <v>80312468.84187004</v>
      </c>
      <c r="D10" s="566">
        <v>325738052.49881178</v>
      </c>
      <c r="E10" s="566">
        <v>406050521.34068179</v>
      </c>
      <c r="F10" s="566">
        <v>13100424.995009443</v>
      </c>
      <c r="G10" s="566">
        <v>64417837.258835256</v>
      </c>
      <c r="H10" s="566">
        <v>77518262.253844693</v>
      </c>
      <c r="I10" s="566">
        <v>3170593.9256088426</v>
      </c>
      <c r="J10" s="566">
        <v>13740007.45048612</v>
      </c>
      <c r="K10" s="567">
        <v>16910601.376094963</v>
      </c>
    </row>
    <row r="11" spans="1:11">
      <c r="A11" s="312">
        <v>3</v>
      </c>
      <c r="B11" s="287" t="s">
        <v>377</v>
      </c>
      <c r="C11" s="464">
        <v>256246248.20547059</v>
      </c>
      <c r="D11" s="566">
        <v>327039877.44348627</v>
      </c>
      <c r="E11" s="566">
        <v>583286125.64895689</v>
      </c>
      <c r="F11" s="566">
        <v>71071388.663371995</v>
      </c>
      <c r="G11" s="566">
        <v>72237848.048942119</v>
      </c>
      <c r="H11" s="566">
        <v>143309236.71231413</v>
      </c>
      <c r="I11" s="566">
        <v>62042145.190887786</v>
      </c>
      <c r="J11" s="566">
        <v>59096325.319725111</v>
      </c>
      <c r="K11" s="567">
        <v>121138470.51061291</v>
      </c>
    </row>
    <row r="12" spans="1:11">
      <c r="A12" s="312">
        <v>4</v>
      </c>
      <c r="B12" s="287" t="s">
        <v>378</v>
      </c>
      <c r="C12" s="464">
        <v>123193778.8018433</v>
      </c>
      <c r="D12" s="566">
        <v>0</v>
      </c>
      <c r="E12" s="566">
        <v>123193778.8018433</v>
      </c>
      <c r="F12" s="566">
        <v>0</v>
      </c>
      <c r="G12" s="566">
        <v>0</v>
      </c>
      <c r="H12" s="566">
        <v>0</v>
      </c>
      <c r="I12" s="566">
        <v>0</v>
      </c>
      <c r="J12" s="566">
        <v>0</v>
      </c>
      <c r="K12" s="567">
        <v>0</v>
      </c>
    </row>
    <row r="13" spans="1:11">
      <c r="A13" s="312">
        <v>5</v>
      </c>
      <c r="B13" s="287" t="s">
        <v>379</v>
      </c>
      <c r="C13" s="464">
        <v>65902711.646032251</v>
      </c>
      <c r="D13" s="566">
        <v>100382370.3412489</v>
      </c>
      <c r="E13" s="566">
        <v>166285081.98728114</v>
      </c>
      <c r="F13" s="566">
        <v>13546030.709681205</v>
      </c>
      <c r="G13" s="566">
        <v>70477665.642086014</v>
      </c>
      <c r="H13" s="566">
        <v>84023696.351767212</v>
      </c>
      <c r="I13" s="566">
        <v>7844902.3069921788</v>
      </c>
      <c r="J13" s="566">
        <v>67267207.868634805</v>
      </c>
      <c r="K13" s="567">
        <v>75112110.175626978</v>
      </c>
    </row>
    <row r="14" spans="1:11">
      <c r="A14" s="312">
        <v>6</v>
      </c>
      <c r="B14" s="287" t="s">
        <v>393</v>
      </c>
      <c r="C14" s="464">
        <v>8897893.1714334376</v>
      </c>
      <c r="D14" s="566">
        <v>8943417.0127341077</v>
      </c>
      <c r="E14" s="566">
        <v>17841310.184167545</v>
      </c>
      <c r="F14" s="566">
        <v>0</v>
      </c>
      <c r="G14" s="566">
        <v>0</v>
      </c>
      <c r="H14" s="566">
        <v>0</v>
      </c>
      <c r="I14" s="566">
        <v>0</v>
      </c>
      <c r="J14" s="566">
        <v>0</v>
      </c>
      <c r="K14" s="567">
        <v>0</v>
      </c>
    </row>
    <row r="15" spans="1:11">
      <c r="A15" s="312">
        <v>7</v>
      </c>
      <c r="B15" s="287" t="s">
        <v>380</v>
      </c>
      <c r="C15" s="464">
        <v>6922018.4889915548</v>
      </c>
      <c r="D15" s="566">
        <v>6348661.6651797798</v>
      </c>
      <c r="E15" s="566">
        <v>13270680.154171335</v>
      </c>
      <c r="F15" s="566">
        <v>2293886.9771612906</v>
      </c>
      <c r="G15" s="566">
        <v>3154288.5434961957</v>
      </c>
      <c r="H15" s="566">
        <v>5448175.5206574863</v>
      </c>
      <c r="I15" s="566">
        <v>2293886.9771612906</v>
      </c>
      <c r="J15" s="566">
        <v>3154288.5434961957</v>
      </c>
      <c r="K15" s="567">
        <v>5448175.5206574863</v>
      </c>
    </row>
    <row r="16" spans="1:11">
      <c r="A16" s="312">
        <v>8</v>
      </c>
      <c r="B16" s="288" t="s">
        <v>381</v>
      </c>
      <c r="C16" s="464">
        <v>541475119.1556412</v>
      </c>
      <c r="D16" s="566">
        <v>768452378.96146071</v>
      </c>
      <c r="E16" s="566">
        <v>1309927498.1171019</v>
      </c>
      <c r="F16" s="566">
        <v>100011731.34522393</v>
      </c>
      <c r="G16" s="566">
        <v>210287639.49335957</v>
      </c>
      <c r="H16" s="566">
        <v>310299370.83858347</v>
      </c>
      <c r="I16" s="566">
        <v>75351528.400650099</v>
      </c>
      <c r="J16" s="566">
        <v>143257829.18234223</v>
      </c>
      <c r="K16" s="567">
        <v>218609357.58299232</v>
      </c>
    </row>
    <row r="17" spans="1:11">
      <c r="A17" s="311" t="s">
        <v>382</v>
      </c>
      <c r="B17" s="306"/>
      <c r="C17" s="561"/>
      <c r="D17" s="561"/>
      <c r="E17" s="561"/>
      <c r="F17" s="561"/>
      <c r="G17" s="561"/>
      <c r="H17" s="561"/>
      <c r="I17" s="561"/>
      <c r="J17" s="561"/>
      <c r="K17" s="562"/>
    </row>
    <row r="18" spans="1:11">
      <c r="A18" s="312">
        <v>9</v>
      </c>
      <c r="B18" s="287" t="s">
        <v>383</v>
      </c>
      <c r="C18" s="464">
        <v>0</v>
      </c>
      <c r="D18" s="566">
        <v>0</v>
      </c>
      <c r="E18" s="566">
        <v>0</v>
      </c>
      <c r="F18" s="566">
        <v>0</v>
      </c>
      <c r="G18" s="566">
        <v>0</v>
      </c>
      <c r="H18" s="566">
        <v>0</v>
      </c>
      <c r="I18" s="566">
        <v>0</v>
      </c>
      <c r="J18" s="566">
        <v>0</v>
      </c>
      <c r="K18" s="567">
        <v>0</v>
      </c>
    </row>
    <row r="19" spans="1:11">
      <c r="A19" s="312">
        <v>10</v>
      </c>
      <c r="B19" s="287" t="s">
        <v>384</v>
      </c>
      <c r="C19" s="464">
        <v>352842939.3475669</v>
      </c>
      <c r="D19" s="566">
        <v>436061381.48471791</v>
      </c>
      <c r="E19" s="566">
        <v>788904320.83228481</v>
      </c>
      <c r="F19" s="566">
        <v>16178463.164831158</v>
      </c>
      <c r="G19" s="566">
        <v>6172140.9208237324</v>
      </c>
      <c r="H19" s="566">
        <v>22350604.085654892</v>
      </c>
      <c r="I19" s="566">
        <v>23315056.105601769</v>
      </c>
      <c r="J19" s="566">
        <v>29312205.158024181</v>
      </c>
      <c r="K19" s="567">
        <v>52627261.26362595</v>
      </c>
    </row>
    <row r="20" spans="1:11">
      <c r="A20" s="312">
        <v>11</v>
      </c>
      <c r="B20" s="287" t="s">
        <v>385</v>
      </c>
      <c r="C20" s="464">
        <v>13893061.392885717</v>
      </c>
      <c r="D20" s="566">
        <v>72711787.893662572</v>
      </c>
      <c r="E20" s="566">
        <v>86604849.286548287</v>
      </c>
      <c r="F20" s="566">
        <v>6869876.2903529443</v>
      </c>
      <c r="G20" s="566">
        <v>68560295.169148058</v>
      </c>
      <c r="H20" s="566">
        <v>75430171.459500998</v>
      </c>
      <c r="I20" s="566">
        <v>6869876.2903529443</v>
      </c>
      <c r="J20" s="566">
        <v>68560295.169148058</v>
      </c>
      <c r="K20" s="567">
        <v>75430171.459500998</v>
      </c>
    </row>
    <row r="21" spans="1:11" ht="13.5" thickBot="1">
      <c r="A21" s="207">
        <v>12</v>
      </c>
      <c r="B21" s="313" t="s">
        <v>386</v>
      </c>
      <c r="C21" s="568">
        <v>366736000.74045265</v>
      </c>
      <c r="D21" s="569">
        <v>508773169.37838048</v>
      </c>
      <c r="E21" s="568">
        <v>875509170.11883307</v>
      </c>
      <c r="F21" s="569">
        <v>23048339.455184102</v>
      </c>
      <c r="G21" s="569">
        <v>74732436.089971796</v>
      </c>
      <c r="H21" s="569">
        <v>97780775.545155898</v>
      </c>
      <c r="I21" s="569">
        <v>30184932.395954713</v>
      </c>
      <c r="J21" s="569">
        <v>97872500.327172235</v>
      </c>
      <c r="K21" s="570">
        <v>128057432.72312695</v>
      </c>
    </row>
    <row r="22" spans="1:11" ht="38.25" customHeight="1" thickBot="1">
      <c r="A22" s="303"/>
      <c r="B22" s="304"/>
      <c r="C22" s="304"/>
      <c r="D22" s="304"/>
      <c r="E22" s="304"/>
      <c r="F22" s="663" t="s">
        <v>387</v>
      </c>
      <c r="G22" s="664"/>
      <c r="H22" s="664"/>
      <c r="I22" s="663" t="s">
        <v>388</v>
      </c>
      <c r="J22" s="664"/>
      <c r="K22" s="665"/>
    </row>
    <row r="23" spans="1:11">
      <c r="A23" s="294">
        <v>13</v>
      </c>
      <c r="B23" s="289" t="s">
        <v>374</v>
      </c>
      <c r="C23" s="302"/>
      <c r="D23" s="302"/>
      <c r="E23" s="302"/>
      <c r="F23" s="290">
        <v>74490703.355885655</v>
      </c>
      <c r="G23" s="290">
        <v>177087947.6116285</v>
      </c>
      <c r="H23" s="290">
        <v>251578650.96751416</v>
      </c>
      <c r="I23" s="290">
        <v>67354110.415115044</v>
      </c>
      <c r="J23" s="290">
        <v>156049660.29306218</v>
      </c>
      <c r="K23" s="295">
        <v>223403770.70817724</v>
      </c>
    </row>
    <row r="24" spans="1:11" ht="13.5" thickBot="1">
      <c r="A24" s="296">
        <v>14</v>
      </c>
      <c r="B24" s="291" t="s">
        <v>389</v>
      </c>
      <c r="C24" s="314"/>
      <c r="D24" s="300"/>
      <c r="E24" s="301"/>
      <c r="F24" s="292">
        <v>76963391.890039831</v>
      </c>
      <c r="G24" s="292">
        <v>135555203.40338778</v>
      </c>
      <c r="H24" s="292">
        <v>212518595.29342759</v>
      </c>
      <c r="I24" s="292">
        <v>45166596.004695386</v>
      </c>
      <c r="J24" s="292">
        <v>45385328.855169997</v>
      </c>
      <c r="K24" s="297">
        <v>90551924.859865367</v>
      </c>
    </row>
    <row r="25" spans="1:11" ht="13.5" thickBot="1">
      <c r="A25" s="298">
        <v>15</v>
      </c>
      <c r="B25" s="293" t="s">
        <v>390</v>
      </c>
      <c r="C25" s="299"/>
      <c r="D25" s="299"/>
      <c r="E25" s="299"/>
      <c r="F25" s="571">
        <v>0.9678718872254618</v>
      </c>
      <c r="G25" s="571">
        <v>1.3063898925712707</v>
      </c>
      <c r="H25" s="571">
        <v>1.1837959432216074</v>
      </c>
      <c r="I25" s="572">
        <v>1.4912372499382753</v>
      </c>
      <c r="J25" s="572">
        <v>3.4383282930709895</v>
      </c>
      <c r="K25" s="573">
        <v>2.467134420984515</v>
      </c>
    </row>
    <row r="28" spans="1:11" ht="38.25">
      <c r="B28" s="18" t="s">
        <v>425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7" sqref="C7:N21"/>
    </sheetView>
  </sheetViews>
  <sheetFormatPr defaultColWidth="9.140625" defaultRowHeight="15"/>
  <cols>
    <col min="1" max="1" width="10.5703125" style="61" bestFit="1" customWidth="1"/>
    <col min="2" max="2" width="95" style="61" customWidth="1"/>
    <col min="3" max="3" width="12.5703125" style="61" bestFit="1" customWidth="1"/>
    <col min="4" max="4" width="10" style="61" bestFit="1" customWidth="1"/>
    <col min="5" max="5" width="18.28515625" style="61" bestFit="1" customWidth="1"/>
    <col min="6" max="13" width="10.7109375" style="61" customWidth="1"/>
    <col min="14" max="14" width="31" style="61" bestFit="1" customWidth="1"/>
    <col min="15" max="16384" width="9.140625" style="9"/>
  </cols>
  <sheetData>
    <row r="1" spans="1:14">
      <c r="A1" s="1" t="s">
        <v>188</v>
      </c>
      <c r="B1" s="61" t="str">
        <f>Info!C2</f>
        <v>ს.ს. "ტერაბანკი"</v>
      </c>
    </row>
    <row r="2" spans="1:14" ht="14.25" customHeight="1">
      <c r="A2" s="61" t="s">
        <v>189</v>
      </c>
      <c r="B2" s="436">
        <f>'1. key ratios'!B2</f>
        <v>44651</v>
      </c>
    </row>
    <row r="3" spans="1:14" ht="14.25" customHeight="1"/>
    <row r="4" spans="1:14" ht="15.75" thickBot="1">
      <c r="A4" s="1" t="s">
        <v>341</v>
      </c>
      <c r="B4" s="85" t="s">
        <v>77</v>
      </c>
    </row>
    <row r="5" spans="1:14" s="20" customFormat="1" ht="12.75">
      <c r="A5" s="160"/>
      <c r="B5" s="161"/>
      <c r="C5" s="162" t="s">
        <v>0</v>
      </c>
      <c r="D5" s="162" t="s">
        <v>1</v>
      </c>
      <c r="E5" s="162" t="s">
        <v>2</v>
      </c>
      <c r="F5" s="162" t="s">
        <v>3</v>
      </c>
      <c r="G5" s="162" t="s">
        <v>4</v>
      </c>
      <c r="H5" s="162" t="s">
        <v>5</v>
      </c>
      <c r="I5" s="162" t="s">
        <v>238</v>
      </c>
      <c r="J5" s="162" t="s">
        <v>239</v>
      </c>
      <c r="K5" s="162" t="s">
        <v>240</v>
      </c>
      <c r="L5" s="162" t="s">
        <v>241</v>
      </c>
      <c r="M5" s="162" t="s">
        <v>242</v>
      </c>
      <c r="N5" s="163" t="s">
        <v>243</v>
      </c>
    </row>
    <row r="6" spans="1:14" ht="45">
      <c r="A6" s="154"/>
      <c r="B6" s="95"/>
      <c r="C6" s="96" t="s">
        <v>87</v>
      </c>
      <c r="D6" s="97" t="s">
        <v>76</v>
      </c>
      <c r="E6" s="98" t="s">
        <v>86</v>
      </c>
      <c r="F6" s="99">
        <v>0</v>
      </c>
      <c r="G6" s="99">
        <v>0.2</v>
      </c>
      <c r="H6" s="99">
        <v>0.35</v>
      </c>
      <c r="I6" s="99">
        <v>0.5</v>
      </c>
      <c r="J6" s="99">
        <v>0.75</v>
      </c>
      <c r="K6" s="99">
        <v>1</v>
      </c>
      <c r="L6" s="99">
        <v>1.5</v>
      </c>
      <c r="M6" s="99">
        <v>2.5</v>
      </c>
      <c r="N6" s="155" t="s">
        <v>77</v>
      </c>
    </row>
    <row r="7" spans="1:14">
      <c r="A7" s="156">
        <v>1</v>
      </c>
      <c r="B7" s="100" t="s">
        <v>78</v>
      </c>
      <c r="C7" s="270">
        <f>SUM(C8:C13)</f>
        <v>59792300</v>
      </c>
      <c r="D7" s="95"/>
      <c r="E7" s="576">
        <f t="shared" ref="E7:M7" si="0">SUM(E8:E13)</f>
        <v>1195846</v>
      </c>
      <c r="F7" s="576">
        <f>SUM(F8:F13)</f>
        <v>0</v>
      </c>
      <c r="G7" s="576">
        <f t="shared" si="0"/>
        <v>0</v>
      </c>
      <c r="H7" s="576">
        <f t="shared" si="0"/>
        <v>0</v>
      </c>
      <c r="I7" s="576">
        <f t="shared" si="0"/>
        <v>0</v>
      </c>
      <c r="J7" s="576">
        <f t="shared" si="0"/>
        <v>0</v>
      </c>
      <c r="K7" s="576">
        <f t="shared" si="0"/>
        <v>1195846</v>
      </c>
      <c r="L7" s="576">
        <f t="shared" si="0"/>
        <v>0</v>
      </c>
      <c r="M7" s="576">
        <f t="shared" si="0"/>
        <v>0</v>
      </c>
      <c r="N7" s="577">
        <f>SUM(N8:N13)</f>
        <v>1195846</v>
      </c>
    </row>
    <row r="8" spans="1:14">
      <c r="A8" s="156">
        <v>1.1000000000000001</v>
      </c>
      <c r="B8" s="101" t="s">
        <v>79</v>
      </c>
      <c r="C8" s="271">
        <v>59792300</v>
      </c>
      <c r="D8" s="102">
        <v>0.02</v>
      </c>
      <c r="E8" s="576">
        <f>C8*D8</f>
        <v>1195846</v>
      </c>
      <c r="F8" s="578">
        <v>0</v>
      </c>
      <c r="G8" s="578">
        <v>0</v>
      </c>
      <c r="H8" s="578">
        <v>0</v>
      </c>
      <c r="I8" s="578">
        <v>0</v>
      </c>
      <c r="J8" s="578">
        <v>0</v>
      </c>
      <c r="K8" s="578">
        <v>1195846</v>
      </c>
      <c r="L8" s="578">
        <v>0</v>
      </c>
      <c r="M8" s="578">
        <v>0</v>
      </c>
      <c r="N8" s="577">
        <f>SUMPRODUCT($F$6:$M$6,F8:M8)</f>
        <v>1195846</v>
      </c>
    </row>
    <row r="9" spans="1:14">
      <c r="A9" s="156">
        <v>1.2</v>
      </c>
      <c r="B9" s="101" t="s">
        <v>80</v>
      </c>
      <c r="C9" s="575">
        <v>0</v>
      </c>
      <c r="D9" s="102">
        <v>0.05</v>
      </c>
      <c r="E9" s="576">
        <f>C9*D9</f>
        <v>0</v>
      </c>
      <c r="F9" s="578">
        <v>0</v>
      </c>
      <c r="G9" s="578">
        <v>0</v>
      </c>
      <c r="H9" s="578">
        <v>0</v>
      </c>
      <c r="I9" s="578">
        <v>0</v>
      </c>
      <c r="J9" s="578">
        <v>0</v>
      </c>
      <c r="K9" s="578">
        <v>0</v>
      </c>
      <c r="L9" s="578">
        <v>0</v>
      </c>
      <c r="M9" s="578">
        <v>0</v>
      </c>
      <c r="N9" s="577">
        <f t="shared" ref="N9:N12" si="1">SUMPRODUCT($F$6:$M$6,F9:M9)</f>
        <v>0</v>
      </c>
    </row>
    <row r="10" spans="1:14">
      <c r="A10" s="156">
        <v>1.3</v>
      </c>
      <c r="B10" s="101" t="s">
        <v>81</v>
      </c>
      <c r="C10" s="575">
        <v>0</v>
      </c>
      <c r="D10" s="102">
        <v>0.08</v>
      </c>
      <c r="E10" s="576">
        <f>C10*D10</f>
        <v>0</v>
      </c>
      <c r="F10" s="578">
        <v>0</v>
      </c>
      <c r="G10" s="578">
        <v>0</v>
      </c>
      <c r="H10" s="578">
        <v>0</v>
      </c>
      <c r="I10" s="578">
        <v>0</v>
      </c>
      <c r="J10" s="578">
        <v>0</v>
      </c>
      <c r="K10" s="578">
        <v>0</v>
      </c>
      <c r="L10" s="578">
        <v>0</v>
      </c>
      <c r="M10" s="578">
        <v>0</v>
      </c>
      <c r="N10" s="577">
        <f>SUMPRODUCT($F$6:$M$6,F10:M10)</f>
        <v>0</v>
      </c>
    </row>
    <row r="11" spans="1:14">
      <c r="A11" s="156">
        <v>1.4</v>
      </c>
      <c r="B11" s="101" t="s">
        <v>82</v>
      </c>
      <c r="C11" s="575">
        <v>0</v>
      </c>
      <c r="D11" s="102">
        <v>0.11</v>
      </c>
      <c r="E11" s="576">
        <f>C11*D11</f>
        <v>0</v>
      </c>
      <c r="F11" s="578">
        <v>0</v>
      </c>
      <c r="G11" s="578">
        <v>0</v>
      </c>
      <c r="H11" s="578">
        <v>0</v>
      </c>
      <c r="I11" s="578">
        <v>0</v>
      </c>
      <c r="J11" s="578">
        <v>0</v>
      </c>
      <c r="K11" s="578">
        <v>0</v>
      </c>
      <c r="L11" s="578">
        <v>0</v>
      </c>
      <c r="M11" s="578">
        <v>0</v>
      </c>
      <c r="N11" s="577">
        <f t="shared" si="1"/>
        <v>0</v>
      </c>
    </row>
    <row r="12" spans="1:14">
      <c r="A12" s="156">
        <v>1.5</v>
      </c>
      <c r="B12" s="101" t="s">
        <v>83</v>
      </c>
      <c r="C12" s="575">
        <v>0</v>
      </c>
      <c r="D12" s="102">
        <v>0.14000000000000001</v>
      </c>
      <c r="E12" s="576">
        <f>C12*D12</f>
        <v>0</v>
      </c>
      <c r="F12" s="578">
        <v>0</v>
      </c>
      <c r="G12" s="578">
        <v>0</v>
      </c>
      <c r="H12" s="578">
        <v>0</v>
      </c>
      <c r="I12" s="578">
        <v>0</v>
      </c>
      <c r="J12" s="578">
        <v>0</v>
      </c>
      <c r="K12" s="578">
        <v>0</v>
      </c>
      <c r="L12" s="578">
        <v>0</v>
      </c>
      <c r="M12" s="578">
        <v>0</v>
      </c>
      <c r="N12" s="577">
        <f t="shared" si="1"/>
        <v>0</v>
      </c>
    </row>
    <row r="13" spans="1:14">
      <c r="A13" s="156">
        <v>1.6</v>
      </c>
      <c r="B13" s="103" t="s">
        <v>84</v>
      </c>
      <c r="C13" s="575">
        <v>0</v>
      </c>
      <c r="D13" s="104"/>
      <c r="E13" s="578"/>
      <c r="F13" s="578">
        <v>0</v>
      </c>
      <c r="G13" s="578">
        <v>0</v>
      </c>
      <c r="H13" s="578">
        <v>0</v>
      </c>
      <c r="I13" s="578">
        <v>0</v>
      </c>
      <c r="J13" s="578">
        <v>0</v>
      </c>
      <c r="K13" s="578">
        <v>0</v>
      </c>
      <c r="L13" s="578">
        <v>0</v>
      </c>
      <c r="M13" s="578">
        <v>0</v>
      </c>
      <c r="N13" s="577">
        <f>SUMPRODUCT($F$6:$M$6,F13:M13)</f>
        <v>0</v>
      </c>
    </row>
    <row r="14" spans="1:14">
      <c r="A14" s="156">
        <v>2</v>
      </c>
      <c r="B14" s="105" t="s">
        <v>85</v>
      </c>
      <c r="C14" s="574">
        <f>SUM(C15:C20)</f>
        <v>0</v>
      </c>
      <c r="D14" s="95"/>
      <c r="E14" s="576">
        <f t="shared" ref="E14:M14" si="2">SUM(E15:E20)</f>
        <v>0</v>
      </c>
      <c r="F14" s="578">
        <f t="shared" si="2"/>
        <v>0</v>
      </c>
      <c r="G14" s="578">
        <f t="shared" si="2"/>
        <v>0</v>
      </c>
      <c r="H14" s="578">
        <f t="shared" si="2"/>
        <v>0</v>
      </c>
      <c r="I14" s="578">
        <f t="shared" si="2"/>
        <v>0</v>
      </c>
      <c r="J14" s="578">
        <f t="shared" si="2"/>
        <v>0</v>
      </c>
      <c r="K14" s="578">
        <f t="shared" si="2"/>
        <v>0</v>
      </c>
      <c r="L14" s="578">
        <f t="shared" si="2"/>
        <v>0</v>
      </c>
      <c r="M14" s="578">
        <f t="shared" si="2"/>
        <v>0</v>
      </c>
      <c r="N14" s="577">
        <f>SUM(N15:N20)</f>
        <v>0</v>
      </c>
    </row>
    <row r="15" spans="1:14">
      <c r="A15" s="156">
        <v>2.1</v>
      </c>
      <c r="B15" s="103" t="s">
        <v>79</v>
      </c>
      <c r="C15" s="575">
        <v>0</v>
      </c>
      <c r="D15" s="102">
        <v>5.0000000000000001E-3</v>
      </c>
      <c r="E15" s="576">
        <f>C15*D15</f>
        <v>0</v>
      </c>
      <c r="F15" s="578">
        <v>0</v>
      </c>
      <c r="G15" s="578">
        <v>0</v>
      </c>
      <c r="H15" s="578">
        <v>0</v>
      </c>
      <c r="I15" s="578">
        <v>0</v>
      </c>
      <c r="J15" s="578">
        <v>0</v>
      </c>
      <c r="K15" s="578">
        <v>0</v>
      </c>
      <c r="L15" s="578">
        <v>0</v>
      </c>
      <c r="M15" s="578">
        <v>0</v>
      </c>
      <c r="N15" s="577">
        <f>SUMPRODUCT($F$6:$M$6,F15:M15)</f>
        <v>0</v>
      </c>
    </row>
    <row r="16" spans="1:14">
      <c r="A16" s="156">
        <v>2.2000000000000002</v>
      </c>
      <c r="B16" s="103" t="s">
        <v>80</v>
      </c>
      <c r="C16" s="575">
        <v>0</v>
      </c>
      <c r="D16" s="102">
        <v>0.01</v>
      </c>
      <c r="E16" s="576">
        <f>C16*D16</f>
        <v>0</v>
      </c>
      <c r="F16" s="578">
        <v>0</v>
      </c>
      <c r="G16" s="578">
        <v>0</v>
      </c>
      <c r="H16" s="578">
        <v>0</v>
      </c>
      <c r="I16" s="578">
        <v>0</v>
      </c>
      <c r="J16" s="578">
        <v>0</v>
      </c>
      <c r="K16" s="578">
        <v>0</v>
      </c>
      <c r="L16" s="578">
        <v>0</v>
      </c>
      <c r="M16" s="578">
        <v>0</v>
      </c>
      <c r="N16" s="577">
        <f t="shared" ref="N16:N20" si="3">SUMPRODUCT($F$6:$M$6,F16:M16)</f>
        <v>0</v>
      </c>
    </row>
    <row r="17" spans="1:14">
      <c r="A17" s="156">
        <v>2.2999999999999998</v>
      </c>
      <c r="B17" s="103" t="s">
        <v>81</v>
      </c>
      <c r="C17" s="575">
        <v>0</v>
      </c>
      <c r="D17" s="102">
        <v>0.02</v>
      </c>
      <c r="E17" s="576">
        <f>C17*D17</f>
        <v>0</v>
      </c>
      <c r="F17" s="578">
        <v>0</v>
      </c>
      <c r="G17" s="578">
        <v>0</v>
      </c>
      <c r="H17" s="578">
        <v>0</v>
      </c>
      <c r="I17" s="578">
        <v>0</v>
      </c>
      <c r="J17" s="578">
        <v>0</v>
      </c>
      <c r="K17" s="578">
        <v>0</v>
      </c>
      <c r="L17" s="578">
        <v>0</v>
      </c>
      <c r="M17" s="578">
        <v>0</v>
      </c>
      <c r="N17" s="577">
        <f t="shared" si="3"/>
        <v>0</v>
      </c>
    </row>
    <row r="18" spans="1:14">
      <c r="A18" s="156">
        <v>2.4</v>
      </c>
      <c r="B18" s="103" t="s">
        <v>82</v>
      </c>
      <c r="C18" s="575">
        <v>0</v>
      </c>
      <c r="D18" s="102">
        <v>0.03</v>
      </c>
      <c r="E18" s="576">
        <f>C18*D18</f>
        <v>0</v>
      </c>
      <c r="F18" s="578">
        <v>0</v>
      </c>
      <c r="G18" s="578">
        <v>0</v>
      </c>
      <c r="H18" s="578">
        <v>0</v>
      </c>
      <c r="I18" s="578">
        <v>0</v>
      </c>
      <c r="J18" s="578">
        <v>0</v>
      </c>
      <c r="K18" s="578">
        <v>0</v>
      </c>
      <c r="L18" s="578">
        <v>0</v>
      </c>
      <c r="M18" s="578">
        <v>0</v>
      </c>
      <c r="N18" s="577">
        <f t="shared" si="3"/>
        <v>0</v>
      </c>
    </row>
    <row r="19" spans="1:14">
      <c r="A19" s="156">
        <v>2.5</v>
      </c>
      <c r="B19" s="103" t="s">
        <v>83</v>
      </c>
      <c r="C19" s="575">
        <v>0</v>
      </c>
      <c r="D19" s="102">
        <v>0.04</v>
      </c>
      <c r="E19" s="576">
        <f>C19*D19</f>
        <v>0</v>
      </c>
      <c r="F19" s="578">
        <v>0</v>
      </c>
      <c r="G19" s="578">
        <v>0</v>
      </c>
      <c r="H19" s="578">
        <v>0</v>
      </c>
      <c r="I19" s="578">
        <v>0</v>
      </c>
      <c r="J19" s="578">
        <v>0</v>
      </c>
      <c r="K19" s="578">
        <v>0</v>
      </c>
      <c r="L19" s="578">
        <v>0</v>
      </c>
      <c r="M19" s="578">
        <v>0</v>
      </c>
      <c r="N19" s="577">
        <f t="shared" si="3"/>
        <v>0</v>
      </c>
    </row>
    <row r="20" spans="1:14">
      <c r="A20" s="156">
        <v>2.6</v>
      </c>
      <c r="B20" s="103" t="s">
        <v>84</v>
      </c>
      <c r="C20" s="575">
        <v>0</v>
      </c>
      <c r="D20" s="104"/>
      <c r="E20" s="579"/>
      <c r="F20" s="578">
        <v>0</v>
      </c>
      <c r="G20" s="578">
        <v>0</v>
      </c>
      <c r="H20" s="578">
        <v>0</v>
      </c>
      <c r="I20" s="578">
        <v>0</v>
      </c>
      <c r="J20" s="578">
        <v>0</v>
      </c>
      <c r="K20" s="578">
        <v>0</v>
      </c>
      <c r="L20" s="578">
        <v>0</v>
      </c>
      <c r="M20" s="578">
        <v>0</v>
      </c>
      <c r="N20" s="577">
        <f t="shared" si="3"/>
        <v>0</v>
      </c>
    </row>
    <row r="21" spans="1:14" ht="15.75" thickBot="1">
      <c r="A21" s="157">
        <v>3</v>
      </c>
      <c r="B21" s="158" t="s">
        <v>68</v>
      </c>
      <c r="C21" s="272">
        <f>C14+C7</f>
        <v>59792300</v>
      </c>
      <c r="D21" s="159"/>
      <c r="E21" s="580">
        <f>E14+E7</f>
        <v>1195846</v>
      </c>
      <c r="F21" s="581">
        <f>F7+F14</f>
        <v>0</v>
      </c>
      <c r="G21" s="581">
        <f t="shared" ref="G21:L21" si="4">G7+G14</f>
        <v>0</v>
      </c>
      <c r="H21" s="581">
        <f t="shared" si="4"/>
        <v>0</v>
      </c>
      <c r="I21" s="581">
        <f t="shared" si="4"/>
        <v>0</v>
      </c>
      <c r="J21" s="581">
        <f t="shared" si="4"/>
        <v>0</v>
      </c>
      <c r="K21" s="581">
        <f t="shared" si="4"/>
        <v>1195846</v>
      </c>
      <c r="L21" s="581">
        <f t="shared" si="4"/>
        <v>0</v>
      </c>
      <c r="M21" s="581">
        <f>M7+M14</f>
        <v>0</v>
      </c>
      <c r="N21" s="582">
        <f>N14+N7</f>
        <v>1195846</v>
      </c>
    </row>
    <row r="22" spans="1:14">
      <c r="E22" s="273"/>
      <c r="F22" s="273"/>
      <c r="G22" s="273"/>
      <c r="H22" s="273"/>
      <c r="I22" s="273"/>
      <c r="J22" s="273"/>
      <c r="K22" s="273"/>
      <c r="L22" s="273"/>
      <c r="M22" s="27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13" workbookViewId="0">
      <selection activeCell="C6" sqref="C6:C41"/>
    </sheetView>
  </sheetViews>
  <sheetFormatPr defaultRowHeight="15"/>
  <cols>
    <col min="1" max="1" width="11.42578125" customWidth="1"/>
    <col min="2" max="2" width="76.85546875" style="2" customWidth="1"/>
    <col min="3" max="3" width="22.85546875" customWidth="1"/>
  </cols>
  <sheetData>
    <row r="1" spans="1:3">
      <c r="A1" s="1" t="s">
        <v>188</v>
      </c>
      <c r="B1" t="str">
        <f>Info!C2</f>
        <v>ს.ს. "ტერაბანკი"</v>
      </c>
    </row>
    <row r="2" spans="1:3">
      <c r="A2" s="1" t="s">
        <v>189</v>
      </c>
      <c r="B2" s="436">
        <f>'1. key ratios'!B2</f>
        <v>44651</v>
      </c>
    </row>
    <row r="3" spans="1:3">
      <c r="A3" s="1"/>
      <c r="B3"/>
    </row>
    <row r="4" spans="1:3">
      <c r="A4" s="1" t="s">
        <v>470</v>
      </c>
      <c r="B4" t="s">
        <v>429</v>
      </c>
    </row>
    <row r="5" spans="1:3">
      <c r="A5" s="361"/>
      <c r="B5" s="361" t="s">
        <v>430</v>
      </c>
      <c r="C5" s="373"/>
    </row>
    <row r="6" spans="1:3">
      <c r="A6" s="362">
        <v>1</v>
      </c>
      <c r="B6" s="374" t="s">
        <v>482</v>
      </c>
      <c r="C6" s="375">
        <v>1353962011.9599977</v>
      </c>
    </row>
    <row r="7" spans="1:3">
      <c r="A7" s="362">
        <v>2</v>
      </c>
      <c r="B7" s="374" t="s">
        <v>431</v>
      </c>
      <c r="C7" s="375">
        <v>-23083279.309999995</v>
      </c>
    </row>
    <row r="8" spans="1:3">
      <c r="A8" s="363">
        <v>3</v>
      </c>
      <c r="B8" s="376" t="s">
        <v>432</v>
      </c>
      <c r="C8" s="377">
        <f>C6+C7</f>
        <v>1330878732.6499977</v>
      </c>
    </row>
    <row r="9" spans="1:3">
      <c r="A9" s="364"/>
      <c r="B9" s="364" t="s">
        <v>433</v>
      </c>
      <c r="C9" s="378"/>
    </row>
    <row r="10" spans="1:3">
      <c r="A10" s="365">
        <v>4</v>
      </c>
      <c r="B10" s="379" t="s">
        <v>434</v>
      </c>
      <c r="C10" s="375"/>
    </row>
    <row r="11" spans="1:3">
      <c r="A11" s="365">
        <v>5</v>
      </c>
      <c r="B11" s="380" t="s">
        <v>435</v>
      </c>
      <c r="C11" s="375"/>
    </row>
    <row r="12" spans="1:3">
      <c r="A12" s="365" t="s">
        <v>436</v>
      </c>
      <c r="B12" s="374" t="s">
        <v>437</v>
      </c>
      <c r="C12" s="377">
        <f>'15. CCR'!E21</f>
        <v>1195846</v>
      </c>
    </row>
    <row r="13" spans="1:3">
      <c r="A13" s="366">
        <v>6</v>
      </c>
      <c r="B13" s="381" t="s">
        <v>438</v>
      </c>
      <c r="C13" s="375"/>
    </row>
    <row r="14" spans="1:3">
      <c r="A14" s="366">
        <v>7</v>
      </c>
      <c r="B14" s="382" t="s">
        <v>439</v>
      </c>
      <c r="C14" s="375"/>
    </row>
    <row r="15" spans="1:3">
      <c r="A15" s="367">
        <v>8</v>
      </c>
      <c r="B15" s="374" t="s">
        <v>440</v>
      </c>
      <c r="C15" s="375"/>
    </row>
    <row r="16" spans="1:3" ht="24">
      <c r="A16" s="366">
        <v>9</v>
      </c>
      <c r="B16" s="382" t="s">
        <v>441</v>
      </c>
      <c r="C16" s="375"/>
    </row>
    <row r="17" spans="1:3">
      <c r="A17" s="366">
        <v>10</v>
      </c>
      <c r="B17" s="382" t="s">
        <v>442</v>
      </c>
      <c r="C17" s="375"/>
    </row>
    <row r="18" spans="1:3">
      <c r="A18" s="368">
        <v>11</v>
      </c>
      <c r="B18" s="383" t="s">
        <v>443</v>
      </c>
      <c r="C18" s="377">
        <f>SUM(C10:C17)</f>
        <v>1195846</v>
      </c>
    </row>
    <row r="19" spans="1:3">
      <c r="A19" s="364"/>
      <c r="B19" s="364" t="s">
        <v>444</v>
      </c>
      <c r="C19" s="384"/>
    </row>
    <row r="20" spans="1:3">
      <c r="A20" s="366">
        <v>12</v>
      </c>
      <c r="B20" s="379" t="s">
        <v>445</v>
      </c>
      <c r="C20" s="375"/>
    </row>
    <row r="21" spans="1:3">
      <c r="A21" s="366">
        <v>13</v>
      </c>
      <c r="B21" s="379" t="s">
        <v>446</v>
      </c>
      <c r="C21" s="375"/>
    </row>
    <row r="22" spans="1:3">
      <c r="A22" s="366">
        <v>14</v>
      </c>
      <c r="B22" s="379" t="s">
        <v>447</v>
      </c>
      <c r="C22" s="375"/>
    </row>
    <row r="23" spans="1:3" ht="24">
      <c r="A23" s="366" t="s">
        <v>448</v>
      </c>
      <c r="B23" s="379" t="s">
        <v>449</v>
      </c>
      <c r="C23" s="375"/>
    </row>
    <row r="24" spans="1:3">
      <c r="A24" s="366">
        <v>15</v>
      </c>
      <c r="B24" s="379" t="s">
        <v>450</v>
      </c>
      <c r="C24" s="375"/>
    </row>
    <row r="25" spans="1:3">
      <c r="A25" s="366" t="s">
        <v>451</v>
      </c>
      <c r="B25" s="374" t="s">
        <v>452</v>
      </c>
      <c r="C25" s="375"/>
    </row>
    <row r="26" spans="1:3">
      <c r="A26" s="368">
        <v>16</v>
      </c>
      <c r="B26" s="383" t="s">
        <v>453</v>
      </c>
      <c r="C26" s="377">
        <f>SUM(C20:C25)</f>
        <v>0</v>
      </c>
    </row>
    <row r="27" spans="1:3">
      <c r="A27" s="364"/>
      <c r="B27" s="364" t="s">
        <v>454</v>
      </c>
      <c r="C27" s="378"/>
    </row>
    <row r="28" spans="1:3">
      <c r="A28" s="365">
        <v>17</v>
      </c>
      <c r="B28" s="374" t="s">
        <v>455</v>
      </c>
      <c r="C28" s="375">
        <v>95146875.010000005</v>
      </c>
    </row>
    <row r="29" spans="1:3">
      <c r="A29" s="365">
        <v>18</v>
      </c>
      <c r="B29" s="374" t="s">
        <v>456</v>
      </c>
      <c r="C29" s="375">
        <v>-46071046.783000045</v>
      </c>
    </row>
    <row r="30" spans="1:3">
      <c r="A30" s="368">
        <v>19</v>
      </c>
      <c r="B30" s="383" t="s">
        <v>457</v>
      </c>
      <c r="C30" s="377">
        <f>C28+C29</f>
        <v>49075828.226999961</v>
      </c>
    </row>
    <row r="31" spans="1:3">
      <c r="A31" s="369"/>
      <c r="B31" s="364" t="s">
        <v>458</v>
      </c>
      <c r="C31" s="378"/>
    </row>
    <row r="32" spans="1:3">
      <c r="A32" s="365" t="s">
        <v>459</v>
      </c>
      <c r="B32" s="379" t="s">
        <v>460</v>
      </c>
      <c r="C32" s="385"/>
    </row>
    <row r="33" spans="1:3">
      <c r="A33" s="365" t="s">
        <v>461</v>
      </c>
      <c r="B33" s="380" t="s">
        <v>462</v>
      </c>
      <c r="C33" s="385"/>
    </row>
    <row r="34" spans="1:3">
      <c r="A34" s="364"/>
      <c r="B34" s="364" t="s">
        <v>463</v>
      </c>
      <c r="C34" s="378"/>
    </row>
    <row r="35" spans="1:3">
      <c r="A35" s="368">
        <v>20</v>
      </c>
      <c r="B35" s="383" t="s">
        <v>89</v>
      </c>
      <c r="C35" s="377">
        <f>'1. key ratios'!C9</f>
        <v>140360990.93000007</v>
      </c>
    </row>
    <row r="36" spans="1:3">
      <c r="A36" s="368">
        <v>21</v>
      </c>
      <c r="B36" s="383" t="s">
        <v>464</v>
      </c>
      <c r="C36" s="377">
        <f>C8+C18+C26+C30</f>
        <v>1381150406.8769977</v>
      </c>
    </row>
    <row r="37" spans="1:3">
      <c r="A37" s="370"/>
      <c r="B37" s="370" t="s">
        <v>429</v>
      </c>
      <c r="C37" s="378"/>
    </row>
    <row r="38" spans="1:3">
      <c r="A38" s="368">
        <v>22</v>
      </c>
      <c r="B38" s="383" t="s">
        <v>429</v>
      </c>
      <c r="C38" s="583">
        <f>IFERROR(C35/C36,0)</f>
        <v>0.10162614457565035</v>
      </c>
    </row>
    <row r="39" spans="1:3">
      <c r="A39" s="370"/>
      <c r="B39" s="370" t="s">
        <v>465</v>
      </c>
      <c r="C39" s="378"/>
    </row>
    <row r="40" spans="1:3">
      <c r="A40" s="371" t="s">
        <v>466</v>
      </c>
      <c r="B40" s="379" t="s">
        <v>467</v>
      </c>
      <c r="C40" s="385"/>
    </row>
    <row r="41" spans="1:3">
      <c r="A41" s="372" t="s">
        <v>468</v>
      </c>
      <c r="B41" s="380" t="s">
        <v>469</v>
      </c>
      <c r="C41" s="385"/>
    </row>
    <row r="43" spans="1:3">
      <c r="B43" s="399" t="s">
        <v>483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90" zoomScaleNormal="90" workbookViewId="0">
      <pane xSplit="2" ySplit="6" topLeftCell="C27" activePane="bottomRight" state="frozen"/>
      <selection activeCell="E1" sqref="E1"/>
      <selection pane="topRight" activeCell="E1" sqref="E1"/>
      <selection pane="bottomLeft" activeCell="E1" sqref="E1"/>
      <selection pane="bottomRight" activeCell="C8" sqref="C8:G39"/>
    </sheetView>
  </sheetViews>
  <sheetFormatPr defaultRowHeight="15"/>
  <cols>
    <col min="1" max="1" width="9.85546875" style="1" bestFit="1" customWidth="1"/>
    <col min="2" max="2" width="82.5703125" style="18" customWidth="1"/>
    <col min="3" max="7" width="17.5703125" style="1" customWidth="1"/>
  </cols>
  <sheetData>
    <row r="1" spans="1:7">
      <c r="A1" s="1" t="s">
        <v>188</v>
      </c>
      <c r="B1" s="1" t="str">
        <f>Info!C2</f>
        <v>ს.ს. "ტერაბანკი"</v>
      </c>
    </row>
    <row r="2" spans="1:7">
      <c r="A2" s="1" t="s">
        <v>189</v>
      </c>
      <c r="B2" s="436">
        <f>'1. key ratios'!B2</f>
        <v>44651</v>
      </c>
    </row>
    <row r="3" spans="1:7">
      <c r="B3" s="436"/>
    </row>
    <row r="4" spans="1:7" ht="15.75" thickBot="1">
      <c r="A4" s="1" t="s">
        <v>532</v>
      </c>
      <c r="B4" s="278" t="s">
        <v>497</v>
      </c>
    </row>
    <row r="5" spans="1:7">
      <c r="A5" s="440"/>
      <c r="B5" s="441"/>
      <c r="C5" s="668" t="s">
        <v>498</v>
      </c>
      <c r="D5" s="668"/>
      <c r="E5" s="668"/>
      <c r="F5" s="668"/>
      <c r="G5" s="669" t="s">
        <v>499</v>
      </c>
    </row>
    <row r="6" spans="1:7">
      <c r="A6" s="442"/>
      <c r="B6" s="443"/>
      <c r="C6" s="444" t="s">
        <v>500</v>
      </c>
      <c r="D6" s="444" t="s">
        <v>501</v>
      </c>
      <c r="E6" s="444" t="s">
        <v>502</v>
      </c>
      <c r="F6" s="444" t="s">
        <v>503</v>
      </c>
      <c r="G6" s="670"/>
    </row>
    <row r="7" spans="1:7">
      <c r="A7" s="445"/>
      <c r="B7" s="446" t="s">
        <v>504</v>
      </c>
      <c r="C7" s="447"/>
      <c r="D7" s="447"/>
      <c r="E7" s="447"/>
      <c r="F7" s="447"/>
      <c r="G7" s="448"/>
    </row>
    <row r="8" spans="1:7">
      <c r="A8" s="449">
        <v>1</v>
      </c>
      <c r="B8" s="450" t="s">
        <v>505</v>
      </c>
      <c r="C8" s="451">
        <f>SUM(C9:C10)</f>
        <v>140360990.93000007</v>
      </c>
      <c r="D8" s="451">
        <f>SUM(D9:D10)</f>
        <v>0</v>
      </c>
      <c r="E8" s="451">
        <f>SUM(E9:E10)</f>
        <v>0</v>
      </c>
      <c r="F8" s="451">
        <f>SUM(F9:F10)</f>
        <v>282744153.23990005</v>
      </c>
      <c r="G8" s="452">
        <f>SUM(G9:G10)</f>
        <v>423105144.16990018</v>
      </c>
    </row>
    <row r="9" spans="1:7">
      <c r="A9" s="449">
        <v>2</v>
      </c>
      <c r="B9" s="453" t="s">
        <v>88</v>
      </c>
      <c r="C9" s="451">
        <v>140360990.93000007</v>
      </c>
      <c r="D9" s="451">
        <v>0</v>
      </c>
      <c r="E9" s="451">
        <v>0</v>
      </c>
      <c r="F9" s="451">
        <v>48221373.770000003</v>
      </c>
      <c r="G9" s="452">
        <v>188582364.70000008</v>
      </c>
    </row>
    <row r="10" spans="1:7">
      <c r="A10" s="449">
        <v>3</v>
      </c>
      <c r="B10" s="453" t="s">
        <v>506</v>
      </c>
      <c r="C10" s="454"/>
      <c r="D10" s="454"/>
      <c r="E10" s="454"/>
      <c r="F10" s="451">
        <v>234522779.46990007</v>
      </c>
      <c r="G10" s="452">
        <v>234522779.46990007</v>
      </c>
    </row>
    <row r="11" spans="1:7" ht="26.25">
      <c r="A11" s="449">
        <v>4</v>
      </c>
      <c r="B11" s="450" t="s">
        <v>507</v>
      </c>
      <c r="C11" s="451">
        <f t="shared" ref="C11:F11" si="0">SUM(C12:C13)</f>
        <v>175098602.46889949</v>
      </c>
      <c r="D11" s="451">
        <f t="shared" si="0"/>
        <v>128783891.76900002</v>
      </c>
      <c r="E11" s="451">
        <f t="shared" si="0"/>
        <v>73024155.696800008</v>
      </c>
      <c r="F11" s="451">
        <f t="shared" si="0"/>
        <v>7629326.2295999993</v>
      </c>
      <c r="G11" s="452">
        <f>SUM(G12:G13)</f>
        <v>335338776.08185959</v>
      </c>
    </row>
    <row r="12" spans="1:7">
      <c r="A12" s="449">
        <v>5</v>
      </c>
      <c r="B12" s="453" t="s">
        <v>508</v>
      </c>
      <c r="C12" s="451">
        <v>134500984.49659953</v>
      </c>
      <c r="D12" s="455">
        <v>107504507.29230002</v>
      </c>
      <c r="E12" s="451">
        <v>68704612.195800006</v>
      </c>
      <c r="F12" s="451">
        <v>7224980.4590999996</v>
      </c>
      <c r="G12" s="452">
        <v>302038330.22160959</v>
      </c>
    </row>
    <row r="13" spans="1:7">
      <c r="A13" s="449">
        <v>6</v>
      </c>
      <c r="B13" s="453" t="s">
        <v>509</v>
      </c>
      <c r="C13" s="451">
        <v>40597617.972299978</v>
      </c>
      <c r="D13" s="455">
        <v>21279384.4767</v>
      </c>
      <c r="E13" s="451">
        <v>4319543.5010000002</v>
      </c>
      <c r="F13" s="451">
        <v>404345.77050000004</v>
      </c>
      <c r="G13" s="452">
        <v>33300445.860249989</v>
      </c>
    </row>
    <row r="14" spans="1:7">
      <c r="A14" s="449">
        <v>7</v>
      </c>
      <c r="B14" s="450" t="s">
        <v>510</v>
      </c>
      <c r="C14" s="451">
        <f t="shared" ref="C14:F14" si="1">SUM(C15:C16)</f>
        <v>273359161.12240005</v>
      </c>
      <c r="D14" s="451">
        <f t="shared" si="1"/>
        <v>170542394.50670001</v>
      </c>
      <c r="E14" s="451">
        <f t="shared" si="1"/>
        <v>58156800.29110001</v>
      </c>
      <c r="F14" s="451">
        <f t="shared" si="1"/>
        <v>230080.6</v>
      </c>
      <c r="G14" s="452">
        <f>SUM(G15:G16)</f>
        <v>172854966.16765004</v>
      </c>
    </row>
    <row r="15" spans="1:7" ht="51.75">
      <c r="A15" s="449">
        <v>8</v>
      </c>
      <c r="B15" s="453" t="s">
        <v>511</v>
      </c>
      <c r="C15" s="451">
        <v>262142159.05840003</v>
      </c>
      <c r="D15" s="455">
        <v>25180892.385799997</v>
      </c>
      <c r="E15" s="451">
        <v>22561800.126000002</v>
      </c>
      <c r="F15" s="451">
        <v>230080.6</v>
      </c>
      <c r="G15" s="452">
        <v>155057466.08510002</v>
      </c>
    </row>
    <row r="16" spans="1:7" ht="26.25">
      <c r="A16" s="449">
        <v>9</v>
      </c>
      <c r="B16" s="453" t="s">
        <v>512</v>
      </c>
      <c r="C16" s="451">
        <v>11217002.063999997</v>
      </c>
      <c r="D16" s="455">
        <v>145361502.12090001</v>
      </c>
      <c r="E16" s="451">
        <v>35595000.165100008</v>
      </c>
      <c r="F16" s="451">
        <v>0</v>
      </c>
      <c r="G16" s="452">
        <v>17797500.082550004</v>
      </c>
    </row>
    <row r="17" spans="1:7">
      <c r="A17" s="449">
        <v>10</v>
      </c>
      <c r="B17" s="450" t="s">
        <v>513</v>
      </c>
      <c r="C17" s="451">
        <v>0</v>
      </c>
      <c r="D17" s="455">
        <v>0</v>
      </c>
      <c r="E17" s="451">
        <v>0</v>
      </c>
      <c r="F17" s="451">
        <v>0</v>
      </c>
      <c r="G17" s="452">
        <v>0</v>
      </c>
    </row>
    <row r="18" spans="1:7">
      <c r="A18" s="449">
        <v>11</v>
      </c>
      <c r="B18" s="450" t="s">
        <v>95</v>
      </c>
      <c r="C18" s="451">
        <f>SUM(C19:C20)</f>
        <v>0</v>
      </c>
      <c r="D18" s="455">
        <f t="shared" ref="D18:G18" si="2">SUM(D19:D20)</f>
        <v>24585220.647399999</v>
      </c>
      <c r="E18" s="451">
        <f t="shared" si="2"/>
        <v>5030846.62</v>
      </c>
      <c r="F18" s="451">
        <f t="shared" si="2"/>
        <v>9810106.516900003</v>
      </c>
      <c r="G18" s="452">
        <f t="shared" si="2"/>
        <v>0</v>
      </c>
    </row>
    <row r="19" spans="1:7">
      <c r="A19" s="449">
        <v>12</v>
      </c>
      <c r="B19" s="453" t="s">
        <v>514</v>
      </c>
      <c r="C19" s="454"/>
      <c r="D19" s="455">
        <v>401966.48999999929</v>
      </c>
      <c r="E19" s="451">
        <v>0</v>
      </c>
      <c r="F19" s="451">
        <v>0</v>
      </c>
      <c r="G19" s="452">
        <v>0</v>
      </c>
    </row>
    <row r="20" spans="1:7" ht="26.25">
      <c r="A20" s="449">
        <v>13</v>
      </c>
      <c r="B20" s="453" t="s">
        <v>515</v>
      </c>
      <c r="C20" s="451">
        <v>0</v>
      </c>
      <c r="D20" s="451">
        <v>24183254.157400001</v>
      </c>
      <c r="E20" s="451">
        <v>5030846.62</v>
      </c>
      <c r="F20" s="451">
        <v>9810106.516900003</v>
      </c>
      <c r="G20" s="452">
        <v>0</v>
      </c>
    </row>
    <row r="21" spans="1:7">
      <c r="A21" s="456">
        <v>14</v>
      </c>
      <c r="B21" s="457" t="s">
        <v>516</v>
      </c>
      <c r="C21" s="454"/>
      <c r="D21" s="454"/>
      <c r="E21" s="454"/>
      <c r="F21" s="454"/>
      <c r="G21" s="458">
        <f>SUM(G8,G11,G14,G17,G18)</f>
        <v>931298886.41940975</v>
      </c>
    </row>
    <row r="22" spans="1:7">
      <c r="A22" s="459"/>
      <c r="B22" s="479" t="s">
        <v>517</v>
      </c>
      <c r="C22" s="460"/>
      <c r="D22" s="461"/>
      <c r="E22" s="460"/>
      <c r="F22" s="460"/>
      <c r="G22" s="462"/>
    </row>
    <row r="23" spans="1:7">
      <c r="A23" s="449">
        <v>15</v>
      </c>
      <c r="B23" s="450" t="s">
        <v>374</v>
      </c>
      <c r="C23" s="463" t="s">
        <v>765</v>
      </c>
      <c r="D23" s="464">
        <v>122206450</v>
      </c>
      <c r="E23" s="463">
        <v>0</v>
      </c>
      <c r="F23" s="463">
        <v>3470030.4</v>
      </c>
      <c r="G23" s="452">
        <v>13215754.629380001</v>
      </c>
    </row>
    <row r="24" spans="1:7">
      <c r="A24" s="449">
        <v>16</v>
      </c>
      <c r="B24" s="450" t="s">
        <v>518</v>
      </c>
      <c r="C24" s="451">
        <f>SUM(C25:C27,C29,C31)</f>
        <v>1142607.8868</v>
      </c>
      <c r="D24" s="455">
        <f t="shared" ref="D24:G24" si="3">SUM(D25:D27,D29,D31)</f>
        <v>226104264.54835385</v>
      </c>
      <c r="E24" s="451">
        <f t="shared" si="3"/>
        <v>143325997.123777</v>
      </c>
      <c r="F24" s="451">
        <f t="shared" si="3"/>
        <v>460813289.90293205</v>
      </c>
      <c r="G24" s="452">
        <f t="shared" si="3"/>
        <v>558402899.99516714</v>
      </c>
    </row>
    <row r="25" spans="1:7" ht="26.25">
      <c r="A25" s="449">
        <v>17</v>
      </c>
      <c r="B25" s="453" t="s">
        <v>519</v>
      </c>
      <c r="C25" s="451" t="s">
        <v>765</v>
      </c>
      <c r="D25" s="455">
        <v>0</v>
      </c>
      <c r="E25" s="451">
        <v>0</v>
      </c>
      <c r="F25" s="451">
        <v>0</v>
      </c>
      <c r="G25" s="452">
        <v>0</v>
      </c>
    </row>
    <row r="26" spans="1:7" ht="26.25">
      <c r="A26" s="449">
        <v>18</v>
      </c>
      <c r="B26" s="453" t="s">
        <v>520</v>
      </c>
      <c r="C26" s="451">
        <v>1142607.8868</v>
      </c>
      <c r="D26" s="455">
        <v>20928708.949999999</v>
      </c>
      <c r="E26" s="451">
        <v>1171062.1435658715</v>
      </c>
      <c r="F26" s="451">
        <v>985706.74591982516</v>
      </c>
      <c r="G26" s="452">
        <v>4881935.3432227615</v>
      </c>
    </row>
    <row r="27" spans="1:7">
      <c r="A27" s="449">
        <v>19</v>
      </c>
      <c r="B27" s="453" t="s">
        <v>521</v>
      </c>
      <c r="C27" s="451" t="s">
        <v>765</v>
      </c>
      <c r="D27" s="455">
        <v>0</v>
      </c>
      <c r="E27" s="451">
        <v>0</v>
      </c>
      <c r="F27" s="451">
        <v>0</v>
      </c>
      <c r="G27" s="452">
        <v>0</v>
      </c>
    </row>
    <row r="28" spans="1:7">
      <c r="A28" s="449">
        <v>20</v>
      </c>
      <c r="B28" s="465" t="s">
        <v>522</v>
      </c>
      <c r="C28" s="451">
        <v>0</v>
      </c>
      <c r="D28" s="455">
        <v>0</v>
      </c>
      <c r="E28" s="451">
        <v>0</v>
      </c>
      <c r="F28" s="451">
        <v>0</v>
      </c>
      <c r="G28" s="452">
        <v>0</v>
      </c>
    </row>
    <row r="29" spans="1:7">
      <c r="A29" s="449">
        <v>21</v>
      </c>
      <c r="B29" s="453" t="s">
        <v>523</v>
      </c>
      <c r="C29" s="451" t="s">
        <v>765</v>
      </c>
      <c r="D29" s="455">
        <v>204343629.57835385</v>
      </c>
      <c r="E29" s="451">
        <v>140799548.37021112</v>
      </c>
      <c r="F29" s="451">
        <v>450512783.67901224</v>
      </c>
      <c r="G29" s="452">
        <v>544509728.78064442</v>
      </c>
    </row>
    <row r="30" spans="1:7">
      <c r="A30" s="449">
        <v>22</v>
      </c>
      <c r="B30" s="465" t="s">
        <v>522</v>
      </c>
      <c r="C30" s="451">
        <v>0</v>
      </c>
      <c r="D30" s="455">
        <v>18150327.007194523</v>
      </c>
      <c r="E30" s="451">
        <v>14572146.865480855</v>
      </c>
      <c r="F30" s="451">
        <v>54988631.603992872</v>
      </c>
      <c r="G30" s="452">
        <v>52103847.478933059</v>
      </c>
    </row>
    <row r="31" spans="1:7" ht="26.25">
      <c r="A31" s="449">
        <v>23</v>
      </c>
      <c r="B31" s="453" t="s">
        <v>524</v>
      </c>
      <c r="C31" s="451" t="s">
        <v>765</v>
      </c>
      <c r="D31" s="455">
        <v>831926.0199999999</v>
      </c>
      <c r="E31" s="451">
        <v>1355386.6099999999</v>
      </c>
      <c r="F31" s="451">
        <v>9314799.4780000001</v>
      </c>
      <c r="G31" s="452">
        <v>9011235.8713000007</v>
      </c>
    </row>
    <row r="32" spans="1:7">
      <c r="A32" s="449">
        <v>24</v>
      </c>
      <c r="B32" s="450" t="s">
        <v>525</v>
      </c>
      <c r="C32" s="451">
        <v>0</v>
      </c>
      <c r="D32" s="455">
        <v>0</v>
      </c>
      <c r="E32" s="451">
        <v>0</v>
      </c>
      <c r="F32" s="451">
        <v>0</v>
      </c>
      <c r="G32" s="452">
        <v>0</v>
      </c>
    </row>
    <row r="33" spans="1:7">
      <c r="A33" s="449">
        <v>25</v>
      </c>
      <c r="B33" s="450" t="s">
        <v>165</v>
      </c>
      <c r="C33" s="451">
        <f>SUM(C34:C35)</f>
        <v>26835700.302844159</v>
      </c>
      <c r="D33" s="451">
        <f>SUM(D34:D35)</f>
        <v>452100</v>
      </c>
      <c r="E33" s="451">
        <f>SUM(E34:E35)</f>
        <v>0</v>
      </c>
      <c r="F33" s="451">
        <f>SUM(F34:F35)</f>
        <v>108992256.05157053</v>
      </c>
      <c r="G33" s="452">
        <f>SUM(G34:G35)</f>
        <v>136280056.3544147</v>
      </c>
    </row>
    <row r="34" spans="1:7">
      <c r="A34" s="449">
        <v>26</v>
      </c>
      <c r="B34" s="453" t="s">
        <v>526</v>
      </c>
      <c r="C34" s="454"/>
      <c r="D34" s="455">
        <v>452100</v>
      </c>
      <c r="E34" s="451">
        <v>0</v>
      </c>
      <c r="F34" s="451">
        <v>0</v>
      </c>
      <c r="G34" s="452">
        <v>452100</v>
      </c>
    </row>
    <row r="35" spans="1:7">
      <c r="A35" s="449">
        <v>27</v>
      </c>
      <c r="B35" s="453" t="s">
        <v>527</v>
      </c>
      <c r="C35" s="451">
        <v>26835700.302844159</v>
      </c>
      <c r="D35" s="455">
        <v>0</v>
      </c>
      <c r="E35" s="451">
        <v>0</v>
      </c>
      <c r="F35" s="451">
        <v>108992256.05157053</v>
      </c>
      <c r="G35" s="452">
        <v>135827956.3544147</v>
      </c>
    </row>
    <row r="36" spans="1:7">
      <c r="A36" s="449">
        <v>28</v>
      </c>
      <c r="B36" s="450" t="s">
        <v>528</v>
      </c>
      <c r="C36" s="451">
        <v>0</v>
      </c>
      <c r="D36" s="455">
        <v>36450136.814599991</v>
      </c>
      <c r="E36" s="451">
        <v>20609940.446500003</v>
      </c>
      <c r="F36" s="451">
        <v>36919923.550499991</v>
      </c>
      <c r="G36" s="452">
        <v>9034516.6336700022</v>
      </c>
    </row>
    <row r="37" spans="1:7">
      <c r="A37" s="456">
        <v>29</v>
      </c>
      <c r="B37" s="457" t="s">
        <v>529</v>
      </c>
      <c r="C37" s="454"/>
      <c r="D37" s="454"/>
      <c r="E37" s="454"/>
      <c r="F37" s="454"/>
      <c r="G37" s="458">
        <f>SUM(G23:G24,G32:G33,G36)</f>
        <v>716933227.6126318</v>
      </c>
    </row>
    <row r="38" spans="1:7">
      <c r="A38" s="445"/>
      <c r="B38" s="466"/>
      <c r="C38" s="467"/>
      <c r="D38" s="467"/>
      <c r="E38" s="467"/>
      <c r="F38" s="467"/>
      <c r="G38" s="468"/>
    </row>
    <row r="39" spans="1:7" ht="15.75" thickBot="1">
      <c r="A39" s="469">
        <v>30</v>
      </c>
      <c r="B39" s="470" t="s">
        <v>497</v>
      </c>
      <c r="C39" s="314"/>
      <c r="D39" s="300"/>
      <c r="E39" s="300"/>
      <c r="F39" s="471"/>
      <c r="G39" s="472">
        <f>IFERROR(G21/G37,0)</f>
        <v>1.2990036596861465</v>
      </c>
    </row>
    <row r="42" spans="1:7" ht="39">
      <c r="B42" s="18" t="s">
        <v>530</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G51"/>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RowHeight="15.75"/>
  <cols>
    <col min="1" max="1" width="9.5703125" style="15" bestFit="1" customWidth="1"/>
    <col min="2" max="2" width="88.42578125" style="13" customWidth="1"/>
    <col min="3" max="3" width="12.7109375" style="13" customWidth="1"/>
    <col min="4" max="7" width="12.7109375" style="1" customWidth="1"/>
    <col min="8" max="13" width="6.7109375" customWidth="1"/>
  </cols>
  <sheetData>
    <row r="1" spans="1:7">
      <c r="A1" s="14" t="s">
        <v>188</v>
      </c>
      <c r="B1" s="398" t="str">
        <f>Info!C2</f>
        <v>ს.ს. "ტერაბანკი"</v>
      </c>
    </row>
    <row r="2" spans="1:7">
      <c r="A2" s="14" t="s">
        <v>189</v>
      </c>
      <c r="B2" s="419">
        <v>44651</v>
      </c>
    </row>
    <row r="3" spans="1:7">
      <c r="A3" s="14"/>
    </row>
    <row r="4" spans="1:7" ht="16.5" thickBot="1">
      <c r="A4" s="62" t="s">
        <v>328</v>
      </c>
      <c r="B4" s="193" t="s">
        <v>223</v>
      </c>
      <c r="C4" s="194"/>
      <c r="D4" s="195"/>
      <c r="E4" s="195"/>
      <c r="F4" s="195"/>
      <c r="G4" s="195"/>
    </row>
    <row r="5" spans="1:7" ht="15">
      <c r="A5" s="282" t="s">
        <v>26</v>
      </c>
      <c r="B5" s="283"/>
      <c r="C5" s="420" t="str">
        <f>INT((MONTH($B$2))/3)&amp;"Q"&amp;"-"&amp;YEAR($B$2)</f>
        <v>1Q-2022</v>
      </c>
      <c r="D5" s="420" t="str">
        <f>IF(INT(MONTH($B$2))=3, "4"&amp;"Q"&amp;"-"&amp;YEAR($B$2)-1, IF(INT(MONTH($B$2))=6, "1"&amp;"Q"&amp;"-"&amp;YEAR($B$2), IF(INT(MONTH($B$2))=9, "2"&amp;"Q"&amp;"-"&amp;YEAR($B$2),IF(INT(MONTH($B$2))=12, "3"&amp;"Q"&amp;"-"&amp;YEAR($B$2), 0))))</f>
        <v>4Q-2021</v>
      </c>
      <c r="E5" s="420" t="str">
        <f>IF(INT(MONTH($B$2))=3, "3"&amp;"Q"&amp;"-"&amp;YEAR($B$2)-1, IF(INT(MONTH($B$2))=6, "4"&amp;"Q"&amp;"-"&amp;YEAR($B$2)-1, IF(INT(MONTH($B$2))=9, "1"&amp;"Q"&amp;"-"&amp;YEAR($B$2),IF(INT(MONTH($B$2))=12, "2"&amp;"Q"&amp;"-"&amp;YEAR($B$2), 0))))</f>
        <v>3Q-2021</v>
      </c>
      <c r="F5" s="420" t="str">
        <f>IF(INT(MONTH($B$2))=3, "2"&amp;"Q"&amp;"-"&amp;YEAR($B$2)-1, IF(INT(MONTH($B$2))=6, "3"&amp;"Q"&amp;"-"&amp;YEAR($B$2)-1, IF(INT(MONTH($B$2))=9, "4"&amp;"Q"&amp;"-"&amp;YEAR($B$2)-1,IF(INT(MONTH($B$2))=12, "1"&amp;"Q"&amp;"-"&amp;YEAR($B$2), 0))))</f>
        <v>2Q-2021</v>
      </c>
      <c r="G5" s="421" t="str">
        <f>IF(INT(MONTH($B$2))=3, "1"&amp;"Q"&amp;"-"&amp;YEAR($B$2)-1, IF(INT(MONTH($B$2))=6, "2"&amp;"Q"&amp;"-"&amp;YEAR($B$2)-1, IF(INT(MONTH($B$2))=9, "3"&amp;"Q"&amp;"-"&amp;YEAR($B$2)-1,IF(INT(MONTH($B$2))=12, "4"&amp;"Q"&amp;"-"&amp;YEAR($B$2)-1, 0))))</f>
        <v>1Q-2021</v>
      </c>
    </row>
    <row r="6" spans="1:7" ht="15">
      <c r="A6" s="422"/>
      <c r="B6" s="423" t="s">
        <v>186</v>
      </c>
      <c r="C6" s="284"/>
      <c r="D6" s="284"/>
      <c r="E6" s="284"/>
      <c r="F6" s="284"/>
      <c r="G6" s="285"/>
    </row>
    <row r="7" spans="1:7" ht="15">
      <c r="A7" s="422"/>
      <c r="B7" s="424" t="s">
        <v>190</v>
      </c>
      <c r="C7" s="284"/>
      <c r="D7" s="284"/>
      <c r="E7" s="284"/>
      <c r="F7" s="284"/>
      <c r="G7" s="285"/>
    </row>
    <row r="8" spans="1:7" ht="15">
      <c r="A8" s="402">
        <v>1</v>
      </c>
      <c r="B8" s="403" t="s">
        <v>23</v>
      </c>
      <c r="C8" s="425">
        <v>140360990.93000007</v>
      </c>
      <c r="D8" s="426">
        <v>132094165.61000001</v>
      </c>
      <c r="E8" s="426">
        <v>126061369.7900002</v>
      </c>
      <c r="F8" s="426">
        <v>117539309.89999998</v>
      </c>
      <c r="G8" s="427">
        <v>109621501.12000002</v>
      </c>
    </row>
    <row r="9" spans="1:7" ht="15">
      <c r="A9" s="402">
        <v>2</v>
      </c>
      <c r="B9" s="403" t="s">
        <v>89</v>
      </c>
      <c r="C9" s="425">
        <v>140360990.93000007</v>
      </c>
      <c r="D9" s="426">
        <v>132094165.61000001</v>
      </c>
      <c r="E9" s="426">
        <v>126061369.7900002</v>
      </c>
      <c r="F9" s="426">
        <v>117539309.89999998</v>
      </c>
      <c r="G9" s="427">
        <v>109621501.12000002</v>
      </c>
    </row>
    <row r="10" spans="1:7" ht="15">
      <c r="A10" s="402">
        <v>3</v>
      </c>
      <c r="B10" s="403" t="s">
        <v>88</v>
      </c>
      <c r="C10" s="425">
        <v>201487619.53327212</v>
      </c>
      <c r="D10" s="426">
        <v>179552613.19339192</v>
      </c>
      <c r="E10" s="426">
        <v>176153056.92921895</v>
      </c>
      <c r="F10" s="426">
        <v>170432591.27043557</v>
      </c>
      <c r="G10" s="427">
        <v>170706047.02025315</v>
      </c>
    </row>
    <row r="11" spans="1:7" ht="15">
      <c r="A11" s="402">
        <v>4</v>
      </c>
      <c r="B11" s="403" t="s">
        <v>488</v>
      </c>
      <c r="C11" s="425">
        <v>77085616.011116952</v>
      </c>
      <c r="D11" s="426">
        <v>68689810.285512358</v>
      </c>
      <c r="E11" s="426">
        <v>66305258.451731682</v>
      </c>
      <c r="F11" s="426">
        <v>67562888.890113622</v>
      </c>
      <c r="G11" s="427">
        <v>69721108.361561388</v>
      </c>
    </row>
    <row r="12" spans="1:7" ht="15">
      <c r="A12" s="402">
        <v>5</v>
      </c>
      <c r="B12" s="403" t="s">
        <v>489</v>
      </c>
      <c r="C12" s="425">
        <v>102814354.3737711</v>
      </c>
      <c r="D12" s="426">
        <v>91617361.803543657</v>
      </c>
      <c r="E12" s="426">
        <v>88437457.124031246</v>
      </c>
      <c r="F12" s="426">
        <v>90117179.82104367</v>
      </c>
      <c r="G12" s="427">
        <v>92997502.363803014</v>
      </c>
    </row>
    <row r="13" spans="1:7" ht="15">
      <c r="A13" s="402">
        <v>6</v>
      </c>
      <c r="B13" s="403" t="s">
        <v>490</v>
      </c>
      <c r="C13" s="425">
        <v>145652618.20997047</v>
      </c>
      <c r="D13" s="426">
        <v>141656270.31281644</v>
      </c>
      <c r="E13" s="426">
        <v>136699169.77684066</v>
      </c>
      <c r="F13" s="426">
        <v>139149563.60297608</v>
      </c>
      <c r="G13" s="427">
        <v>143690154.16358376</v>
      </c>
    </row>
    <row r="14" spans="1:7" ht="15">
      <c r="A14" s="422"/>
      <c r="B14" s="423" t="s">
        <v>492</v>
      </c>
      <c r="C14" s="284"/>
      <c r="D14" s="284"/>
      <c r="E14" s="284"/>
      <c r="F14" s="284"/>
      <c r="G14" s="285"/>
    </row>
    <row r="15" spans="1:7" ht="15" customHeight="1">
      <c r="A15" s="402">
        <v>7</v>
      </c>
      <c r="B15" s="403" t="s">
        <v>491</v>
      </c>
      <c r="C15" s="428">
        <v>1159483107.9255137</v>
      </c>
      <c r="D15" s="426">
        <v>1132332295.6451013</v>
      </c>
      <c r="E15" s="426">
        <v>1091463372.5874999</v>
      </c>
      <c r="F15" s="426">
        <v>1105639920.9348476</v>
      </c>
      <c r="G15" s="427">
        <v>1133530825.6302505</v>
      </c>
    </row>
    <row r="16" spans="1:7" ht="15">
      <c r="A16" s="422"/>
      <c r="B16" s="423" t="s">
        <v>496</v>
      </c>
      <c r="C16" s="284"/>
      <c r="D16" s="284"/>
      <c r="E16" s="284"/>
      <c r="F16" s="284"/>
      <c r="G16" s="285"/>
    </row>
    <row r="17" spans="1:7" ht="15">
      <c r="A17" s="402"/>
      <c r="B17" s="424" t="s">
        <v>477</v>
      </c>
      <c r="C17" s="284"/>
      <c r="D17" s="284"/>
      <c r="E17" s="284"/>
      <c r="F17" s="284"/>
      <c r="G17" s="285"/>
    </row>
    <row r="18" spans="1:7" ht="15">
      <c r="A18" s="402">
        <v>8</v>
      </c>
      <c r="B18" s="403" t="s">
        <v>486</v>
      </c>
      <c r="C18" s="437">
        <v>0.12105479585737698</v>
      </c>
      <c r="D18" s="438">
        <v>0.11665671474533421</v>
      </c>
      <c r="E18" s="438">
        <v>0.11549757230162497</v>
      </c>
      <c r="F18" s="438">
        <v>0.10630885125838926</v>
      </c>
      <c r="G18" s="439">
        <v>9.6708001795231077E-2</v>
      </c>
    </row>
    <row r="19" spans="1:7" ht="15" customHeight="1">
      <c r="A19" s="402">
        <v>9</v>
      </c>
      <c r="B19" s="403" t="s">
        <v>485</v>
      </c>
      <c r="C19" s="437">
        <v>0.12105479585737698</v>
      </c>
      <c r="D19" s="438">
        <v>0.11665671474533421</v>
      </c>
      <c r="E19" s="438">
        <v>0.11549757230162497</v>
      </c>
      <c r="F19" s="438">
        <v>0.10630885125838926</v>
      </c>
      <c r="G19" s="439">
        <v>9.6708001795231077E-2</v>
      </c>
    </row>
    <row r="20" spans="1:7" ht="15">
      <c r="A20" s="402">
        <v>10</v>
      </c>
      <c r="B20" s="403" t="s">
        <v>487</v>
      </c>
      <c r="C20" s="437">
        <v>0.1737736566889389</v>
      </c>
      <c r="D20" s="438">
        <v>0.15856883521201606</v>
      </c>
      <c r="E20" s="438">
        <v>0.1613916337949281</v>
      </c>
      <c r="F20" s="438">
        <v>0.15414836968470741</v>
      </c>
      <c r="G20" s="439">
        <v>0.15059673999190934</v>
      </c>
    </row>
    <row r="21" spans="1:7" ht="15">
      <c r="A21" s="402">
        <v>11</v>
      </c>
      <c r="B21" s="403" t="s">
        <v>488</v>
      </c>
      <c r="C21" s="437">
        <v>6.6482741735698486E-2</v>
      </c>
      <c r="D21" s="438">
        <v>6.0662237180455117E-2</v>
      </c>
      <c r="E21" s="438">
        <v>6.0748954217807391E-2</v>
      </c>
      <c r="F21" s="438">
        <v>6.110749766794548E-2</v>
      </c>
      <c r="G21" s="439">
        <v>6.1507906785680931E-2</v>
      </c>
    </row>
    <row r="22" spans="1:7" ht="15">
      <c r="A22" s="402">
        <v>12</v>
      </c>
      <c r="B22" s="403" t="s">
        <v>489</v>
      </c>
      <c r="C22" s="437">
        <v>8.8672576315252355E-2</v>
      </c>
      <c r="D22" s="438">
        <v>8.0910314185950433E-2</v>
      </c>
      <c r="E22" s="438">
        <v>8.1026500151237496E-2</v>
      </c>
      <c r="F22" s="438">
        <v>8.1506807157295136E-2</v>
      </c>
      <c r="G22" s="439">
        <v>8.2042323209071802E-2</v>
      </c>
    </row>
    <row r="23" spans="1:7" ht="15">
      <c r="A23" s="402">
        <v>13</v>
      </c>
      <c r="B23" s="403" t="s">
        <v>490</v>
      </c>
      <c r="C23" s="437">
        <v>0.1256185771180095</v>
      </c>
      <c r="D23" s="438">
        <v>0.12510132481217751</v>
      </c>
      <c r="E23" s="438">
        <v>0.12524393691083924</v>
      </c>
      <c r="F23" s="438">
        <v>0.12585432288418227</v>
      </c>
      <c r="G23" s="439">
        <v>0.126763340629657</v>
      </c>
    </row>
    <row r="24" spans="1:7" ht="15">
      <c r="A24" s="422"/>
      <c r="B24" s="423" t="s">
        <v>6</v>
      </c>
      <c r="C24" s="284"/>
      <c r="D24" s="284"/>
      <c r="E24" s="284"/>
      <c r="F24" s="284"/>
      <c r="G24" s="285"/>
    </row>
    <row r="25" spans="1:7" ht="15" customHeight="1">
      <c r="A25" s="429">
        <v>14</v>
      </c>
      <c r="B25" s="430" t="s">
        <v>7</v>
      </c>
      <c r="C25" s="533">
        <v>8.7629368918025183E-2</v>
      </c>
      <c r="D25" s="534">
        <v>8.1407699924392674E-2</v>
      </c>
      <c r="E25" s="534">
        <v>7.9673400568681094E-2</v>
      </c>
      <c r="F25" s="534">
        <v>7.7078535087239275E-2</v>
      </c>
      <c r="G25" s="535">
        <v>7.4064490838191596E-2</v>
      </c>
    </row>
    <row r="26" spans="1:7" ht="15">
      <c r="A26" s="429">
        <v>15</v>
      </c>
      <c r="B26" s="430" t="s">
        <v>8</v>
      </c>
      <c r="C26" s="533">
        <v>4.6258252485603363E-2</v>
      </c>
      <c r="D26" s="534">
        <v>4.2895664133038941E-2</v>
      </c>
      <c r="E26" s="534">
        <v>4.2108829354622609E-2</v>
      </c>
      <c r="F26" s="534">
        <v>4.1002177850396088E-2</v>
      </c>
      <c r="G26" s="535">
        <v>4.0413603449773502E-2</v>
      </c>
    </row>
    <row r="27" spans="1:7" ht="15">
      <c r="A27" s="429">
        <v>16</v>
      </c>
      <c r="B27" s="430" t="s">
        <v>9</v>
      </c>
      <c r="C27" s="533">
        <v>3.1613178582611791E-2</v>
      </c>
      <c r="D27" s="534">
        <v>2.3647321788586275E-2</v>
      </c>
      <c r="E27" s="534">
        <v>2.4470489234487754E-2</v>
      </c>
      <c r="F27" s="534">
        <v>2.254420603586782E-2</v>
      </c>
      <c r="G27" s="535">
        <v>2.3213757742185342E-2</v>
      </c>
    </row>
    <row r="28" spans="1:7" ht="15">
      <c r="A28" s="429">
        <v>17</v>
      </c>
      <c r="B28" s="430" t="s">
        <v>224</v>
      </c>
      <c r="C28" s="533">
        <v>4.1371116432421827E-2</v>
      </c>
      <c r="D28" s="534">
        <v>3.8512035791353726E-2</v>
      </c>
      <c r="E28" s="534">
        <v>3.756457121405847E-2</v>
      </c>
      <c r="F28" s="534">
        <v>3.6076357236843201E-2</v>
      </c>
      <c r="G28" s="535">
        <v>3.3650887388418087E-2</v>
      </c>
    </row>
    <row r="29" spans="1:7" ht="15">
      <c r="A29" s="429">
        <v>18</v>
      </c>
      <c r="B29" s="430" t="s">
        <v>10</v>
      </c>
      <c r="C29" s="533">
        <v>2.359717230241799E-2</v>
      </c>
      <c r="D29" s="534">
        <v>2.2684375095189592E-2</v>
      </c>
      <c r="E29" s="534">
        <v>2.4116924625292611E-2</v>
      </c>
      <c r="F29" s="534">
        <v>2.2942414711770685E-2</v>
      </c>
      <c r="G29" s="535">
        <v>2.1506716452464058E-2</v>
      </c>
    </row>
    <row r="30" spans="1:7" ht="15">
      <c r="A30" s="429">
        <v>19</v>
      </c>
      <c r="B30" s="430" t="s">
        <v>11</v>
      </c>
      <c r="C30" s="533">
        <v>0.19948786315211625</v>
      </c>
      <c r="D30" s="534">
        <v>0.21262853875767876</v>
      </c>
      <c r="E30" s="534">
        <v>0.23172308209424497</v>
      </c>
      <c r="F30" s="534">
        <v>0.22635155335517654</v>
      </c>
      <c r="G30" s="535">
        <v>0.21486129695823081</v>
      </c>
    </row>
    <row r="31" spans="1:7" ht="15">
      <c r="A31" s="422"/>
      <c r="B31" s="423" t="s">
        <v>12</v>
      </c>
      <c r="C31" s="284"/>
      <c r="D31" s="284"/>
      <c r="E31" s="284"/>
      <c r="F31" s="284"/>
      <c r="G31" s="285"/>
    </row>
    <row r="32" spans="1:7" ht="15">
      <c r="A32" s="429">
        <v>20</v>
      </c>
      <c r="B32" s="430" t="s">
        <v>13</v>
      </c>
      <c r="C32" s="533">
        <v>5.7773456518902901E-2</v>
      </c>
      <c r="D32" s="534">
        <v>5.9586424067900788E-2</v>
      </c>
      <c r="E32" s="534">
        <v>6.9173317370169463E-2</v>
      </c>
      <c r="F32" s="534">
        <v>6.8140105477074983E-2</v>
      </c>
      <c r="G32" s="535">
        <v>6.9921951460557394E-2</v>
      </c>
    </row>
    <row r="33" spans="1:7" ht="15" customHeight="1">
      <c r="A33" s="429">
        <v>21</v>
      </c>
      <c r="B33" s="430" t="s">
        <v>14</v>
      </c>
      <c r="C33" s="533">
        <v>4.9058974879818619E-2</v>
      </c>
      <c r="D33" s="534">
        <v>5.0474461513308665E-2</v>
      </c>
      <c r="E33" s="534">
        <v>5.4881063425804739E-2</v>
      </c>
      <c r="F33" s="534">
        <v>5.6147245315285484E-2</v>
      </c>
      <c r="G33" s="535">
        <v>5.7093094356388562E-2</v>
      </c>
    </row>
    <row r="34" spans="1:7" ht="15">
      <c r="A34" s="429">
        <v>22</v>
      </c>
      <c r="B34" s="430" t="s">
        <v>15</v>
      </c>
      <c r="C34" s="533">
        <v>0.53697496059372707</v>
      </c>
      <c r="D34" s="534">
        <v>0.54831104305934319</v>
      </c>
      <c r="E34" s="534">
        <v>0.56253793200296776</v>
      </c>
      <c r="F34" s="534">
        <v>0.59519210904633968</v>
      </c>
      <c r="G34" s="535">
        <v>0.63156852259791352</v>
      </c>
    </row>
    <row r="35" spans="1:7" ht="15" customHeight="1">
      <c r="A35" s="429">
        <v>23</v>
      </c>
      <c r="B35" s="430" t="s">
        <v>16</v>
      </c>
      <c r="C35" s="533">
        <v>0.49414954060062338</v>
      </c>
      <c r="D35" s="534">
        <v>0.52256613429798482</v>
      </c>
      <c r="E35" s="534">
        <v>0.53907638258451596</v>
      </c>
      <c r="F35" s="534">
        <v>0.55583691322547357</v>
      </c>
      <c r="G35" s="535">
        <v>0.61179124082426106</v>
      </c>
    </row>
    <row r="36" spans="1:7" ht="15">
      <c r="A36" s="429">
        <v>24</v>
      </c>
      <c r="B36" s="430" t="s">
        <v>17</v>
      </c>
      <c r="C36" s="533">
        <v>2.9696467801209134E-2</v>
      </c>
      <c r="D36" s="534">
        <v>4.8954349786696126E-2</v>
      </c>
      <c r="E36" s="534">
        <v>6.6499750621765831E-3</v>
      </c>
      <c r="F36" s="534">
        <v>2.4399238775824207E-2</v>
      </c>
      <c r="G36" s="535">
        <v>4.2016232781066878E-2</v>
      </c>
    </row>
    <row r="37" spans="1:7" ht="15" customHeight="1">
      <c r="A37" s="422"/>
      <c r="B37" s="423" t="s">
        <v>18</v>
      </c>
      <c r="C37" s="284"/>
      <c r="D37" s="284"/>
      <c r="E37" s="284"/>
      <c r="F37" s="284"/>
      <c r="G37" s="285"/>
    </row>
    <row r="38" spans="1:7" ht="15" customHeight="1">
      <c r="A38" s="429">
        <v>25</v>
      </c>
      <c r="B38" s="430" t="s">
        <v>19</v>
      </c>
      <c r="C38" s="533">
        <v>0.19558109810215574</v>
      </c>
      <c r="D38" s="533">
        <v>0.19024479559002699</v>
      </c>
      <c r="E38" s="533">
        <v>0.22084150666972671</v>
      </c>
      <c r="F38" s="533">
        <v>0.20821737052630823</v>
      </c>
      <c r="G38" s="536">
        <v>0.2216475924158256</v>
      </c>
    </row>
    <row r="39" spans="1:7" ht="15" customHeight="1">
      <c r="A39" s="429">
        <v>26</v>
      </c>
      <c r="B39" s="430" t="s">
        <v>20</v>
      </c>
      <c r="C39" s="533">
        <v>0.56675338994670166</v>
      </c>
      <c r="D39" s="533">
        <v>0.59388580922853151</v>
      </c>
      <c r="E39" s="533">
        <v>0.59417310265790146</v>
      </c>
      <c r="F39" s="533">
        <v>0.61261553221846121</v>
      </c>
      <c r="G39" s="536">
        <v>0.67300940590410796</v>
      </c>
    </row>
    <row r="40" spans="1:7" ht="15" customHeight="1">
      <c r="A40" s="429">
        <v>27</v>
      </c>
      <c r="B40" s="431" t="s">
        <v>21</v>
      </c>
      <c r="C40" s="533">
        <v>0.33051840558519974</v>
      </c>
      <c r="D40" s="533">
        <v>0.3595499817004702</v>
      </c>
      <c r="E40" s="533">
        <v>0.34842923736870068</v>
      </c>
      <c r="F40" s="533">
        <v>0.35948163206570921</v>
      </c>
      <c r="G40" s="536">
        <v>0.38331218429686859</v>
      </c>
    </row>
    <row r="41" spans="1:7" ht="15" customHeight="1">
      <c r="A41" s="435"/>
      <c r="B41" s="423" t="s">
        <v>398</v>
      </c>
      <c r="C41" s="284"/>
      <c r="D41" s="284"/>
      <c r="E41" s="284"/>
      <c r="F41" s="284"/>
      <c r="G41" s="285"/>
    </row>
    <row r="42" spans="1:7" ht="15" customHeight="1">
      <c r="A42" s="429">
        <v>28</v>
      </c>
      <c r="B42" s="478" t="s">
        <v>391</v>
      </c>
      <c r="C42" s="431">
        <v>251578650.96751416</v>
      </c>
      <c r="D42" s="431">
        <v>269668116.44944865</v>
      </c>
      <c r="E42" s="431">
        <v>289264032.8139711</v>
      </c>
      <c r="F42" s="431">
        <v>241639004.83403173</v>
      </c>
      <c r="G42" s="434">
        <v>220354395.05208892</v>
      </c>
    </row>
    <row r="43" spans="1:7" ht="15">
      <c r="A43" s="429">
        <v>29</v>
      </c>
      <c r="B43" s="430" t="s">
        <v>392</v>
      </c>
      <c r="C43" s="431">
        <v>212518595.29342759</v>
      </c>
      <c r="D43" s="432">
        <v>214239102.67260239</v>
      </c>
      <c r="E43" s="432">
        <v>240778295.8594408</v>
      </c>
      <c r="F43" s="432">
        <v>193745939.50013483</v>
      </c>
      <c r="G43" s="433">
        <v>160867671.24180427</v>
      </c>
    </row>
    <row r="44" spans="1:7" ht="15">
      <c r="A44" s="473">
        <v>30</v>
      </c>
      <c r="B44" s="474" t="s">
        <v>390</v>
      </c>
      <c r="C44" s="533">
        <v>1.1837959432216074</v>
      </c>
      <c r="D44" s="533">
        <v>1.2587250090453945</v>
      </c>
      <c r="E44" s="533">
        <v>1.2471951951997609</v>
      </c>
      <c r="F44" s="533">
        <v>1.3697866908315508</v>
      </c>
      <c r="G44" s="536">
        <v>1.4934462376281263</v>
      </c>
    </row>
    <row r="45" spans="1:7" ht="15">
      <c r="A45" s="473"/>
      <c r="B45" s="423" t="s">
        <v>497</v>
      </c>
      <c r="C45" s="284"/>
      <c r="D45" s="284"/>
      <c r="E45" s="284"/>
      <c r="F45" s="284"/>
      <c r="G45" s="285"/>
    </row>
    <row r="46" spans="1:7" ht="15">
      <c r="A46" s="473">
        <v>31</v>
      </c>
      <c r="B46" s="474" t="s">
        <v>504</v>
      </c>
      <c r="C46" s="475">
        <v>931298885.79999995</v>
      </c>
      <c r="D46" s="476">
        <v>880992061.38761473</v>
      </c>
      <c r="E46" s="476">
        <v>859381553.06921077</v>
      </c>
      <c r="F46" s="476">
        <v>863149939.6906848</v>
      </c>
      <c r="G46" s="477">
        <v>853169392.72288966</v>
      </c>
    </row>
    <row r="47" spans="1:7" ht="15">
      <c r="A47" s="473">
        <v>32</v>
      </c>
      <c r="B47" s="474" t="s">
        <v>517</v>
      </c>
      <c r="C47" s="475">
        <v>716933227.20000005</v>
      </c>
      <c r="D47" s="476">
        <v>692488034.19852245</v>
      </c>
      <c r="E47" s="476">
        <v>668514503.70425463</v>
      </c>
      <c r="F47" s="476">
        <v>679319083.87367308</v>
      </c>
      <c r="G47" s="477">
        <v>687992796.82591188</v>
      </c>
    </row>
    <row r="48" spans="1:7" thickBot="1">
      <c r="A48" s="111">
        <v>33</v>
      </c>
      <c r="B48" s="215" t="s">
        <v>531</v>
      </c>
      <c r="C48" s="537">
        <v>1.2990036595698182</v>
      </c>
      <c r="D48" s="538">
        <v>1.2722126851004214</v>
      </c>
      <c r="E48" s="538">
        <v>1.2087866153293625</v>
      </c>
      <c r="F48" s="538">
        <v>1.1924066597142136</v>
      </c>
      <c r="G48" s="539">
        <v>1.2136403845543222</v>
      </c>
    </row>
    <row r="49" spans="1:2">
      <c r="A49" s="16"/>
    </row>
    <row r="50" spans="1:2" ht="39.75">
      <c r="B50" s="18" t="s">
        <v>476</v>
      </c>
    </row>
    <row r="51" spans="1:2" ht="65.25">
      <c r="B51" s="330" t="s">
        <v>397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C8" sqref="C8:H22"/>
    </sheetView>
  </sheetViews>
  <sheetFormatPr defaultColWidth="9.140625" defaultRowHeight="12.75"/>
  <cols>
    <col min="1" max="1" width="11.85546875" style="481" bestFit="1" customWidth="1"/>
    <col min="2" max="2" width="105.140625" style="481" bestFit="1" customWidth="1"/>
    <col min="3" max="3" width="15.140625" style="481" bestFit="1" customWidth="1"/>
    <col min="4" max="6" width="12.5703125" style="481" bestFit="1" customWidth="1"/>
    <col min="7" max="7" width="26.7109375" style="481" bestFit="1" customWidth="1"/>
    <col min="8" max="8" width="14.28515625" style="481" bestFit="1" customWidth="1"/>
    <col min="9" max="16384" width="9.140625" style="481"/>
  </cols>
  <sheetData>
    <row r="1" spans="1:8">
      <c r="A1" s="480" t="s">
        <v>188</v>
      </c>
      <c r="B1" s="621" t="str">
        <f>'1. key ratios'!B1</f>
        <v>ს.ს. "ტერაბანკი"</v>
      </c>
    </row>
    <row r="2" spans="1:8">
      <c r="A2" s="480" t="s">
        <v>189</v>
      </c>
    </row>
    <row r="3" spans="1:8">
      <c r="A3" s="482" t="s">
        <v>533</v>
      </c>
      <c r="B3" s="483">
        <f>'1. key ratios'!B2</f>
        <v>44651</v>
      </c>
    </row>
    <row r="5" spans="1:8">
      <c r="A5" s="671" t="s">
        <v>534</v>
      </c>
      <c r="B5" s="672"/>
      <c r="C5" s="677" t="s">
        <v>535</v>
      </c>
      <c r="D5" s="678"/>
      <c r="E5" s="678"/>
      <c r="F5" s="678"/>
      <c r="G5" s="678"/>
      <c r="H5" s="679"/>
    </row>
    <row r="6" spans="1:8">
      <c r="A6" s="673"/>
      <c r="B6" s="674"/>
      <c r="C6" s="680"/>
      <c r="D6" s="681"/>
      <c r="E6" s="681"/>
      <c r="F6" s="681"/>
      <c r="G6" s="681"/>
      <c r="H6" s="682"/>
    </row>
    <row r="7" spans="1:8" ht="25.5">
      <c r="A7" s="675"/>
      <c r="B7" s="676"/>
      <c r="C7" s="484" t="s">
        <v>536</v>
      </c>
      <c r="D7" s="484" t="s">
        <v>537</v>
      </c>
      <c r="E7" s="484" t="s">
        <v>538</v>
      </c>
      <c r="F7" s="484" t="s">
        <v>539</v>
      </c>
      <c r="G7" s="484" t="s">
        <v>713</v>
      </c>
      <c r="H7" s="484" t="s">
        <v>68</v>
      </c>
    </row>
    <row r="8" spans="1:8">
      <c r="A8" s="488">
        <v>1</v>
      </c>
      <c r="B8" s="487" t="s">
        <v>216</v>
      </c>
      <c r="C8" s="586">
        <v>144300012.23000002</v>
      </c>
      <c r="D8" s="586">
        <v>70207854.779999986</v>
      </c>
      <c r="E8" s="586">
        <v>69845541.650000006</v>
      </c>
      <c r="F8" s="586">
        <v>10790000</v>
      </c>
      <c r="G8" s="586">
        <v>0</v>
      </c>
      <c r="H8" s="586">
        <f>SUM(C8:G8)</f>
        <v>295143408.65999997</v>
      </c>
    </row>
    <row r="9" spans="1:8">
      <c r="A9" s="488">
        <v>2</v>
      </c>
      <c r="B9" s="487" t="s">
        <v>217</v>
      </c>
      <c r="C9" s="586">
        <v>0</v>
      </c>
      <c r="D9" s="586">
        <v>0</v>
      </c>
      <c r="E9" s="586">
        <v>0</v>
      </c>
      <c r="F9" s="586">
        <v>0</v>
      </c>
      <c r="G9" s="586">
        <v>0</v>
      </c>
      <c r="H9" s="586">
        <f t="shared" ref="H9:H21" si="0">SUM(C9:G9)</f>
        <v>0</v>
      </c>
    </row>
    <row r="10" spans="1:8">
      <c r="A10" s="488">
        <v>3</v>
      </c>
      <c r="B10" s="487" t="s">
        <v>218</v>
      </c>
      <c r="C10" s="586">
        <v>0</v>
      </c>
      <c r="D10" s="586">
        <v>0</v>
      </c>
      <c r="E10" s="586">
        <v>0</v>
      </c>
      <c r="F10" s="586">
        <v>0</v>
      </c>
      <c r="G10" s="586">
        <v>0</v>
      </c>
      <c r="H10" s="586">
        <f t="shared" si="0"/>
        <v>0</v>
      </c>
    </row>
    <row r="11" spans="1:8">
      <c r="A11" s="488">
        <v>4</v>
      </c>
      <c r="B11" s="487" t="s">
        <v>219</v>
      </c>
      <c r="C11" s="586">
        <v>0</v>
      </c>
      <c r="D11" s="586">
        <v>0</v>
      </c>
      <c r="E11" s="586">
        <v>0</v>
      </c>
      <c r="F11" s="586">
        <v>0</v>
      </c>
      <c r="G11" s="586">
        <v>0</v>
      </c>
      <c r="H11" s="586">
        <f t="shared" si="0"/>
        <v>0</v>
      </c>
    </row>
    <row r="12" spans="1:8">
      <c r="A12" s="488">
        <v>5</v>
      </c>
      <c r="B12" s="487" t="s">
        <v>220</v>
      </c>
      <c r="C12" s="586">
        <v>0</v>
      </c>
      <c r="D12" s="586">
        <v>0</v>
      </c>
      <c r="E12" s="586">
        <v>0</v>
      </c>
      <c r="F12" s="586">
        <v>0</v>
      </c>
      <c r="G12" s="586">
        <v>0</v>
      </c>
      <c r="H12" s="586">
        <f t="shared" si="0"/>
        <v>0</v>
      </c>
    </row>
    <row r="13" spans="1:8">
      <c r="A13" s="488">
        <v>6</v>
      </c>
      <c r="B13" s="487" t="s">
        <v>221</v>
      </c>
      <c r="C13" s="586">
        <v>7492568.3099999996</v>
      </c>
      <c r="D13" s="586">
        <v>0</v>
      </c>
      <c r="E13" s="586">
        <v>0</v>
      </c>
      <c r="F13" s="586">
        <v>3664814.29</v>
      </c>
      <c r="G13" s="586">
        <v>0</v>
      </c>
      <c r="H13" s="586">
        <f t="shared" si="0"/>
        <v>11157382.6</v>
      </c>
    </row>
    <row r="14" spans="1:8">
      <c r="A14" s="488">
        <v>7</v>
      </c>
      <c r="B14" s="487" t="s">
        <v>73</v>
      </c>
      <c r="C14" s="586">
        <v>0</v>
      </c>
      <c r="D14" s="586">
        <v>102418717.19999911</v>
      </c>
      <c r="E14" s="586">
        <v>135745925.14999995</v>
      </c>
      <c r="F14" s="586">
        <v>271826320.88999993</v>
      </c>
      <c r="G14" s="586">
        <v>1413577.59</v>
      </c>
      <c r="H14" s="586">
        <f t="shared" si="0"/>
        <v>511404540.82999897</v>
      </c>
    </row>
    <row r="15" spans="1:8">
      <c r="A15" s="488">
        <v>8</v>
      </c>
      <c r="B15" s="487" t="s">
        <v>74</v>
      </c>
      <c r="C15" s="586">
        <v>0</v>
      </c>
      <c r="D15" s="586">
        <v>19555777.359999988</v>
      </c>
      <c r="E15" s="586">
        <v>135956848.70999926</v>
      </c>
      <c r="F15" s="586">
        <v>149206824.3999998</v>
      </c>
      <c r="G15" s="586">
        <v>171326.20999999996</v>
      </c>
      <c r="H15" s="586">
        <f t="shared" si="0"/>
        <v>304890776.67999905</v>
      </c>
    </row>
    <row r="16" spans="1:8">
      <c r="A16" s="488">
        <v>9</v>
      </c>
      <c r="B16" s="487" t="s">
        <v>75</v>
      </c>
      <c r="C16" s="586">
        <v>0</v>
      </c>
      <c r="D16" s="586">
        <v>4877689.88</v>
      </c>
      <c r="E16" s="586">
        <v>34593207.089999996</v>
      </c>
      <c r="F16" s="586">
        <v>73346564.849999994</v>
      </c>
      <c r="G16" s="586">
        <v>231093.12</v>
      </c>
      <c r="H16" s="586">
        <f t="shared" si="0"/>
        <v>113048554.94</v>
      </c>
    </row>
    <row r="17" spans="1:8">
      <c r="A17" s="488">
        <v>10</v>
      </c>
      <c r="B17" s="602" t="s">
        <v>561</v>
      </c>
      <c r="C17" s="586">
        <v>0</v>
      </c>
      <c r="D17" s="586">
        <v>364419.16316853667</v>
      </c>
      <c r="E17" s="586">
        <v>4032862.006020979</v>
      </c>
      <c r="F17" s="586">
        <v>4885943.3508174932</v>
      </c>
      <c r="G17" s="586">
        <v>702183.74027213082</v>
      </c>
      <c r="H17" s="586">
        <f t="shared" si="0"/>
        <v>9985408.2602791395</v>
      </c>
    </row>
    <row r="18" spans="1:8">
      <c r="A18" s="488">
        <v>11</v>
      </c>
      <c r="B18" s="487" t="s">
        <v>70</v>
      </c>
      <c r="C18" s="586">
        <v>0</v>
      </c>
      <c r="D18" s="586">
        <v>3800338.6000000057</v>
      </c>
      <c r="E18" s="586">
        <v>17398837.720000021</v>
      </c>
      <c r="F18" s="586">
        <v>33171935.640000075</v>
      </c>
      <c r="G18" s="586">
        <v>184540.47000000003</v>
      </c>
      <c r="H18" s="586">
        <f t="shared" si="0"/>
        <v>54555652.430000097</v>
      </c>
    </row>
    <row r="19" spans="1:8">
      <c r="A19" s="488">
        <v>12</v>
      </c>
      <c r="B19" s="487" t="s">
        <v>71</v>
      </c>
      <c r="C19" s="586">
        <v>0</v>
      </c>
      <c r="D19" s="586">
        <v>0</v>
      </c>
      <c r="E19" s="586">
        <v>0</v>
      </c>
      <c r="F19" s="586">
        <v>0</v>
      </c>
      <c r="G19" s="586">
        <v>0</v>
      </c>
      <c r="H19" s="586">
        <f t="shared" si="0"/>
        <v>0</v>
      </c>
    </row>
    <row r="20" spans="1:8">
      <c r="A20" s="488">
        <v>13</v>
      </c>
      <c r="B20" s="487" t="s">
        <v>72</v>
      </c>
      <c r="C20" s="586">
        <v>0</v>
      </c>
      <c r="D20" s="586">
        <v>0</v>
      </c>
      <c r="E20" s="586">
        <v>0</v>
      </c>
      <c r="F20" s="586">
        <v>0</v>
      </c>
      <c r="G20" s="586">
        <v>0</v>
      </c>
      <c r="H20" s="586">
        <f t="shared" si="0"/>
        <v>0</v>
      </c>
    </row>
    <row r="21" spans="1:8">
      <c r="A21" s="488">
        <v>14</v>
      </c>
      <c r="B21" s="487" t="s">
        <v>540</v>
      </c>
      <c r="C21" s="586">
        <v>45627847.75</v>
      </c>
      <c r="D21" s="586">
        <v>0</v>
      </c>
      <c r="E21" s="586">
        <v>0</v>
      </c>
      <c r="F21" s="586">
        <v>5238377.5949999988</v>
      </c>
      <c r="G21" s="586">
        <v>25962395.780000031</v>
      </c>
      <c r="H21" s="586">
        <f t="shared" si="0"/>
        <v>76828621.12500003</v>
      </c>
    </row>
    <row r="22" spans="1:8">
      <c r="A22" s="489">
        <v>15</v>
      </c>
      <c r="B22" s="486" t="s">
        <v>68</v>
      </c>
      <c r="C22" s="586">
        <f>SUM(C18:C21)+SUM(C8:C16)</f>
        <v>197420428.29000002</v>
      </c>
      <c r="D22" s="586">
        <f t="shared" ref="D22:G22" si="1">SUM(D18:D21)+SUM(D8:D16)</f>
        <v>200860377.81999907</v>
      </c>
      <c r="E22" s="586">
        <f t="shared" si="1"/>
        <v>393540360.31999922</v>
      </c>
      <c r="F22" s="586">
        <f t="shared" si="1"/>
        <v>547244837.66499972</v>
      </c>
      <c r="G22" s="586">
        <f t="shared" si="1"/>
        <v>27962933.170000032</v>
      </c>
      <c r="H22" s="586">
        <f>SUM(H18:H21)+SUM(H8:H16)</f>
        <v>1367028937.2649982</v>
      </c>
    </row>
    <row r="26" spans="1:8" ht="38.25">
      <c r="B26" s="603" t="s">
        <v>712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C1" zoomScaleNormal="100" workbookViewId="0">
      <selection activeCell="C7" sqref="C7:I23"/>
    </sheetView>
  </sheetViews>
  <sheetFormatPr defaultColWidth="9.140625" defaultRowHeight="12.75"/>
  <cols>
    <col min="1" max="1" width="11.85546875" style="490" bestFit="1" customWidth="1"/>
    <col min="2" max="2" width="114.7109375" style="481" customWidth="1"/>
    <col min="3" max="3" width="22.42578125" style="481" customWidth="1"/>
    <col min="4" max="4" width="23.5703125" style="481" customWidth="1"/>
    <col min="5" max="8" width="22.140625" style="481" customWidth="1"/>
    <col min="9" max="9" width="41.42578125" style="481" customWidth="1"/>
    <col min="10" max="16384" width="9.140625" style="481"/>
  </cols>
  <sheetData>
    <row r="1" spans="1:9">
      <c r="A1" s="480" t="s">
        <v>188</v>
      </c>
      <c r="B1" s="621" t="str">
        <f>'1. key ratios'!B1</f>
        <v>ს.ს. "ტერაბანკი"</v>
      </c>
    </row>
    <row r="2" spans="1:9">
      <c r="A2" s="480" t="s">
        <v>189</v>
      </c>
    </row>
    <row r="3" spans="1:9">
      <c r="A3" s="482" t="s">
        <v>541</v>
      </c>
      <c r="B3" s="483">
        <f>'1. key ratios'!B2</f>
        <v>44651</v>
      </c>
    </row>
    <row r="4" spans="1:9">
      <c r="C4" s="491" t="s">
        <v>542</v>
      </c>
      <c r="D4" s="491" t="s">
        <v>543</v>
      </c>
      <c r="E4" s="491" t="s">
        <v>544</v>
      </c>
      <c r="F4" s="491" t="s">
        <v>545</v>
      </c>
      <c r="G4" s="491" t="s">
        <v>546</v>
      </c>
      <c r="H4" s="491" t="s">
        <v>547</v>
      </c>
      <c r="I4" s="491" t="s">
        <v>550</v>
      </c>
    </row>
    <row r="5" spans="1:9" ht="33.950000000000003" customHeight="1">
      <c r="A5" s="671" t="s">
        <v>551</v>
      </c>
      <c r="B5" s="672"/>
      <c r="C5" s="685" t="s">
        <v>552</v>
      </c>
      <c r="D5" s="685"/>
      <c r="E5" s="685" t="s">
        <v>553</v>
      </c>
      <c r="F5" s="685" t="s">
        <v>554</v>
      </c>
      <c r="G5" s="683" t="s">
        <v>555</v>
      </c>
      <c r="H5" s="683" t="s">
        <v>556</v>
      </c>
      <c r="I5" s="492" t="s">
        <v>557</v>
      </c>
    </row>
    <row r="6" spans="1:9" ht="38.25">
      <c r="A6" s="675"/>
      <c r="B6" s="676"/>
      <c r="C6" s="526" t="s">
        <v>558</v>
      </c>
      <c r="D6" s="526" t="s">
        <v>559</v>
      </c>
      <c r="E6" s="685"/>
      <c r="F6" s="685"/>
      <c r="G6" s="684"/>
      <c r="H6" s="684"/>
      <c r="I6" s="492" t="s">
        <v>560</v>
      </c>
    </row>
    <row r="7" spans="1:9">
      <c r="A7" s="493">
        <v>1</v>
      </c>
      <c r="B7" s="485" t="s">
        <v>216</v>
      </c>
      <c r="C7" s="587">
        <v>0</v>
      </c>
      <c r="D7" s="587">
        <v>295143408.65999991</v>
      </c>
      <c r="E7" s="587">
        <v>0</v>
      </c>
      <c r="F7" s="587">
        <v>0</v>
      </c>
      <c r="G7" s="587">
        <v>0</v>
      </c>
      <c r="H7" s="587">
        <v>0</v>
      </c>
      <c r="I7" s="495">
        <f t="shared" ref="I7:I23" si="0">C7+D7-E7-F7-G7</f>
        <v>295143408.65999991</v>
      </c>
    </row>
    <row r="8" spans="1:9">
      <c r="A8" s="493">
        <v>2</v>
      </c>
      <c r="B8" s="485" t="s">
        <v>217</v>
      </c>
      <c r="C8" s="587">
        <v>0</v>
      </c>
      <c r="D8" s="587">
        <v>0</v>
      </c>
      <c r="E8" s="587">
        <v>0</v>
      </c>
      <c r="F8" s="587">
        <v>0</v>
      </c>
      <c r="G8" s="587">
        <v>0</v>
      </c>
      <c r="H8" s="587">
        <v>0</v>
      </c>
      <c r="I8" s="495">
        <f t="shared" si="0"/>
        <v>0</v>
      </c>
    </row>
    <row r="9" spans="1:9">
      <c r="A9" s="493">
        <v>3</v>
      </c>
      <c r="B9" s="485" t="s">
        <v>218</v>
      </c>
      <c r="C9" s="587">
        <v>0</v>
      </c>
      <c r="D9" s="587">
        <v>0</v>
      </c>
      <c r="E9" s="587">
        <v>0</v>
      </c>
      <c r="F9" s="587">
        <v>0</v>
      </c>
      <c r="G9" s="587">
        <v>0</v>
      </c>
      <c r="H9" s="587">
        <v>0</v>
      </c>
      <c r="I9" s="495">
        <f t="shared" si="0"/>
        <v>0</v>
      </c>
    </row>
    <row r="10" spans="1:9">
      <c r="A10" s="493">
        <v>4</v>
      </c>
      <c r="B10" s="485" t="s">
        <v>219</v>
      </c>
      <c r="C10" s="587">
        <v>0</v>
      </c>
      <c r="D10" s="587">
        <v>0</v>
      </c>
      <c r="E10" s="587">
        <v>0</v>
      </c>
      <c r="F10" s="587">
        <v>0</v>
      </c>
      <c r="G10" s="587">
        <v>0</v>
      </c>
      <c r="H10" s="587">
        <v>0</v>
      </c>
      <c r="I10" s="495">
        <f t="shared" si="0"/>
        <v>0</v>
      </c>
    </row>
    <row r="11" spans="1:9">
      <c r="A11" s="493">
        <v>5</v>
      </c>
      <c r="B11" s="485" t="s">
        <v>220</v>
      </c>
      <c r="C11" s="587">
        <v>0</v>
      </c>
      <c r="D11" s="587">
        <v>0</v>
      </c>
      <c r="E11" s="587">
        <v>0</v>
      </c>
      <c r="F11" s="587">
        <v>0</v>
      </c>
      <c r="G11" s="587">
        <v>0</v>
      </c>
      <c r="H11" s="587">
        <v>0</v>
      </c>
      <c r="I11" s="495">
        <f t="shared" si="0"/>
        <v>0</v>
      </c>
    </row>
    <row r="12" spans="1:9">
      <c r="A12" s="493">
        <v>6</v>
      </c>
      <c r="B12" s="485" t="s">
        <v>221</v>
      </c>
      <c r="C12" s="587">
        <v>72475.850000000006</v>
      </c>
      <c r="D12" s="587">
        <v>11157382.6</v>
      </c>
      <c r="E12" s="587">
        <v>72475.850000000006</v>
      </c>
      <c r="F12" s="587">
        <v>0</v>
      </c>
      <c r="G12" s="587">
        <v>0</v>
      </c>
      <c r="H12" s="587">
        <v>0</v>
      </c>
      <c r="I12" s="495">
        <f t="shared" si="0"/>
        <v>11157382.6</v>
      </c>
    </row>
    <row r="13" spans="1:9">
      <c r="A13" s="493">
        <v>7</v>
      </c>
      <c r="B13" s="485" t="s">
        <v>73</v>
      </c>
      <c r="C13" s="587">
        <v>8280752.9523993656</v>
      </c>
      <c r="D13" s="587">
        <v>511559545.75400025</v>
      </c>
      <c r="E13" s="587">
        <v>8435757.8764002509</v>
      </c>
      <c r="F13" s="587">
        <v>8907662.7363999933</v>
      </c>
      <c r="G13" s="587">
        <v>0</v>
      </c>
      <c r="H13" s="587">
        <v>354700.12</v>
      </c>
      <c r="I13" s="495">
        <f t="shared" si="0"/>
        <v>502496878.09359938</v>
      </c>
    </row>
    <row r="14" spans="1:9">
      <c r="A14" s="493">
        <v>8</v>
      </c>
      <c r="B14" s="487" t="s">
        <v>74</v>
      </c>
      <c r="C14" s="587">
        <v>42522240.854600035</v>
      </c>
      <c r="D14" s="587">
        <v>284721708.31399965</v>
      </c>
      <c r="E14" s="587">
        <v>22353172.488600016</v>
      </c>
      <c r="F14" s="587">
        <v>4890392.5038000271</v>
      </c>
      <c r="G14" s="587">
        <v>0</v>
      </c>
      <c r="H14" s="587">
        <v>0</v>
      </c>
      <c r="I14" s="495">
        <f t="shared" si="0"/>
        <v>300000384.17619962</v>
      </c>
    </row>
    <row r="15" spans="1:9">
      <c r="A15" s="493">
        <v>9</v>
      </c>
      <c r="B15" s="485" t="s">
        <v>75</v>
      </c>
      <c r="C15" s="587">
        <v>7064358.1230000015</v>
      </c>
      <c r="D15" s="587">
        <v>106335306.03200001</v>
      </c>
      <c r="E15" s="587">
        <v>351109.21500000003</v>
      </c>
      <c r="F15" s="587">
        <v>1909861.8837999997</v>
      </c>
      <c r="G15" s="587">
        <v>0</v>
      </c>
      <c r="H15" s="587">
        <v>0</v>
      </c>
      <c r="I15" s="495">
        <f t="shared" si="0"/>
        <v>111138693.0562</v>
      </c>
    </row>
    <row r="16" spans="1:9">
      <c r="A16" s="493">
        <v>10</v>
      </c>
      <c r="B16" s="602" t="s">
        <v>561</v>
      </c>
      <c r="C16" s="587">
        <v>8248207.75</v>
      </c>
      <c r="D16" s="587">
        <v>0</v>
      </c>
      <c r="E16" s="587">
        <v>8248207.75</v>
      </c>
      <c r="F16" s="587">
        <v>0</v>
      </c>
      <c r="G16" s="587">
        <v>0</v>
      </c>
      <c r="H16" s="587">
        <v>343395.32</v>
      </c>
      <c r="I16" s="495">
        <f t="shared" si="0"/>
        <v>0</v>
      </c>
    </row>
    <row r="17" spans="1:9">
      <c r="A17" s="493">
        <v>11</v>
      </c>
      <c r="B17" s="485" t="s">
        <v>70</v>
      </c>
      <c r="C17" s="587">
        <v>0</v>
      </c>
      <c r="D17" s="587">
        <v>54579218.009999812</v>
      </c>
      <c r="E17" s="587">
        <v>23565.579999999994</v>
      </c>
      <c r="F17" s="587">
        <v>1068083.1859999993</v>
      </c>
      <c r="G17" s="587">
        <v>0</v>
      </c>
      <c r="H17" s="587">
        <v>0</v>
      </c>
      <c r="I17" s="495">
        <f t="shared" si="0"/>
        <v>53487569.243999816</v>
      </c>
    </row>
    <row r="18" spans="1:9">
      <c r="A18" s="493">
        <v>12</v>
      </c>
      <c r="B18" s="485" t="s">
        <v>71</v>
      </c>
      <c r="C18" s="587">
        <v>0</v>
      </c>
      <c r="D18" s="587">
        <v>0</v>
      </c>
      <c r="E18" s="587">
        <v>0</v>
      </c>
      <c r="F18" s="587">
        <v>0</v>
      </c>
      <c r="G18" s="587">
        <v>0</v>
      </c>
      <c r="H18" s="587">
        <v>0</v>
      </c>
      <c r="I18" s="495">
        <f t="shared" si="0"/>
        <v>0</v>
      </c>
    </row>
    <row r="19" spans="1:9">
      <c r="A19" s="496">
        <v>13</v>
      </c>
      <c r="B19" s="487" t="s">
        <v>72</v>
      </c>
      <c r="C19" s="587">
        <v>0</v>
      </c>
      <c r="D19" s="587">
        <v>0</v>
      </c>
      <c r="E19" s="587">
        <v>0</v>
      </c>
      <c r="F19" s="587">
        <v>0</v>
      </c>
      <c r="G19" s="587">
        <v>0</v>
      </c>
      <c r="H19" s="587">
        <v>0</v>
      </c>
      <c r="I19" s="495">
        <f t="shared" si="0"/>
        <v>0</v>
      </c>
    </row>
    <row r="20" spans="1:9">
      <c r="A20" s="493">
        <v>14</v>
      </c>
      <c r="B20" s="485" t="s">
        <v>540</v>
      </c>
      <c r="C20" s="587">
        <v>28336373.809999995</v>
      </c>
      <c r="D20" s="587">
        <v>96172912.451999992</v>
      </c>
      <c r="E20" s="587">
        <v>24597385.821999993</v>
      </c>
      <c r="F20" s="587">
        <v>0</v>
      </c>
      <c r="G20" s="587">
        <v>0</v>
      </c>
      <c r="H20" s="587">
        <v>0</v>
      </c>
      <c r="I20" s="495">
        <f t="shared" si="0"/>
        <v>99911900.439999998</v>
      </c>
    </row>
    <row r="21" spans="1:9" s="498" customFormat="1">
      <c r="A21" s="497">
        <v>15</v>
      </c>
      <c r="B21" s="486" t="s">
        <v>68</v>
      </c>
      <c r="C21" s="586">
        <f>SUM(C7:C15)+SUM(C17:C20)</f>
        <v>86276201.589999408</v>
      </c>
      <c r="D21" s="586">
        <f t="shared" ref="D21:H21" si="1">SUM(D7:D15)+SUM(D17:D20)</f>
        <v>1359669481.8219998</v>
      </c>
      <c r="E21" s="586">
        <f t="shared" si="1"/>
        <v>55833466.832000256</v>
      </c>
      <c r="F21" s="586">
        <f t="shared" si="1"/>
        <v>16776000.310000019</v>
      </c>
      <c r="G21" s="588">
        <v>0</v>
      </c>
      <c r="H21" s="586">
        <f t="shared" si="1"/>
        <v>354700.12</v>
      </c>
      <c r="I21" s="495">
        <f t="shared" si="0"/>
        <v>1373336216.269999</v>
      </c>
    </row>
    <row r="22" spans="1:9">
      <c r="A22" s="499">
        <v>16</v>
      </c>
      <c r="B22" s="500" t="s">
        <v>562</v>
      </c>
      <c r="C22" s="587">
        <v>57867351.929999404</v>
      </c>
      <c r="D22" s="587">
        <v>957195778.10999966</v>
      </c>
      <c r="E22" s="587">
        <v>31163605.160000265</v>
      </c>
      <c r="F22" s="587">
        <v>16776000.310000019</v>
      </c>
      <c r="G22" s="587">
        <v>0</v>
      </c>
      <c r="H22" s="587">
        <v>354700.11999999994</v>
      </c>
      <c r="I22" s="495">
        <f t="shared" si="0"/>
        <v>967123524.56999862</v>
      </c>
    </row>
    <row r="23" spans="1:9">
      <c r="A23" s="499">
        <v>17</v>
      </c>
      <c r="B23" s="500" t="s">
        <v>563</v>
      </c>
      <c r="C23" s="587">
        <v>0</v>
      </c>
      <c r="D23" s="587">
        <v>152627685.78</v>
      </c>
      <c r="E23" s="587">
        <v>0</v>
      </c>
      <c r="F23" s="587">
        <v>0</v>
      </c>
      <c r="G23" s="587">
        <v>0</v>
      </c>
      <c r="H23" s="587">
        <v>0</v>
      </c>
      <c r="I23" s="495">
        <f t="shared" si="0"/>
        <v>152627685.78</v>
      </c>
    </row>
    <row r="26" spans="1:9" ht="42.6" customHeight="1">
      <c r="B26" s="603" t="s">
        <v>712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C7" workbookViewId="0">
      <selection activeCell="C7" sqref="C7:I34"/>
    </sheetView>
  </sheetViews>
  <sheetFormatPr defaultColWidth="9.140625" defaultRowHeight="12.75"/>
  <cols>
    <col min="1" max="1" width="11" style="481" bestFit="1" customWidth="1"/>
    <col min="2" max="2" width="93.42578125" style="481" customWidth="1"/>
    <col min="3" max="8" width="22" style="481" customWidth="1"/>
    <col min="9" max="9" width="42.28515625" style="481" bestFit="1" customWidth="1"/>
    <col min="10" max="16384" width="9.140625" style="481"/>
  </cols>
  <sheetData>
    <row r="1" spans="1:9">
      <c r="A1" s="480" t="s">
        <v>188</v>
      </c>
      <c r="B1" s="621" t="str">
        <f>'1. key ratios'!B1</f>
        <v>ს.ს. "ტერაბანკი"</v>
      </c>
    </row>
    <row r="2" spans="1:9">
      <c r="A2" s="480" t="s">
        <v>189</v>
      </c>
    </row>
    <row r="3" spans="1:9">
      <c r="A3" s="482" t="s">
        <v>564</v>
      </c>
      <c r="B3" s="483">
        <f>'1. key ratios'!B2</f>
        <v>44651</v>
      </c>
    </row>
    <row r="4" spans="1:9">
      <c r="C4" s="491" t="s">
        <v>542</v>
      </c>
      <c r="D4" s="491" t="s">
        <v>543</v>
      </c>
      <c r="E4" s="491" t="s">
        <v>544</v>
      </c>
      <c r="F4" s="491" t="s">
        <v>545</v>
      </c>
      <c r="G4" s="491" t="s">
        <v>546</v>
      </c>
      <c r="H4" s="491" t="s">
        <v>547</v>
      </c>
      <c r="I4" s="491" t="s">
        <v>550</v>
      </c>
    </row>
    <row r="5" spans="1:9" ht="41.45" customHeight="1">
      <c r="A5" s="671" t="s">
        <v>716</v>
      </c>
      <c r="B5" s="672"/>
      <c r="C5" s="685" t="s">
        <v>552</v>
      </c>
      <c r="D5" s="685"/>
      <c r="E5" s="685" t="s">
        <v>553</v>
      </c>
      <c r="F5" s="685" t="s">
        <v>554</v>
      </c>
      <c r="G5" s="683" t="s">
        <v>555</v>
      </c>
      <c r="H5" s="683" t="s">
        <v>556</v>
      </c>
      <c r="I5" s="492" t="s">
        <v>557</v>
      </c>
    </row>
    <row r="6" spans="1:9" ht="41.45" customHeight="1">
      <c r="A6" s="675"/>
      <c r="B6" s="676"/>
      <c r="C6" s="526" t="s">
        <v>558</v>
      </c>
      <c r="D6" s="526" t="s">
        <v>559</v>
      </c>
      <c r="E6" s="685"/>
      <c r="F6" s="685"/>
      <c r="G6" s="684"/>
      <c r="H6" s="684"/>
      <c r="I6" s="492" t="s">
        <v>560</v>
      </c>
    </row>
    <row r="7" spans="1:9">
      <c r="A7" s="494">
        <v>1</v>
      </c>
      <c r="B7" s="501" t="s">
        <v>565</v>
      </c>
      <c r="C7" s="587">
        <v>0</v>
      </c>
      <c r="D7" s="587">
        <v>296994782.86999989</v>
      </c>
      <c r="E7" s="587">
        <v>120504.75</v>
      </c>
      <c r="F7" s="587">
        <v>12838.52</v>
      </c>
      <c r="G7" s="587">
        <v>0</v>
      </c>
      <c r="H7" s="587">
        <v>56439.24</v>
      </c>
      <c r="I7" s="495">
        <f t="shared" ref="I7:I34" si="0">C7+D7-E7-F7-G7</f>
        <v>296861439.5999999</v>
      </c>
    </row>
    <row r="8" spans="1:9">
      <c r="A8" s="494">
        <v>2</v>
      </c>
      <c r="B8" s="501" t="s">
        <v>566</v>
      </c>
      <c r="C8" s="587">
        <v>458818.55000000005</v>
      </c>
      <c r="D8" s="587">
        <v>33062281.220000006</v>
      </c>
      <c r="E8" s="587">
        <v>229605.12</v>
      </c>
      <c r="F8" s="587">
        <v>436008.83000000007</v>
      </c>
      <c r="G8" s="587">
        <v>0</v>
      </c>
      <c r="H8" s="587">
        <v>550</v>
      </c>
      <c r="I8" s="495">
        <f t="shared" si="0"/>
        <v>32855485.820000008</v>
      </c>
    </row>
    <row r="9" spans="1:9">
      <c r="A9" s="494">
        <v>3</v>
      </c>
      <c r="B9" s="501" t="s">
        <v>567</v>
      </c>
      <c r="C9" s="587">
        <v>0</v>
      </c>
      <c r="D9" s="587">
        <v>22328959.59</v>
      </c>
      <c r="E9" s="587">
        <v>7731.35</v>
      </c>
      <c r="F9" s="587">
        <v>444449.32999999996</v>
      </c>
      <c r="G9" s="587">
        <v>0</v>
      </c>
      <c r="H9" s="587">
        <v>0</v>
      </c>
      <c r="I9" s="495">
        <f t="shared" si="0"/>
        <v>21876778.91</v>
      </c>
    </row>
    <row r="10" spans="1:9">
      <c r="A10" s="494">
        <v>4</v>
      </c>
      <c r="B10" s="501" t="s">
        <v>568</v>
      </c>
      <c r="C10" s="587">
        <v>324495.75</v>
      </c>
      <c r="D10" s="587">
        <v>74166207.329999998</v>
      </c>
      <c r="E10" s="587">
        <v>885707.53</v>
      </c>
      <c r="F10" s="587">
        <v>1319605.9000000004</v>
      </c>
      <c r="G10" s="587">
        <v>0</v>
      </c>
      <c r="H10" s="587">
        <v>0</v>
      </c>
      <c r="I10" s="495">
        <f t="shared" si="0"/>
        <v>72285389.649999991</v>
      </c>
    </row>
    <row r="11" spans="1:9">
      <c r="A11" s="494">
        <v>5</v>
      </c>
      <c r="B11" s="501" t="s">
        <v>569</v>
      </c>
      <c r="C11" s="587">
        <v>6800677.0899999999</v>
      </c>
      <c r="D11" s="587">
        <v>87573555.680000007</v>
      </c>
      <c r="E11" s="587">
        <v>3905057.919999999</v>
      </c>
      <c r="F11" s="587">
        <v>1445540.4899999988</v>
      </c>
      <c r="G11" s="587">
        <v>0</v>
      </c>
      <c r="H11" s="587">
        <v>0</v>
      </c>
      <c r="I11" s="495">
        <f t="shared" si="0"/>
        <v>89023634.360000014</v>
      </c>
    </row>
    <row r="12" spans="1:9">
      <c r="A12" s="494">
        <v>6</v>
      </c>
      <c r="B12" s="501" t="s">
        <v>570</v>
      </c>
      <c r="C12" s="587">
        <v>945918.33000000007</v>
      </c>
      <c r="D12" s="587">
        <v>25901251.450000003</v>
      </c>
      <c r="E12" s="587">
        <v>616882.15999999992</v>
      </c>
      <c r="F12" s="587">
        <v>462546.91</v>
      </c>
      <c r="G12" s="587">
        <v>0</v>
      </c>
      <c r="H12" s="587">
        <v>5852.38</v>
      </c>
      <c r="I12" s="495">
        <f t="shared" si="0"/>
        <v>25767740.710000001</v>
      </c>
    </row>
    <row r="13" spans="1:9">
      <c r="A13" s="494">
        <v>7</v>
      </c>
      <c r="B13" s="501" t="s">
        <v>571</v>
      </c>
      <c r="C13" s="587">
        <v>1423272.09</v>
      </c>
      <c r="D13" s="587">
        <v>54263866.439999983</v>
      </c>
      <c r="E13" s="587">
        <v>440444.83</v>
      </c>
      <c r="F13" s="587">
        <v>1078981.53</v>
      </c>
      <c r="G13" s="587">
        <v>0</v>
      </c>
      <c r="H13" s="587">
        <v>0</v>
      </c>
      <c r="I13" s="495">
        <f t="shared" si="0"/>
        <v>54167712.169999987</v>
      </c>
    </row>
    <row r="14" spans="1:9">
      <c r="A14" s="494">
        <v>8</v>
      </c>
      <c r="B14" s="501" t="s">
        <v>572</v>
      </c>
      <c r="C14" s="587">
        <v>1506097.52</v>
      </c>
      <c r="D14" s="587">
        <v>43217201.149999999</v>
      </c>
      <c r="E14" s="587">
        <v>697628.24999999988</v>
      </c>
      <c r="F14" s="587">
        <v>824405.84999999974</v>
      </c>
      <c r="G14" s="587">
        <v>0</v>
      </c>
      <c r="H14" s="587">
        <v>4416.88</v>
      </c>
      <c r="I14" s="495">
        <f t="shared" si="0"/>
        <v>43201264.57</v>
      </c>
    </row>
    <row r="15" spans="1:9">
      <c r="A15" s="494">
        <v>9</v>
      </c>
      <c r="B15" s="501" t="s">
        <v>573</v>
      </c>
      <c r="C15" s="587">
        <v>40000</v>
      </c>
      <c r="D15" s="587">
        <v>29262051.730000004</v>
      </c>
      <c r="E15" s="587">
        <v>205705.81000000003</v>
      </c>
      <c r="F15" s="587">
        <v>544222.54</v>
      </c>
      <c r="G15" s="587">
        <v>0</v>
      </c>
      <c r="H15" s="587">
        <v>0</v>
      </c>
      <c r="I15" s="495">
        <f t="shared" si="0"/>
        <v>28552123.380000006</v>
      </c>
    </row>
    <row r="16" spans="1:9">
      <c r="A16" s="494">
        <v>10</v>
      </c>
      <c r="B16" s="501" t="s">
        <v>574</v>
      </c>
      <c r="C16" s="587">
        <v>821385.38</v>
      </c>
      <c r="D16" s="587">
        <v>12260316.659999998</v>
      </c>
      <c r="E16" s="587">
        <v>536706.89</v>
      </c>
      <c r="F16" s="587">
        <v>188853.02000000002</v>
      </c>
      <c r="G16" s="587">
        <v>0</v>
      </c>
      <c r="H16" s="587">
        <v>0</v>
      </c>
      <c r="I16" s="495">
        <f t="shared" si="0"/>
        <v>12356142.129999999</v>
      </c>
    </row>
    <row r="17" spans="1:9">
      <c r="A17" s="494">
        <v>11</v>
      </c>
      <c r="B17" s="501" t="s">
        <v>575</v>
      </c>
      <c r="C17" s="587">
        <v>969664.66</v>
      </c>
      <c r="D17" s="587">
        <v>7550372.5999999996</v>
      </c>
      <c r="E17" s="587">
        <v>607891.33000000007</v>
      </c>
      <c r="F17" s="587">
        <v>117788.66999999995</v>
      </c>
      <c r="G17" s="587">
        <v>0</v>
      </c>
      <c r="H17" s="587">
        <v>0</v>
      </c>
      <c r="I17" s="495">
        <f t="shared" si="0"/>
        <v>7794357.2599999998</v>
      </c>
    </row>
    <row r="18" spans="1:9">
      <c r="A18" s="494">
        <v>12</v>
      </c>
      <c r="B18" s="501" t="s">
        <v>576</v>
      </c>
      <c r="C18" s="587">
        <v>5001649.49</v>
      </c>
      <c r="D18" s="587">
        <v>56019410.079999983</v>
      </c>
      <c r="E18" s="587">
        <v>2604467.7399999993</v>
      </c>
      <c r="F18" s="587">
        <v>884972.09999999974</v>
      </c>
      <c r="G18" s="587">
        <v>0</v>
      </c>
      <c r="H18" s="587">
        <v>104692.08</v>
      </c>
      <c r="I18" s="495">
        <f t="shared" si="0"/>
        <v>57531619.729999982</v>
      </c>
    </row>
    <row r="19" spans="1:9">
      <c r="A19" s="494">
        <v>13</v>
      </c>
      <c r="B19" s="501" t="s">
        <v>577</v>
      </c>
      <c r="C19" s="587">
        <v>1006263.14</v>
      </c>
      <c r="D19" s="587">
        <v>10460444.670000004</v>
      </c>
      <c r="E19" s="587">
        <v>533712.42999999993</v>
      </c>
      <c r="F19" s="587">
        <v>184072.94000000006</v>
      </c>
      <c r="G19" s="587">
        <v>0</v>
      </c>
      <c r="H19" s="587">
        <v>0</v>
      </c>
      <c r="I19" s="495">
        <f t="shared" si="0"/>
        <v>10748922.440000005</v>
      </c>
    </row>
    <row r="20" spans="1:9">
      <c r="A20" s="494">
        <v>14</v>
      </c>
      <c r="B20" s="501" t="s">
        <v>578</v>
      </c>
      <c r="C20" s="587">
        <v>10895869.719999999</v>
      </c>
      <c r="D20" s="587">
        <v>73820201.260000005</v>
      </c>
      <c r="E20" s="587">
        <v>5232642</v>
      </c>
      <c r="F20" s="587">
        <v>1059712.8999999999</v>
      </c>
      <c r="G20" s="587">
        <v>0</v>
      </c>
      <c r="H20" s="587">
        <v>8268.42</v>
      </c>
      <c r="I20" s="495">
        <f t="shared" si="0"/>
        <v>78423716.079999998</v>
      </c>
    </row>
    <row r="21" spans="1:9">
      <c r="A21" s="494">
        <v>15</v>
      </c>
      <c r="B21" s="501" t="s">
        <v>579</v>
      </c>
      <c r="C21" s="587">
        <v>907228.36</v>
      </c>
      <c r="D21" s="587">
        <v>30370444.289999992</v>
      </c>
      <c r="E21" s="587">
        <v>1733639.7300000002</v>
      </c>
      <c r="F21" s="587">
        <v>312820.20999999996</v>
      </c>
      <c r="G21" s="587">
        <v>0</v>
      </c>
      <c r="H21" s="587">
        <v>185.35</v>
      </c>
      <c r="I21" s="495">
        <f t="shared" si="0"/>
        <v>29231212.70999999</v>
      </c>
    </row>
    <row r="22" spans="1:9">
      <c r="A22" s="494">
        <v>16</v>
      </c>
      <c r="B22" s="501" t="s">
        <v>580</v>
      </c>
      <c r="C22" s="587">
        <v>0</v>
      </c>
      <c r="D22" s="587">
        <v>0</v>
      </c>
      <c r="E22" s="587">
        <v>0</v>
      </c>
      <c r="F22" s="587">
        <v>0</v>
      </c>
      <c r="G22" s="587">
        <v>0</v>
      </c>
      <c r="H22" s="587">
        <v>0</v>
      </c>
      <c r="I22" s="495">
        <f t="shared" si="0"/>
        <v>0</v>
      </c>
    </row>
    <row r="23" spans="1:9">
      <c r="A23" s="494">
        <v>17</v>
      </c>
      <c r="B23" s="501" t="s">
        <v>581</v>
      </c>
      <c r="C23" s="587">
        <v>1760351.2499999998</v>
      </c>
      <c r="D23" s="587">
        <v>3624150.11</v>
      </c>
      <c r="E23" s="587">
        <v>749331.14</v>
      </c>
      <c r="F23" s="587">
        <v>44143.75</v>
      </c>
      <c r="G23" s="587">
        <v>0</v>
      </c>
      <c r="H23" s="587">
        <v>0</v>
      </c>
      <c r="I23" s="495">
        <f t="shared" si="0"/>
        <v>4591026.47</v>
      </c>
    </row>
    <row r="24" spans="1:9">
      <c r="A24" s="494">
        <v>18</v>
      </c>
      <c r="B24" s="501" t="s">
        <v>582</v>
      </c>
      <c r="C24" s="587">
        <v>0</v>
      </c>
      <c r="D24" s="587">
        <v>18090101.640000001</v>
      </c>
      <c r="E24" s="587">
        <v>0</v>
      </c>
      <c r="F24" s="587">
        <v>360166.53</v>
      </c>
      <c r="G24" s="587">
        <v>0</v>
      </c>
      <c r="H24" s="587">
        <v>0</v>
      </c>
      <c r="I24" s="495">
        <f t="shared" si="0"/>
        <v>17729935.109999999</v>
      </c>
    </row>
    <row r="25" spans="1:9">
      <c r="A25" s="494">
        <v>19</v>
      </c>
      <c r="B25" s="501" t="s">
        <v>583</v>
      </c>
      <c r="C25" s="587">
        <v>0</v>
      </c>
      <c r="D25" s="587">
        <v>5938116.4500000002</v>
      </c>
      <c r="E25" s="587">
        <v>9420.82</v>
      </c>
      <c r="F25" s="587">
        <v>116163.42</v>
      </c>
      <c r="G25" s="587">
        <v>0</v>
      </c>
      <c r="H25" s="587">
        <v>0</v>
      </c>
      <c r="I25" s="495">
        <f t="shared" si="0"/>
        <v>5812532.21</v>
      </c>
    </row>
    <row r="26" spans="1:9">
      <c r="A26" s="494">
        <v>20</v>
      </c>
      <c r="B26" s="501" t="s">
        <v>584</v>
      </c>
      <c r="C26" s="587">
        <v>0</v>
      </c>
      <c r="D26" s="587">
        <v>21262457.259999998</v>
      </c>
      <c r="E26" s="587">
        <v>176779.99</v>
      </c>
      <c r="F26" s="587">
        <v>387113.98</v>
      </c>
      <c r="G26" s="587">
        <v>0</v>
      </c>
      <c r="H26" s="587">
        <v>9947.9700000000012</v>
      </c>
      <c r="I26" s="495">
        <f t="shared" si="0"/>
        <v>20698563.289999999</v>
      </c>
    </row>
    <row r="27" spans="1:9">
      <c r="A27" s="494">
        <v>21</v>
      </c>
      <c r="B27" s="501" t="s">
        <v>585</v>
      </c>
      <c r="C27" s="587">
        <v>49325.22</v>
      </c>
      <c r="D27" s="587">
        <v>3125825.37</v>
      </c>
      <c r="E27" s="587">
        <v>44447.850000000006</v>
      </c>
      <c r="F27" s="587">
        <v>58434.279999999992</v>
      </c>
      <c r="G27" s="587">
        <v>0</v>
      </c>
      <c r="H27" s="587">
        <v>0</v>
      </c>
      <c r="I27" s="495">
        <f t="shared" si="0"/>
        <v>3072268.4600000004</v>
      </c>
    </row>
    <row r="28" spans="1:9">
      <c r="A28" s="494">
        <v>22</v>
      </c>
      <c r="B28" s="501" t="s">
        <v>586</v>
      </c>
      <c r="C28" s="587">
        <v>0</v>
      </c>
      <c r="D28" s="587">
        <v>721442.44000000006</v>
      </c>
      <c r="E28" s="587">
        <v>71752.649999999994</v>
      </c>
      <c r="F28" s="587">
        <v>62.5</v>
      </c>
      <c r="G28" s="587">
        <v>0</v>
      </c>
      <c r="H28" s="587">
        <v>0</v>
      </c>
      <c r="I28" s="495">
        <f t="shared" si="0"/>
        <v>649627.29</v>
      </c>
    </row>
    <row r="29" spans="1:9">
      <c r="A29" s="494">
        <v>23</v>
      </c>
      <c r="B29" s="501" t="s">
        <v>587</v>
      </c>
      <c r="C29" s="587">
        <v>8726648.459999999</v>
      </c>
      <c r="D29" s="587">
        <v>58753700.82</v>
      </c>
      <c r="E29" s="587">
        <v>3816688.2499999991</v>
      </c>
      <c r="F29" s="587">
        <v>1049141.8199999998</v>
      </c>
      <c r="G29" s="587">
        <v>0</v>
      </c>
      <c r="H29" s="587">
        <v>37193.31</v>
      </c>
      <c r="I29" s="495">
        <f t="shared" si="0"/>
        <v>62614519.210000001</v>
      </c>
    </row>
    <row r="30" spans="1:9">
      <c r="A30" s="494">
        <v>24</v>
      </c>
      <c r="B30" s="501" t="s">
        <v>588</v>
      </c>
      <c r="C30" s="587">
        <v>5372410.4699999997</v>
      </c>
      <c r="D30" s="587">
        <v>92517965.109999985</v>
      </c>
      <c r="E30" s="587">
        <v>2715588.2699999991</v>
      </c>
      <c r="F30" s="587">
        <v>1725727.3899999992</v>
      </c>
      <c r="G30" s="587">
        <v>0</v>
      </c>
      <c r="H30" s="587">
        <v>23259.75</v>
      </c>
      <c r="I30" s="495">
        <f t="shared" si="0"/>
        <v>93449059.919999987</v>
      </c>
    </row>
    <row r="31" spans="1:9">
      <c r="A31" s="494">
        <v>25</v>
      </c>
      <c r="B31" s="501" t="s">
        <v>589</v>
      </c>
      <c r="C31" s="587">
        <v>1952811.79</v>
      </c>
      <c r="D31" s="587">
        <v>10660092.439999998</v>
      </c>
      <c r="E31" s="587">
        <v>721189.46000000008</v>
      </c>
      <c r="F31" s="587">
        <v>195993.63000000006</v>
      </c>
      <c r="G31" s="587">
        <v>0</v>
      </c>
      <c r="H31" s="587">
        <v>103895.17000000001</v>
      </c>
      <c r="I31" s="495">
        <f t="shared" si="0"/>
        <v>11695721.139999995</v>
      </c>
    </row>
    <row r="32" spans="1:9">
      <c r="A32" s="494">
        <v>26</v>
      </c>
      <c r="B32" s="501" t="s">
        <v>590</v>
      </c>
      <c r="C32" s="587">
        <v>8976940.8100002967</v>
      </c>
      <c r="D32" s="587">
        <v>191551239.62999892</v>
      </c>
      <c r="E32" s="587">
        <v>4572556.2999999961</v>
      </c>
      <c r="F32" s="587">
        <v>3522233.2700000084</v>
      </c>
      <c r="G32" s="587">
        <v>0</v>
      </c>
      <c r="H32" s="587">
        <v>0</v>
      </c>
      <c r="I32" s="495">
        <f t="shared" si="0"/>
        <v>192433390.86999923</v>
      </c>
    </row>
    <row r="33" spans="1:9">
      <c r="A33" s="494">
        <v>27</v>
      </c>
      <c r="B33" s="494" t="s">
        <v>165</v>
      </c>
      <c r="C33" s="587">
        <v>28336373.809999995</v>
      </c>
      <c r="D33" s="587">
        <v>96172912.451999992</v>
      </c>
      <c r="E33" s="587">
        <v>24597385.821999993</v>
      </c>
      <c r="F33" s="587">
        <v>0</v>
      </c>
      <c r="G33" s="587">
        <v>0</v>
      </c>
      <c r="H33" s="587">
        <v>0</v>
      </c>
      <c r="I33" s="495">
        <f t="shared" si="0"/>
        <v>99911900.439999998</v>
      </c>
    </row>
    <row r="34" spans="1:9">
      <c r="A34" s="494">
        <v>28</v>
      </c>
      <c r="B34" s="486" t="s">
        <v>68</v>
      </c>
      <c r="C34" s="586">
        <f>SUM(C7:C33)</f>
        <v>86276201.890000284</v>
      </c>
      <c r="D34" s="586">
        <f t="shared" ref="D34:H34" si="1">SUM(D7:D33)</f>
        <v>1359669350.7419987</v>
      </c>
      <c r="E34" s="586">
        <f t="shared" si="1"/>
        <v>55833468.39199999</v>
      </c>
      <c r="F34" s="586">
        <f t="shared" si="1"/>
        <v>16776000.310000006</v>
      </c>
      <c r="G34" s="587">
        <v>0</v>
      </c>
      <c r="H34" s="586">
        <f t="shared" si="1"/>
        <v>354700.55000000005</v>
      </c>
      <c r="I34" s="495">
        <f t="shared" si="0"/>
        <v>1373336083.9299991</v>
      </c>
    </row>
    <row r="36" spans="1:9">
      <c r="B36" s="502"/>
    </row>
    <row r="42" spans="1:9">
      <c r="A42" s="498"/>
      <c r="B42" s="498"/>
    </row>
    <row r="43" spans="1:9">
      <c r="A43" s="498"/>
      <c r="B43" s="498"/>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C6" sqref="C6:D19"/>
    </sheetView>
  </sheetViews>
  <sheetFormatPr defaultColWidth="9.140625" defaultRowHeight="12.75"/>
  <cols>
    <col min="1" max="1" width="11.85546875" style="481" bestFit="1" customWidth="1"/>
    <col min="2" max="2" width="108" style="481" bestFit="1" customWidth="1"/>
    <col min="3" max="3" width="35.5703125" style="481" customWidth="1"/>
    <col min="4" max="4" width="38.42578125" style="481" customWidth="1"/>
    <col min="5" max="16384" width="9.140625" style="481"/>
  </cols>
  <sheetData>
    <row r="1" spans="1:4">
      <c r="A1" s="480" t="s">
        <v>188</v>
      </c>
      <c r="B1" s="621" t="str">
        <f>'1. key ratios'!B1</f>
        <v>ს.ს. "ტერაბანკი"</v>
      </c>
    </row>
    <row r="2" spans="1:4">
      <c r="A2" s="480" t="s">
        <v>189</v>
      </c>
    </row>
    <row r="3" spans="1:4">
      <c r="A3" s="482" t="s">
        <v>591</v>
      </c>
      <c r="B3" s="483">
        <f>'1. key ratios'!B2</f>
        <v>44651</v>
      </c>
    </row>
    <row r="5" spans="1:4" ht="51">
      <c r="A5" s="686" t="s">
        <v>592</v>
      </c>
      <c r="B5" s="686"/>
      <c r="C5" s="484" t="s">
        <v>593</v>
      </c>
      <c r="D5" s="484" t="s">
        <v>594</v>
      </c>
    </row>
    <row r="6" spans="1:4">
      <c r="A6" s="503">
        <v>1</v>
      </c>
      <c r="B6" s="504" t="s">
        <v>595</v>
      </c>
      <c r="C6" s="586">
        <v>49098444.240000226</v>
      </c>
      <c r="D6" s="586">
        <v>100000</v>
      </c>
    </row>
    <row r="7" spans="1:4">
      <c r="A7" s="505">
        <v>2</v>
      </c>
      <c r="B7" s="504" t="s">
        <v>596</v>
      </c>
      <c r="C7" s="586">
        <f>SUM(C8:C11)</f>
        <v>5772986.9045269014</v>
      </c>
      <c r="D7" s="586">
        <f>SUM(D8:D11)</f>
        <v>0</v>
      </c>
    </row>
    <row r="8" spans="1:4">
      <c r="A8" s="505">
        <v>2.1</v>
      </c>
      <c r="B8" s="506" t="s">
        <v>597</v>
      </c>
      <c r="C8" s="587">
        <v>3481609.4551080009</v>
      </c>
      <c r="D8" s="587">
        <v>0</v>
      </c>
    </row>
    <row r="9" spans="1:4">
      <c r="A9" s="505">
        <v>2.2000000000000002</v>
      </c>
      <c r="B9" s="506" t="s">
        <v>598</v>
      </c>
      <c r="C9" s="587">
        <v>2291377.4494189005</v>
      </c>
      <c r="D9" s="587">
        <v>0</v>
      </c>
    </row>
    <row r="10" spans="1:4">
      <c r="A10" s="505">
        <v>2.2999999999999998</v>
      </c>
      <c r="B10" s="506" t="s">
        <v>599</v>
      </c>
      <c r="C10" s="587">
        <v>0</v>
      </c>
      <c r="D10" s="587">
        <v>0</v>
      </c>
    </row>
    <row r="11" spans="1:4">
      <c r="A11" s="505">
        <v>2.4</v>
      </c>
      <c r="B11" s="506" t="s">
        <v>600</v>
      </c>
      <c r="C11" s="587">
        <v>0</v>
      </c>
      <c r="D11" s="587">
        <v>0</v>
      </c>
    </row>
    <row r="12" spans="1:4">
      <c r="A12" s="503">
        <v>3</v>
      </c>
      <c r="B12" s="504" t="s">
        <v>601</v>
      </c>
      <c r="C12" s="586">
        <f>SUM(C13:C18)</f>
        <v>5732723.6745269997</v>
      </c>
      <c r="D12" s="586">
        <f>SUM(D13:D18)</f>
        <v>0</v>
      </c>
    </row>
    <row r="13" spans="1:4">
      <c r="A13" s="505">
        <v>3.1</v>
      </c>
      <c r="B13" s="506" t="s">
        <v>602</v>
      </c>
      <c r="C13" s="587">
        <v>354700.12000000011</v>
      </c>
      <c r="D13" s="587">
        <v>0</v>
      </c>
    </row>
    <row r="14" spans="1:4">
      <c r="A14" s="505">
        <v>3.2</v>
      </c>
      <c r="B14" s="506" t="s">
        <v>603</v>
      </c>
      <c r="C14" s="587">
        <v>1728898.489666</v>
      </c>
      <c r="D14" s="587">
        <v>0</v>
      </c>
    </row>
    <row r="15" spans="1:4">
      <c r="A15" s="505">
        <v>3.3</v>
      </c>
      <c r="B15" s="506" t="s">
        <v>604</v>
      </c>
      <c r="C15" s="587">
        <v>2976346.2608329998</v>
      </c>
      <c r="D15" s="587">
        <v>0</v>
      </c>
    </row>
    <row r="16" spans="1:4">
      <c r="A16" s="505">
        <v>3.4</v>
      </c>
      <c r="B16" s="506" t="s">
        <v>605</v>
      </c>
      <c r="C16" s="587">
        <v>520862.93126500002</v>
      </c>
      <c r="D16" s="587">
        <v>0</v>
      </c>
    </row>
    <row r="17" spans="1:4">
      <c r="A17" s="505">
        <v>3.5</v>
      </c>
      <c r="B17" s="506" t="s">
        <v>606</v>
      </c>
      <c r="C17" s="587">
        <v>151915.8727629995</v>
      </c>
      <c r="D17" s="587">
        <v>0</v>
      </c>
    </row>
    <row r="18" spans="1:4">
      <c r="A18" s="505">
        <v>3.6</v>
      </c>
      <c r="B18" s="506" t="s">
        <v>607</v>
      </c>
      <c r="C18" s="587">
        <v>0</v>
      </c>
      <c r="D18" s="587">
        <v>0</v>
      </c>
    </row>
    <row r="19" spans="1:4">
      <c r="A19" s="507">
        <v>4</v>
      </c>
      <c r="B19" s="504" t="s">
        <v>608</v>
      </c>
      <c r="C19" s="586">
        <f>C6+C7-C12</f>
        <v>49138707.470000133</v>
      </c>
      <c r="D19" s="586">
        <f>D6+D7-D12</f>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C7" sqref="C7:D19"/>
    </sheetView>
  </sheetViews>
  <sheetFormatPr defaultColWidth="9.140625" defaultRowHeight="12.75"/>
  <cols>
    <col min="1" max="1" width="11.85546875" style="481" bestFit="1" customWidth="1"/>
    <col min="2" max="2" width="124.7109375" style="481" customWidth="1"/>
    <col min="3" max="3" width="21.5703125" style="481" customWidth="1"/>
    <col min="4" max="4" width="49.140625" style="481" customWidth="1"/>
    <col min="5" max="16384" width="9.140625" style="481"/>
  </cols>
  <sheetData>
    <row r="1" spans="1:4">
      <c r="A1" s="480" t="s">
        <v>188</v>
      </c>
      <c r="B1" s="621" t="str">
        <f>'1. key ratios'!B1</f>
        <v>ს.ს. "ტერაბანკი"</v>
      </c>
    </row>
    <row r="2" spans="1:4">
      <c r="A2" s="480" t="s">
        <v>189</v>
      </c>
    </row>
    <row r="3" spans="1:4">
      <c r="A3" s="482" t="s">
        <v>609</v>
      </c>
      <c r="B3" s="483">
        <f>'1. key ratios'!B2</f>
        <v>44651</v>
      </c>
    </row>
    <row r="4" spans="1:4">
      <c r="A4" s="482"/>
    </row>
    <row r="5" spans="1:4" ht="15" customHeight="1">
      <c r="A5" s="687" t="s">
        <v>610</v>
      </c>
      <c r="B5" s="688"/>
      <c r="C5" s="677" t="s">
        <v>611</v>
      </c>
      <c r="D5" s="691" t="s">
        <v>612</v>
      </c>
    </row>
    <row r="6" spans="1:4">
      <c r="A6" s="689"/>
      <c r="B6" s="690"/>
      <c r="C6" s="680"/>
      <c r="D6" s="691"/>
    </row>
    <row r="7" spans="1:4">
      <c r="A7" s="486">
        <v>1</v>
      </c>
      <c r="B7" s="486" t="s">
        <v>613</v>
      </c>
      <c r="C7" s="586">
        <v>57961999.948300004</v>
      </c>
      <c r="D7" s="508"/>
    </row>
    <row r="8" spans="1:4">
      <c r="A8" s="494">
        <v>2</v>
      </c>
      <c r="B8" s="494" t="s">
        <v>614</v>
      </c>
      <c r="C8" s="587">
        <v>5966494.3462474635</v>
      </c>
      <c r="D8" s="508"/>
    </row>
    <row r="9" spans="1:4">
      <c r="A9" s="494">
        <v>3</v>
      </c>
      <c r="B9" s="509" t="s">
        <v>615</v>
      </c>
      <c r="C9" s="587">
        <v>29223.447795539945</v>
      </c>
      <c r="D9" s="508"/>
    </row>
    <row r="10" spans="1:4">
      <c r="A10" s="494">
        <v>4</v>
      </c>
      <c r="B10" s="494" t="s">
        <v>616</v>
      </c>
      <c r="C10" s="587">
        <f>SUM(C11:C18)</f>
        <v>6090365.0777826514</v>
      </c>
      <c r="D10" s="508"/>
    </row>
    <row r="11" spans="1:4">
      <c r="A11" s="494">
        <v>5</v>
      </c>
      <c r="B11" s="510" t="s">
        <v>617</v>
      </c>
      <c r="C11" s="587">
        <v>-3.1</v>
      </c>
      <c r="D11" s="508"/>
    </row>
    <row r="12" spans="1:4">
      <c r="A12" s="494">
        <v>6</v>
      </c>
      <c r="B12" s="510" t="s">
        <v>618</v>
      </c>
      <c r="C12" s="587">
        <v>680723.92700000003</v>
      </c>
      <c r="D12" s="508"/>
    </row>
    <row r="13" spans="1:4">
      <c r="A13" s="494">
        <v>7</v>
      </c>
      <c r="B13" s="510" t="s">
        <v>619</v>
      </c>
      <c r="C13" s="587">
        <v>4846675.6938075703</v>
      </c>
      <c r="D13" s="508"/>
    </row>
    <row r="14" spans="1:4">
      <c r="A14" s="494">
        <v>8</v>
      </c>
      <c r="B14" s="510" t="s">
        <v>620</v>
      </c>
      <c r="C14" s="587">
        <v>0</v>
      </c>
      <c r="D14" s="587">
        <v>0</v>
      </c>
    </row>
    <row r="15" spans="1:4">
      <c r="A15" s="494">
        <v>9</v>
      </c>
      <c r="B15" s="510" t="s">
        <v>621</v>
      </c>
      <c r="C15" s="587">
        <v>0</v>
      </c>
      <c r="D15" s="587">
        <v>0</v>
      </c>
    </row>
    <row r="16" spans="1:4">
      <c r="A16" s="494">
        <v>10</v>
      </c>
      <c r="B16" s="510" t="s">
        <v>622</v>
      </c>
      <c r="C16" s="587">
        <v>345311.89999999997</v>
      </c>
      <c r="D16" s="508"/>
    </row>
    <row r="17" spans="1:4">
      <c r="A17" s="494">
        <v>11</v>
      </c>
      <c r="B17" s="510" t="s">
        <v>623</v>
      </c>
      <c r="C17" s="587">
        <v>0</v>
      </c>
      <c r="D17" s="587">
        <v>0</v>
      </c>
    </row>
    <row r="18" spans="1:4" ht="25.5">
      <c r="A18" s="494">
        <v>12</v>
      </c>
      <c r="B18" s="510" t="s">
        <v>624</v>
      </c>
      <c r="C18" s="587">
        <v>217656.65697508166</v>
      </c>
      <c r="D18" s="508"/>
    </row>
    <row r="19" spans="1:4">
      <c r="A19" s="486">
        <v>13</v>
      </c>
      <c r="B19" s="511" t="s">
        <v>625</v>
      </c>
      <c r="C19" s="586">
        <f>C7+C8+C9-C10</f>
        <v>57867352.664560355</v>
      </c>
      <c r="D19" s="512"/>
    </row>
    <row r="22" spans="1:4">
      <c r="B22" s="480"/>
    </row>
    <row r="23" spans="1:4">
      <c r="B23" s="480"/>
    </row>
    <row r="24" spans="1:4">
      <c r="B24" s="48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workbookViewId="0">
      <selection activeCell="C10" sqref="C10"/>
    </sheetView>
  </sheetViews>
  <sheetFormatPr defaultColWidth="9.140625" defaultRowHeight="12.75"/>
  <cols>
    <col min="1" max="1" width="11.85546875" style="481" bestFit="1" customWidth="1"/>
    <col min="2" max="2" width="80.7109375" style="481" customWidth="1"/>
    <col min="3" max="3" width="15.5703125" style="481" customWidth="1"/>
    <col min="4" max="5" width="22.28515625" style="481" customWidth="1"/>
    <col min="6" max="6" width="23.42578125" style="481" customWidth="1"/>
    <col min="7" max="14" width="22.28515625" style="481" customWidth="1"/>
    <col min="15" max="15" width="23.28515625" style="481" bestFit="1" customWidth="1"/>
    <col min="16" max="16" width="21.7109375" style="481" bestFit="1" customWidth="1"/>
    <col min="17" max="19" width="19" style="481" bestFit="1" customWidth="1"/>
    <col min="20" max="20" width="16.140625" style="481" customWidth="1"/>
    <col min="21" max="21" width="10.42578125" style="481" bestFit="1" customWidth="1"/>
    <col min="22" max="22" width="20" style="481" customWidth="1"/>
    <col min="23" max="16384" width="9.140625" style="481"/>
  </cols>
  <sheetData>
    <row r="1" spans="1:22">
      <c r="A1" s="480" t="s">
        <v>188</v>
      </c>
      <c r="B1" s="621" t="str">
        <f>'1. key ratios'!B1</f>
        <v>ს.ს. "ტერაბანკი"</v>
      </c>
    </row>
    <row r="2" spans="1:22">
      <c r="A2" s="480" t="s">
        <v>189</v>
      </c>
      <c r="B2" s="490"/>
      <c r="C2" s="490"/>
    </row>
    <row r="3" spans="1:22">
      <c r="A3" s="482" t="s">
        <v>626</v>
      </c>
      <c r="B3" s="483">
        <f>'1. key ratios'!B2</f>
        <v>44651</v>
      </c>
    </row>
    <row r="5" spans="1:22" ht="15" customHeight="1">
      <c r="A5" s="677" t="s">
        <v>627</v>
      </c>
      <c r="B5" s="679"/>
      <c r="C5" s="694" t="s">
        <v>628</v>
      </c>
      <c r="D5" s="695"/>
      <c r="E5" s="695"/>
      <c r="F5" s="695"/>
      <c r="G5" s="695"/>
      <c r="H5" s="695"/>
      <c r="I5" s="695"/>
      <c r="J5" s="695"/>
      <c r="K5" s="695"/>
      <c r="L5" s="695"/>
      <c r="M5" s="695"/>
      <c r="N5" s="695"/>
      <c r="O5" s="695"/>
      <c r="P5" s="695"/>
      <c r="Q5" s="695"/>
      <c r="R5" s="695"/>
      <c r="S5" s="695"/>
      <c r="T5" s="695"/>
      <c r="U5" s="696"/>
      <c r="V5" s="513"/>
    </row>
    <row r="6" spans="1:22">
      <c r="A6" s="692"/>
      <c r="B6" s="693"/>
      <c r="C6" s="697" t="s">
        <v>68</v>
      </c>
      <c r="D6" s="699" t="s">
        <v>629</v>
      </c>
      <c r="E6" s="699"/>
      <c r="F6" s="684"/>
      <c r="G6" s="700" t="s">
        <v>630</v>
      </c>
      <c r="H6" s="701"/>
      <c r="I6" s="701"/>
      <c r="J6" s="701"/>
      <c r="K6" s="702"/>
      <c r="L6" s="514"/>
      <c r="M6" s="703" t="s">
        <v>631</v>
      </c>
      <c r="N6" s="703"/>
      <c r="O6" s="684"/>
      <c r="P6" s="684"/>
      <c r="Q6" s="684"/>
      <c r="R6" s="684"/>
      <c r="S6" s="684"/>
      <c r="T6" s="684"/>
      <c r="U6" s="684"/>
      <c r="V6" s="514"/>
    </row>
    <row r="7" spans="1:22" ht="25.5">
      <c r="A7" s="680"/>
      <c r="B7" s="682"/>
      <c r="C7" s="698"/>
      <c r="D7" s="601"/>
      <c r="E7" s="492" t="s">
        <v>632</v>
      </c>
      <c r="F7" s="492" t="s">
        <v>633</v>
      </c>
      <c r="G7" s="490"/>
      <c r="H7" s="492" t="s">
        <v>632</v>
      </c>
      <c r="I7" s="492" t="s">
        <v>659</v>
      </c>
      <c r="J7" s="492" t="s">
        <v>634</v>
      </c>
      <c r="K7" s="492" t="s">
        <v>635</v>
      </c>
      <c r="L7" s="527"/>
      <c r="M7" s="526" t="s">
        <v>636</v>
      </c>
      <c r="N7" s="492" t="s">
        <v>634</v>
      </c>
      <c r="O7" s="492" t="s">
        <v>637</v>
      </c>
      <c r="P7" s="492" t="s">
        <v>638</v>
      </c>
      <c r="Q7" s="492" t="s">
        <v>639</v>
      </c>
      <c r="R7" s="492" t="s">
        <v>640</v>
      </c>
      <c r="S7" s="492" t="s">
        <v>641</v>
      </c>
      <c r="T7" s="600" t="s">
        <v>642</v>
      </c>
      <c r="U7" s="492" t="s">
        <v>643</v>
      </c>
      <c r="V7" s="513"/>
    </row>
    <row r="8" spans="1:22">
      <c r="A8" s="515">
        <v>1</v>
      </c>
      <c r="B8" s="486" t="s">
        <v>644</v>
      </c>
      <c r="C8" s="586">
        <v>1001625239.6299999</v>
      </c>
      <c r="D8" s="587">
        <v>846361766.72000098</v>
      </c>
      <c r="E8" s="587">
        <v>25426534.749999996</v>
      </c>
      <c r="F8" s="587">
        <v>1444103.7</v>
      </c>
      <c r="G8" s="587">
        <v>97396120.680000037</v>
      </c>
      <c r="H8" s="587">
        <v>6948627.6600000001</v>
      </c>
      <c r="I8" s="587">
        <v>5181531.6899999995</v>
      </c>
      <c r="J8" s="587">
        <v>2457920.2999999998</v>
      </c>
      <c r="K8" s="587">
        <v>467580.64</v>
      </c>
      <c r="L8" s="587">
        <v>57867352.230000317</v>
      </c>
      <c r="M8" s="587">
        <v>7784302.6899999976</v>
      </c>
      <c r="N8" s="587">
        <v>1465796.6900000002</v>
      </c>
      <c r="O8" s="587">
        <v>6664936.870000001</v>
      </c>
      <c r="P8" s="587">
        <v>3677444.1900000004</v>
      </c>
      <c r="Q8" s="587">
        <v>6135774.9000000004</v>
      </c>
      <c r="R8" s="587">
        <v>757555.34</v>
      </c>
      <c r="S8" s="587">
        <v>0</v>
      </c>
      <c r="T8" s="587">
        <v>0</v>
      </c>
      <c r="U8" s="587">
        <v>1041405.550000296</v>
      </c>
    </row>
    <row r="9" spans="1:22">
      <c r="A9" s="494">
        <v>1.1000000000000001</v>
      </c>
      <c r="B9" s="516" t="s">
        <v>645</v>
      </c>
      <c r="C9" s="589"/>
      <c r="D9" s="587"/>
      <c r="E9" s="587"/>
      <c r="F9" s="587"/>
      <c r="G9" s="587"/>
      <c r="H9" s="587"/>
      <c r="I9" s="587"/>
      <c r="J9" s="587"/>
      <c r="K9" s="587"/>
      <c r="L9" s="587"/>
      <c r="M9" s="587"/>
      <c r="N9" s="587"/>
      <c r="O9" s="587"/>
      <c r="P9" s="587"/>
      <c r="Q9" s="587"/>
      <c r="R9" s="587"/>
      <c r="S9" s="587"/>
      <c r="T9" s="587"/>
      <c r="U9" s="587"/>
    </row>
    <row r="10" spans="1:22">
      <c r="A10" s="494">
        <v>1.2</v>
      </c>
      <c r="B10" s="516" t="s">
        <v>646</v>
      </c>
      <c r="C10" s="589"/>
      <c r="D10" s="587"/>
      <c r="E10" s="587"/>
      <c r="F10" s="587"/>
      <c r="G10" s="587"/>
      <c r="H10" s="587"/>
      <c r="I10" s="587"/>
      <c r="J10" s="587"/>
      <c r="K10" s="587"/>
      <c r="L10" s="587"/>
      <c r="M10" s="587"/>
      <c r="N10" s="587"/>
      <c r="O10" s="587"/>
      <c r="P10" s="587"/>
      <c r="Q10" s="587"/>
      <c r="R10" s="587"/>
      <c r="S10" s="587"/>
      <c r="T10" s="587"/>
      <c r="U10" s="587"/>
    </row>
    <row r="11" spans="1:22">
      <c r="A11" s="494">
        <v>1.3</v>
      </c>
      <c r="B11" s="516" t="s">
        <v>647</v>
      </c>
      <c r="C11" s="589"/>
      <c r="D11" s="587"/>
      <c r="E11" s="587"/>
      <c r="F11" s="587"/>
      <c r="G11" s="587"/>
      <c r="H11" s="587"/>
      <c r="I11" s="587"/>
      <c r="J11" s="587"/>
      <c r="K11" s="587"/>
      <c r="L11" s="587"/>
      <c r="M11" s="587"/>
      <c r="N11" s="587"/>
      <c r="O11" s="587"/>
      <c r="P11" s="587"/>
      <c r="Q11" s="587"/>
      <c r="R11" s="587"/>
      <c r="S11" s="587"/>
      <c r="T11" s="587"/>
      <c r="U11" s="587"/>
    </row>
    <row r="12" spans="1:22">
      <c r="A12" s="494">
        <v>1.4</v>
      </c>
      <c r="B12" s="516" t="s">
        <v>648</v>
      </c>
      <c r="C12" s="589">
        <v>38441642.469999999</v>
      </c>
      <c r="D12" s="587">
        <v>38126479</v>
      </c>
      <c r="E12" s="587">
        <v>0</v>
      </c>
      <c r="F12" s="587">
        <v>0</v>
      </c>
      <c r="G12" s="587">
        <v>77313.55</v>
      </c>
      <c r="H12" s="587">
        <v>77313.55</v>
      </c>
      <c r="I12" s="587">
        <v>0</v>
      </c>
      <c r="J12" s="587">
        <v>0</v>
      </c>
      <c r="K12" s="587">
        <v>0</v>
      </c>
      <c r="L12" s="587">
        <v>237849.91999999998</v>
      </c>
      <c r="M12" s="587">
        <v>0</v>
      </c>
      <c r="N12" s="587">
        <v>0</v>
      </c>
      <c r="O12" s="587">
        <v>0</v>
      </c>
      <c r="P12" s="587">
        <v>57639.3</v>
      </c>
      <c r="Q12" s="587">
        <v>0</v>
      </c>
      <c r="R12" s="587">
        <v>0</v>
      </c>
      <c r="S12" s="587">
        <v>0</v>
      </c>
      <c r="T12" s="587">
        <v>0</v>
      </c>
      <c r="U12" s="587">
        <v>0</v>
      </c>
    </row>
    <row r="13" spans="1:22">
      <c r="A13" s="494">
        <v>1.5</v>
      </c>
      <c r="B13" s="516" t="s">
        <v>649</v>
      </c>
      <c r="C13" s="589">
        <v>452226095.99999964</v>
      </c>
      <c r="D13" s="587">
        <v>388162573.36000007</v>
      </c>
      <c r="E13" s="587">
        <v>15326264.029999999</v>
      </c>
      <c r="F13" s="587">
        <v>1444103.7</v>
      </c>
      <c r="G13" s="587">
        <v>44853304.080000028</v>
      </c>
      <c r="H13" s="587">
        <v>1834040.2999999998</v>
      </c>
      <c r="I13" s="587">
        <v>4029153.13</v>
      </c>
      <c r="J13" s="587">
        <v>1737030.94</v>
      </c>
      <c r="K13" s="587">
        <v>0</v>
      </c>
      <c r="L13" s="587">
        <v>19210218.559999999</v>
      </c>
      <c r="M13" s="587">
        <v>3285091.2699999991</v>
      </c>
      <c r="N13" s="587">
        <v>1144923.6200000001</v>
      </c>
      <c r="O13" s="587">
        <v>4785548.3900000006</v>
      </c>
      <c r="P13" s="587">
        <v>1060723.02</v>
      </c>
      <c r="Q13" s="587">
        <v>2222923.33</v>
      </c>
      <c r="R13" s="587">
        <v>484313.23</v>
      </c>
      <c r="S13" s="587">
        <v>0</v>
      </c>
      <c r="T13" s="587">
        <v>0</v>
      </c>
      <c r="U13" s="587">
        <v>98255.77</v>
      </c>
    </row>
    <row r="14" spans="1:22">
      <c r="A14" s="494">
        <v>1.6</v>
      </c>
      <c r="B14" s="516" t="s">
        <v>650</v>
      </c>
      <c r="C14" s="589">
        <v>510957501.16000026</v>
      </c>
      <c r="D14" s="587">
        <v>420072714.36000097</v>
      </c>
      <c r="E14" s="587">
        <v>10100270.719999997</v>
      </c>
      <c r="F14" s="587">
        <v>0</v>
      </c>
      <c r="G14" s="587">
        <v>52465503.050000019</v>
      </c>
      <c r="H14" s="587">
        <v>5037273.8100000005</v>
      </c>
      <c r="I14" s="587">
        <v>1152378.56</v>
      </c>
      <c r="J14" s="587">
        <v>720889.36</v>
      </c>
      <c r="K14" s="587">
        <v>467580.64</v>
      </c>
      <c r="L14" s="587">
        <v>38419283.75000032</v>
      </c>
      <c r="M14" s="587">
        <v>4499211.419999999</v>
      </c>
      <c r="N14" s="587">
        <v>320873.07000000007</v>
      </c>
      <c r="O14" s="587">
        <v>1879388.48</v>
      </c>
      <c r="P14" s="587">
        <v>2559081.87</v>
      </c>
      <c r="Q14" s="587">
        <v>3912851.5700000003</v>
      </c>
      <c r="R14" s="587">
        <v>273242.11</v>
      </c>
      <c r="S14" s="587">
        <v>0</v>
      </c>
      <c r="T14" s="587">
        <v>0</v>
      </c>
      <c r="U14" s="587">
        <v>943149.78000029596</v>
      </c>
    </row>
    <row r="15" spans="1:22">
      <c r="A15" s="515">
        <v>2</v>
      </c>
      <c r="B15" s="486" t="s">
        <v>651</v>
      </c>
      <c r="C15" s="586">
        <v>152627685.78</v>
      </c>
      <c r="D15" s="587">
        <v>152627685.78</v>
      </c>
      <c r="E15" s="587">
        <v>0</v>
      </c>
      <c r="F15" s="587">
        <v>0</v>
      </c>
      <c r="G15" s="587">
        <v>0</v>
      </c>
      <c r="H15" s="587">
        <v>0</v>
      </c>
      <c r="I15" s="587">
        <v>0</v>
      </c>
      <c r="J15" s="587">
        <v>0</v>
      </c>
      <c r="K15" s="587">
        <v>0</v>
      </c>
      <c r="L15" s="587">
        <v>0</v>
      </c>
      <c r="M15" s="587">
        <v>0</v>
      </c>
      <c r="N15" s="587">
        <v>0</v>
      </c>
      <c r="O15" s="587">
        <v>0</v>
      </c>
      <c r="P15" s="587">
        <v>0</v>
      </c>
      <c r="Q15" s="587">
        <v>0</v>
      </c>
      <c r="R15" s="587">
        <v>0</v>
      </c>
      <c r="S15" s="587">
        <v>0</v>
      </c>
      <c r="T15" s="587">
        <v>0</v>
      </c>
      <c r="U15" s="587">
        <v>0</v>
      </c>
    </row>
    <row r="16" spans="1:22">
      <c r="A16" s="494">
        <v>2.1</v>
      </c>
      <c r="B16" s="516" t="s">
        <v>645</v>
      </c>
      <c r="C16" s="589">
        <v>0</v>
      </c>
      <c r="D16" s="587">
        <v>0</v>
      </c>
      <c r="E16" s="587">
        <v>0</v>
      </c>
      <c r="F16" s="587">
        <v>0</v>
      </c>
      <c r="G16" s="587">
        <v>0</v>
      </c>
      <c r="H16" s="587">
        <v>0</v>
      </c>
      <c r="I16" s="587">
        <v>0</v>
      </c>
      <c r="J16" s="587">
        <v>0</v>
      </c>
      <c r="K16" s="587">
        <v>0</v>
      </c>
      <c r="L16" s="587">
        <v>0</v>
      </c>
      <c r="M16" s="587">
        <v>0</v>
      </c>
      <c r="N16" s="587">
        <v>0</v>
      </c>
      <c r="O16" s="587">
        <v>0</v>
      </c>
      <c r="P16" s="587">
        <v>0</v>
      </c>
      <c r="Q16" s="587">
        <v>0</v>
      </c>
      <c r="R16" s="587">
        <v>0</v>
      </c>
      <c r="S16" s="587">
        <v>0</v>
      </c>
      <c r="T16" s="587">
        <v>0</v>
      </c>
      <c r="U16" s="587">
        <v>0</v>
      </c>
    </row>
    <row r="17" spans="1:21">
      <c r="A17" s="494">
        <v>2.2000000000000002</v>
      </c>
      <c r="B17" s="516" t="s">
        <v>646</v>
      </c>
      <c r="C17" s="589">
        <v>152627685.78</v>
      </c>
      <c r="D17" s="587">
        <v>152627685.78</v>
      </c>
      <c r="E17" s="587">
        <v>0</v>
      </c>
      <c r="F17" s="587">
        <v>0</v>
      </c>
      <c r="G17" s="587">
        <v>0</v>
      </c>
      <c r="H17" s="587">
        <v>0</v>
      </c>
      <c r="I17" s="587">
        <v>0</v>
      </c>
      <c r="J17" s="587">
        <v>0</v>
      </c>
      <c r="K17" s="587">
        <v>0</v>
      </c>
      <c r="L17" s="587">
        <v>0</v>
      </c>
      <c r="M17" s="587">
        <v>0</v>
      </c>
      <c r="N17" s="587">
        <v>0</v>
      </c>
      <c r="O17" s="587">
        <v>0</v>
      </c>
      <c r="P17" s="587">
        <v>0</v>
      </c>
      <c r="Q17" s="587">
        <v>0</v>
      </c>
      <c r="R17" s="587">
        <v>0</v>
      </c>
      <c r="S17" s="587">
        <v>0</v>
      </c>
      <c r="T17" s="587">
        <v>0</v>
      </c>
      <c r="U17" s="587">
        <v>0</v>
      </c>
    </row>
    <row r="18" spans="1:21">
      <c r="A18" s="494">
        <v>2.2999999999999998</v>
      </c>
      <c r="B18" s="516" t="s">
        <v>647</v>
      </c>
      <c r="C18" s="589">
        <v>0</v>
      </c>
      <c r="D18" s="587">
        <v>0</v>
      </c>
      <c r="E18" s="587">
        <v>0</v>
      </c>
      <c r="F18" s="587">
        <v>0</v>
      </c>
      <c r="G18" s="587">
        <v>0</v>
      </c>
      <c r="H18" s="587">
        <v>0</v>
      </c>
      <c r="I18" s="587">
        <v>0</v>
      </c>
      <c r="J18" s="587">
        <v>0</v>
      </c>
      <c r="K18" s="587">
        <v>0</v>
      </c>
      <c r="L18" s="587">
        <v>0</v>
      </c>
      <c r="M18" s="587">
        <v>0</v>
      </c>
      <c r="N18" s="587">
        <v>0</v>
      </c>
      <c r="O18" s="587">
        <v>0</v>
      </c>
      <c r="P18" s="587">
        <v>0</v>
      </c>
      <c r="Q18" s="587">
        <v>0</v>
      </c>
      <c r="R18" s="587">
        <v>0</v>
      </c>
      <c r="S18" s="587">
        <v>0</v>
      </c>
      <c r="T18" s="587">
        <v>0</v>
      </c>
      <c r="U18" s="587">
        <v>0</v>
      </c>
    </row>
    <row r="19" spans="1:21">
      <c r="A19" s="494">
        <v>2.4</v>
      </c>
      <c r="B19" s="516" t="s">
        <v>648</v>
      </c>
      <c r="C19" s="589">
        <v>0</v>
      </c>
      <c r="D19" s="587">
        <v>0</v>
      </c>
      <c r="E19" s="587">
        <v>0</v>
      </c>
      <c r="F19" s="587">
        <v>0</v>
      </c>
      <c r="G19" s="587">
        <v>0</v>
      </c>
      <c r="H19" s="587">
        <v>0</v>
      </c>
      <c r="I19" s="587">
        <v>0</v>
      </c>
      <c r="J19" s="587">
        <v>0</v>
      </c>
      <c r="K19" s="587">
        <v>0</v>
      </c>
      <c r="L19" s="587">
        <v>0</v>
      </c>
      <c r="M19" s="587">
        <v>0</v>
      </c>
      <c r="N19" s="587">
        <v>0</v>
      </c>
      <c r="O19" s="587">
        <v>0</v>
      </c>
      <c r="P19" s="587">
        <v>0</v>
      </c>
      <c r="Q19" s="587">
        <v>0</v>
      </c>
      <c r="R19" s="587">
        <v>0</v>
      </c>
      <c r="S19" s="587">
        <v>0</v>
      </c>
      <c r="T19" s="587">
        <v>0</v>
      </c>
      <c r="U19" s="587">
        <v>0</v>
      </c>
    </row>
    <row r="20" spans="1:21">
      <c r="A20" s="494">
        <v>2.5</v>
      </c>
      <c r="B20" s="516" t="s">
        <v>649</v>
      </c>
      <c r="C20" s="589">
        <v>0</v>
      </c>
      <c r="D20" s="587">
        <v>0</v>
      </c>
      <c r="E20" s="587">
        <v>0</v>
      </c>
      <c r="F20" s="587">
        <v>0</v>
      </c>
      <c r="G20" s="587">
        <v>0</v>
      </c>
      <c r="H20" s="587">
        <v>0</v>
      </c>
      <c r="I20" s="587">
        <v>0</v>
      </c>
      <c r="J20" s="587">
        <v>0</v>
      </c>
      <c r="K20" s="587">
        <v>0</v>
      </c>
      <c r="L20" s="587">
        <v>0</v>
      </c>
      <c r="M20" s="587">
        <v>0</v>
      </c>
      <c r="N20" s="587">
        <v>0</v>
      </c>
      <c r="O20" s="587">
        <v>0</v>
      </c>
      <c r="P20" s="587">
        <v>0</v>
      </c>
      <c r="Q20" s="587">
        <v>0</v>
      </c>
      <c r="R20" s="587">
        <v>0</v>
      </c>
      <c r="S20" s="587">
        <v>0</v>
      </c>
      <c r="T20" s="587">
        <v>0</v>
      </c>
      <c r="U20" s="587">
        <v>0</v>
      </c>
    </row>
    <row r="21" spans="1:21">
      <c r="A21" s="494">
        <v>2.6</v>
      </c>
      <c r="B21" s="516" t="s">
        <v>650</v>
      </c>
      <c r="C21" s="589">
        <v>0</v>
      </c>
      <c r="D21" s="587">
        <v>0</v>
      </c>
      <c r="E21" s="587">
        <v>0</v>
      </c>
      <c r="F21" s="587">
        <v>0</v>
      </c>
      <c r="G21" s="587">
        <v>0</v>
      </c>
      <c r="H21" s="587">
        <v>0</v>
      </c>
      <c r="I21" s="587">
        <v>0</v>
      </c>
      <c r="J21" s="587">
        <v>0</v>
      </c>
      <c r="K21" s="587">
        <v>0</v>
      </c>
      <c r="L21" s="587">
        <v>0</v>
      </c>
      <c r="M21" s="587">
        <v>0</v>
      </c>
      <c r="N21" s="587">
        <v>0</v>
      </c>
      <c r="O21" s="587">
        <v>0</v>
      </c>
      <c r="P21" s="587">
        <v>0</v>
      </c>
      <c r="Q21" s="587">
        <v>0</v>
      </c>
      <c r="R21" s="587">
        <v>0</v>
      </c>
      <c r="S21" s="587">
        <v>0</v>
      </c>
      <c r="T21" s="587">
        <v>0</v>
      </c>
      <c r="U21" s="587">
        <v>0</v>
      </c>
    </row>
    <row r="22" spans="1:21">
      <c r="A22" s="515">
        <v>3</v>
      </c>
      <c r="B22" s="486" t="s">
        <v>652</v>
      </c>
      <c r="C22" s="586">
        <v>95232214.41019997</v>
      </c>
      <c r="D22" s="587">
        <v>65334038.1602</v>
      </c>
      <c r="E22" s="587">
        <v>2617500</v>
      </c>
      <c r="F22" s="590"/>
      <c r="G22" s="587">
        <v>0</v>
      </c>
      <c r="H22" s="590"/>
      <c r="I22" s="590"/>
      <c r="J22" s="590"/>
      <c r="K22" s="590"/>
      <c r="L22" s="587">
        <v>0</v>
      </c>
      <c r="M22" s="590"/>
      <c r="N22" s="590"/>
      <c r="O22" s="590"/>
      <c r="P22" s="590"/>
      <c r="Q22" s="590"/>
      <c r="R22" s="590"/>
      <c r="S22" s="590"/>
      <c r="T22" s="590"/>
      <c r="U22" s="587">
        <v>0</v>
      </c>
    </row>
    <row r="23" spans="1:21">
      <c r="A23" s="494">
        <v>3.1</v>
      </c>
      <c r="B23" s="516" t="s">
        <v>645</v>
      </c>
      <c r="C23" s="589">
        <v>0</v>
      </c>
      <c r="D23" s="587">
        <v>0</v>
      </c>
      <c r="E23" s="587">
        <v>0</v>
      </c>
      <c r="F23" s="590"/>
      <c r="G23" s="587">
        <v>0</v>
      </c>
      <c r="H23" s="590"/>
      <c r="I23" s="590"/>
      <c r="J23" s="590"/>
      <c r="K23" s="590"/>
      <c r="L23" s="587">
        <v>0</v>
      </c>
      <c r="M23" s="590"/>
      <c r="N23" s="590"/>
      <c r="O23" s="590"/>
      <c r="P23" s="590"/>
      <c r="Q23" s="590"/>
      <c r="R23" s="590"/>
      <c r="S23" s="590"/>
      <c r="T23" s="590"/>
      <c r="U23" s="587">
        <v>0</v>
      </c>
    </row>
    <row r="24" spans="1:21">
      <c r="A24" s="494">
        <v>3.2</v>
      </c>
      <c r="B24" s="516" t="s">
        <v>646</v>
      </c>
      <c r="C24" s="589">
        <v>0</v>
      </c>
      <c r="D24" s="587">
        <v>0</v>
      </c>
      <c r="E24" s="587">
        <v>0</v>
      </c>
      <c r="F24" s="590"/>
      <c r="G24" s="587">
        <v>0</v>
      </c>
      <c r="H24" s="590"/>
      <c r="I24" s="590"/>
      <c r="J24" s="590"/>
      <c r="K24" s="590"/>
      <c r="L24" s="587">
        <v>0</v>
      </c>
      <c r="M24" s="590"/>
      <c r="N24" s="590"/>
      <c r="O24" s="590"/>
      <c r="P24" s="590"/>
      <c r="Q24" s="590"/>
      <c r="R24" s="590"/>
      <c r="S24" s="590"/>
      <c r="T24" s="590"/>
      <c r="U24" s="587">
        <v>0</v>
      </c>
    </row>
    <row r="25" spans="1:21">
      <c r="A25" s="494">
        <v>3.3</v>
      </c>
      <c r="B25" s="516" t="s">
        <v>647</v>
      </c>
      <c r="C25" s="589">
        <v>0</v>
      </c>
      <c r="D25" s="587">
        <v>0</v>
      </c>
      <c r="E25" s="587">
        <v>0</v>
      </c>
      <c r="F25" s="590"/>
      <c r="G25" s="587">
        <v>0</v>
      </c>
      <c r="H25" s="590"/>
      <c r="I25" s="590"/>
      <c r="J25" s="590"/>
      <c r="K25" s="590"/>
      <c r="L25" s="587">
        <v>0</v>
      </c>
      <c r="M25" s="590"/>
      <c r="N25" s="590"/>
      <c r="O25" s="590"/>
      <c r="P25" s="590"/>
      <c r="Q25" s="590"/>
      <c r="R25" s="590"/>
      <c r="S25" s="590"/>
      <c r="T25" s="590"/>
      <c r="U25" s="587">
        <v>0</v>
      </c>
    </row>
    <row r="26" spans="1:21">
      <c r="A26" s="494">
        <v>3.4</v>
      </c>
      <c r="B26" s="516" t="s">
        <v>648</v>
      </c>
      <c r="C26" s="589">
        <v>1446585</v>
      </c>
      <c r="D26" s="587">
        <v>1446585</v>
      </c>
      <c r="E26" s="587">
        <v>0</v>
      </c>
      <c r="F26" s="590"/>
      <c r="G26" s="587">
        <v>0</v>
      </c>
      <c r="H26" s="590"/>
      <c r="I26" s="590"/>
      <c r="J26" s="590"/>
      <c r="K26" s="590"/>
      <c r="L26" s="587">
        <v>0</v>
      </c>
      <c r="M26" s="590"/>
      <c r="N26" s="590"/>
      <c r="O26" s="590"/>
      <c r="P26" s="590"/>
      <c r="Q26" s="590"/>
      <c r="R26" s="590"/>
      <c r="S26" s="590"/>
      <c r="T26" s="590"/>
      <c r="U26" s="587">
        <v>0</v>
      </c>
    </row>
    <row r="27" spans="1:21">
      <c r="A27" s="494">
        <v>3.5</v>
      </c>
      <c r="B27" s="516" t="s">
        <v>649</v>
      </c>
      <c r="C27" s="589">
        <v>93785629.41019997</v>
      </c>
      <c r="D27" s="587">
        <v>63887453.1602</v>
      </c>
      <c r="E27" s="587">
        <v>2617500</v>
      </c>
      <c r="F27" s="590"/>
      <c r="G27" s="587">
        <v>853394</v>
      </c>
      <c r="H27" s="590"/>
      <c r="I27" s="590"/>
      <c r="J27" s="590"/>
      <c r="K27" s="590"/>
      <c r="L27" s="587">
        <v>0</v>
      </c>
      <c r="M27" s="590"/>
      <c r="N27" s="590"/>
      <c r="O27" s="590"/>
      <c r="P27" s="590"/>
      <c r="Q27" s="590"/>
      <c r="R27" s="590"/>
      <c r="S27" s="590"/>
      <c r="T27" s="590"/>
      <c r="U27" s="587">
        <v>0</v>
      </c>
    </row>
    <row r="28" spans="1:21">
      <c r="A28" s="494">
        <v>3.6</v>
      </c>
      <c r="B28" s="516" t="s">
        <v>650</v>
      </c>
      <c r="C28" s="589">
        <v>0</v>
      </c>
      <c r="D28" s="587">
        <v>0</v>
      </c>
      <c r="E28" s="587">
        <v>0</v>
      </c>
      <c r="F28" s="590"/>
      <c r="G28" s="587">
        <v>0</v>
      </c>
      <c r="H28" s="590"/>
      <c r="I28" s="590"/>
      <c r="J28" s="590"/>
      <c r="K28" s="590"/>
      <c r="L28" s="587">
        <v>0</v>
      </c>
      <c r="M28" s="590"/>
      <c r="N28" s="590"/>
      <c r="O28" s="590"/>
      <c r="P28" s="590"/>
      <c r="Q28" s="590"/>
      <c r="R28" s="590"/>
      <c r="S28" s="590"/>
      <c r="T28" s="590"/>
      <c r="U28" s="587">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topLeftCell="I1" workbookViewId="0">
      <selection activeCell="C8" sqref="C8:T22"/>
    </sheetView>
  </sheetViews>
  <sheetFormatPr defaultColWidth="9.140625" defaultRowHeight="12.75"/>
  <cols>
    <col min="1" max="1" width="11.85546875" style="481" bestFit="1" customWidth="1"/>
    <col min="2" max="2" width="90.28515625" style="481" bestFit="1" customWidth="1"/>
    <col min="3" max="3" width="20.140625" style="481" customWidth="1"/>
    <col min="4" max="4" width="22.28515625" style="481" customWidth="1"/>
    <col min="5" max="5" width="17.140625" style="481" customWidth="1"/>
    <col min="6" max="7" width="22.28515625" style="481" customWidth="1"/>
    <col min="8" max="8" width="17.140625" style="481" customWidth="1"/>
    <col min="9" max="14" width="22.28515625" style="481" customWidth="1"/>
    <col min="15" max="15" width="23.28515625" style="481" bestFit="1" customWidth="1"/>
    <col min="16" max="16" width="21.7109375" style="481" bestFit="1" customWidth="1"/>
    <col min="17" max="19" width="19" style="481" bestFit="1" customWidth="1"/>
    <col min="20" max="20" width="15.42578125" style="481" customWidth="1"/>
    <col min="21" max="21" width="20" style="481" customWidth="1"/>
    <col min="22" max="16384" width="9.140625" style="481"/>
  </cols>
  <sheetData>
    <row r="1" spans="1:21">
      <c r="A1" s="480" t="s">
        <v>188</v>
      </c>
      <c r="B1" s="621" t="str">
        <f>'1. key ratios'!B1</f>
        <v>ს.ს. "ტერაბანკი"</v>
      </c>
    </row>
    <row r="2" spans="1:21">
      <c r="A2" s="480" t="s">
        <v>189</v>
      </c>
    </row>
    <row r="3" spans="1:21">
      <c r="A3" s="482" t="s">
        <v>653</v>
      </c>
      <c r="B3" s="483">
        <f>'1. key ratios'!B2</f>
        <v>44651</v>
      </c>
      <c r="C3" s="483"/>
    </row>
    <row r="4" spans="1:21">
      <c r="A4" s="482"/>
      <c r="B4" s="483"/>
      <c r="C4" s="483"/>
    </row>
    <row r="5" spans="1:21" ht="13.5" customHeight="1">
      <c r="A5" s="704" t="s">
        <v>654</v>
      </c>
      <c r="B5" s="705"/>
      <c r="C5" s="710" t="s">
        <v>655</v>
      </c>
      <c r="D5" s="711"/>
      <c r="E5" s="711"/>
      <c r="F5" s="711"/>
      <c r="G5" s="711"/>
      <c r="H5" s="711"/>
      <c r="I5" s="711"/>
      <c r="J5" s="711"/>
      <c r="K5" s="711"/>
      <c r="L5" s="711"/>
      <c r="M5" s="711"/>
      <c r="N5" s="711"/>
      <c r="O5" s="711"/>
      <c r="P5" s="711"/>
      <c r="Q5" s="711"/>
      <c r="R5" s="711"/>
      <c r="S5" s="711"/>
      <c r="T5" s="712"/>
      <c r="U5" s="513"/>
    </row>
    <row r="6" spans="1:21">
      <c r="A6" s="706"/>
      <c r="B6" s="707"/>
      <c r="C6" s="691" t="s">
        <v>68</v>
      </c>
      <c r="D6" s="710" t="s">
        <v>656</v>
      </c>
      <c r="E6" s="711"/>
      <c r="F6" s="712"/>
      <c r="G6" s="710" t="s">
        <v>657</v>
      </c>
      <c r="H6" s="711"/>
      <c r="I6" s="711"/>
      <c r="J6" s="711"/>
      <c r="K6" s="712"/>
      <c r="L6" s="713" t="s">
        <v>658</v>
      </c>
      <c r="M6" s="714"/>
      <c r="N6" s="714"/>
      <c r="O6" s="714"/>
      <c r="P6" s="714"/>
      <c r="Q6" s="714"/>
      <c r="R6" s="714"/>
      <c r="S6" s="714"/>
      <c r="T6" s="715"/>
      <c r="U6" s="514"/>
    </row>
    <row r="7" spans="1:21" ht="25.5">
      <c r="A7" s="708"/>
      <c r="B7" s="709"/>
      <c r="C7" s="691"/>
      <c r="E7" s="526" t="s">
        <v>632</v>
      </c>
      <c r="F7" s="492" t="s">
        <v>633</v>
      </c>
      <c r="H7" s="526" t="s">
        <v>632</v>
      </c>
      <c r="I7" s="492" t="s">
        <v>659</v>
      </c>
      <c r="J7" s="492" t="s">
        <v>634</v>
      </c>
      <c r="K7" s="492" t="s">
        <v>635</v>
      </c>
      <c r="L7" s="517"/>
      <c r="M7" s="526" t="s">
        <v>636</v>
      </c>
      <c r="N7" s="492" t="s">
        <v>634</v>
      </c>
      <c r="O7" s="492" t="s">
        <v>637</v>
      </c>
      <c r="P7" s="492" t="s">
        <v>638</v>
      </c>
      <c r="Q7" s="492" t="s">
        <v>639</v>
      </c>
      <c r="R7" s="492" t="s">
        <v>640</v>
      </c>
      <c r="S7" s="492" t="s">
        <v>641</v>
      </c>
      <c r="T7" s="600" t="s">
        <v>642</v>
      </c>
      <c r="U7" s="513"/>
    </row>
    <row r="8" spans="1:21">
      <c r="A8" s="517">
        <v>1</v>
      </c>
      <c r="B8" s="511" t="s">
        <v>644</v>
      </c>
      <c r="C8" s="591">
        <v>1001625239.6299987</v>
      </c>
      <c r="D8" s="587">
        <v>846361766.72000325</v>
      </c>
      <c r="E8" s="587">
        <v>25426534.75</v>
      </c>
      <c r="F8" s="587">
        <v>1444103.7</v>
      </c>
      <c r="G8" s="587">
        <v>97396120.680000052</v>
      </c>
      <c r="H8" s="587">
        <v>6948627.6600000011</v>
      </c>
      <c r="I8" s="587">
        <v>5181531.6899999995</v>
      </c>
      <c r="J8" s="587">
        <v>2457920.2999999998</v>
      </c>
      <c r="K8" s="587">
        <v>467580.64</v>
      </c>
      <c r="L8" s="587">
        <v>57867352.229999334</v>
      </c>
      <c r="M8" s="587">
        <v>7784068.6900000004</v>
      </c>
      <c r="N8" s="587">
        <v>1465796.69</v>
      </c>
      <c r="O8" s="587">
        <v>6664936.8699999992</v>
      </c>
      <c r="P8" s="587">
        <v>3677444.1900000004</v>
      </c>
      <c r="Q8" s="587">
        <v>6135774.9000000004</v>
      </c>
      <c r="R8" s="587">
        <v>757555.34</v>
      </c>
      <c r="S8" s="587">
        <v>0</v>
      </c>
      <c r="T8" s="587">
        <v>0</v>
      </c>
    </row>
    <row r="9" spans="1:21">
      <c r="A9" s="516">
        <v>1.1000000000000001</v>
      </c>
      <c r="B9" s="516" t="s">
        <v>660</v>
      </c>
      <c r="C9" s="589">
        <v>15972968.9</v>
      </c>
      <c r="D9" s="587">
        <v>15223661.67</v>
      </c>
      <c r="E9" s="587">
        <v>383193.38</v>
      </c>
      <c r="F9" s="587">
        <v>0</v>
      </c>
      <c r="G9" s="587">
        <v>652718.34</v>
      </c>
      <c r="H9" s="587">
        <v>0</v>
      </c>
      <c r="I9" s="587">
        <v>0</v>
      </c>
      <c r="J9" s="587">
        <v>652718.34</v>
      </c>
      <c r="K9" s="587">
        <v>0</v>
      </c>
      <c r="L9" s="587">
        <v>96588.89</v>
      </c>
      <c r="M9" s="587">
        <v>0</v>
      </c>
      <c r="N9" s="587">
        <v>0</v>
      </c>
      <c r="O9" s="587">
        <v>0</v>
      </c>
      <c r="P9" s="587">
        <v>0</v>
      </c>
      <c r="Q9" s="587">
        <v>0</v>
      </c>
      <c r="R9" s="587">
        <v>0</v>
      </c>
      <c r="S9" s="587">
        <v>0</v>
      </c>
      <c r="T9" s="587">
        <v>0</v>
      </c>
    </row>
    <row r="10" spans="1:21">
      <c r="A10" s="518" t="s">
        <v>252</v>
      </c>
      <c r="B10" s="518" t="s">
        <v>661</v>
      </c>
      <c r="C10" s="592">
        <v>867561919.08000219</v>
      </c>
      <c r="D10" s="587">
        <v>717342652.27000129</v>
      </c>
      <c r="E10" s="587">
        <v>24496851.200000003</v>
      </c>
      <c r="F10" s="587">
        <v>1444103.7</v>
      </c>
      <c r="G10" s="587">
        <v>95279424.39000003</v>
      </c>
      <c r="H10" s="587">
        <v>6669485.8400000008</v>
      </c>
      <c r="I10" s="587">
        <v>4473068.54</v>
      </c>
      <c r="J10" s="587">
        <v>2457920.2999999998</v>
      </c>
      <c r="K10" s="587">
        <v>467580.64</v>
      </c>
      <c r="L10" s="587">
        <v>54939842.419999987</v>
      </c>
      <c r="M10" s="587">
        <v>7354041.9900000002</v>
      </c>
      <c r="N10" s="587">
        <v>1359889.4</v>
      </c>
      <c r="O10" s="587">
        <v>6115508.3699999992</v>
      </c>
      <c r="P10" s="587">
        <v>2959576.8400000003</v>
      </c>
      <c r="Q10" s="587">
        <v>6060917.3300000001</v>
      </c>
      <c r="R10" s="587">
        <v>757555.34</v>
      </c>
      <c r="S10" s="587">
        <v>0</v>
      </c>
      <c r="T10" s="587">
        <v>0</v>
      </c>
    </row>
    <row r="11" spans="1:21">
      <c r="A11" s="519" t="s">
        <v>662</v>
      </c>
      <c r="B11" s="519" t="s">
        <v>663</v>
      </c>
      <c r="C11" s="593">
        <v>541845381.50999999</v>
      </c>
      <c r="D11" s="587">
        <v>448588217.00000048</v>
      </c>
      <c r="E11" s="587">
        <v>7734411.2299999986</v>
      </c>
      <c r="F11" s="587">
        <v>0</v>
      </c>
      <c r="G11" s="587">
        <v>65115057.850000054</v>
      </c>
      <c r="H11" s="587">
        <v>4540044.0499999989</v>
      </c>
      <c r="I11" s="587">
        <v>4186826.25</v>
      </c>
      <c r="J11" s="587">
        <v>998775.64999999991</v>
      </c>
      <c r="K11" s="587">
        <v>0</v>
      </c>
      <c r="L11" s="587">
        <v>28142106.660000011</v>
      </c>
      <c r="M11" s="587">
        <v>4578658.87</v>
      </c>
      <c r="N11" s="587">
        <v>224646.44</v>
      </c>
      <c r="O11" s="587">
        <v>2899022.6799999997</v>
      </c>
      <c r="P11" s="587">
        <v>1106214.4900000002</v>
      </c>
      <c r="Q11" s="587">
        <v>1659894.0299999998</v>
      </c>
      <c r="R11" s="587">
        <v>430059.39</v>
      </c>
      <c r="S11" s="587">
        <v>0</v>
      </c>
      <c r="T11" s="587">
        <v>0</v>
      </c>
    </row>
    <row r="12" spans="1:21">
      <c r="A12" s="519" t="s">
        <v>664</v>
      </c>
      <c r="B12" s="519" t="s">
        <v>665</v>
      </c>
      <c r="C12" s="593">
        <v>164196597.85999998</v>
      </c>
      <c r="D12" s="587">
        <v>134161726.89</v>
      </c>
      <c r="E12" s="587">
        <v>7762669.3200000003</v>
      </c>
      <c r="F12" s="587">
        <v>1444103.7</v>
      </c>
      <c r="G12" s="587">
        <v>14856101.709999993</v>
      </c>
      <c r="H12" s="587">
        <v>1503389.58</v>
      </c>
      <c r="I12" s="587">
        <v>257316.72999999998</v>
      </c>
      <c r="J12" s="587">
        <v>541881.61</v>
      </c>
      <c r="K12" s="587">
        <v>0</v>
      </c>
      <c r="L12" s="587">
        <v>15178769.260000004</v>
      </c>
      <c r="M12" s="587">
        <v>355150.49</v>
      </c>
      <c r="N12" s="587">
        <v>740437.96000000008</v>
      </c>
      <c r="O12" s="587">
        <v>2317001.6100000003</v>
      </c>
      <c r="P12" s="587">
        <v>823863.54</v>
      </c>
      <c r="Q12" s="587">
        <v>1759351.08</v>
      </c>
      <c r="R12" s="587">
        <v>205079.11</v>
      </c>
      <c r="S12" s="587">
        <v>0</v>
      </c>
      <c r="T12" s="587">
        <v>0</v>
      </c>
    </row>
    <row r="13" spans="1:21">
      <c r="A13" s="519" t="s">
        <v>666</v>
      </c>
      <c r="B13" s="519" t="s">
        <v>667</v>
      </c>
      <c r="C13" s="593">
        <v>64821418.759999976</v>
      </c>
      <c r="D13" s="587">
        <v>45739330.339999981</v>
      </c>
      <c r="E13" s="587">
        <v>1180887.68</v>
      </c>
      <c r="F13" s="587">
        <v>0</v>
      </c>
      <c r="G13" s="587">
        <v>12320492.229999997</v>
      </c>
      <c r="H13" s="587">
        <v>566052.21</v>
      </c>
      <c r="I13" s="587">
        <v>17531.509999999998</v>
      </c>
      <c r="J13" s="587">
        <v>917263.03999999992</v>
      </c>
      <c r="K13" s="587">
        <v>0</v>
      </c>
      <c r="L13" s="587">
        <v>6761596.1900000004</v>
      </c>
      <c r="M13" s="587">
        <v>1869053.56</v>
      </c>
      <c r="N13" s="587">
        <v>27331.190000000002</v>
      </c>
      <c r="O13" s="587">
        <v>886984.08</v>
      </c>
      <c r="P13" s="587">
        <v>1029498.8099999999</v>
      </c>
      <c r="Q13" s="587">
        <v>821587.8</v>
      </c>
      <c r="R13" s="587">
        <v>0</v>
      </c>
      <c r="S13" s="587">
        <v>0</v>
      </c>
      <c r="T13" s="587">
        <v>0</v>
      </c>
    </row>
    <row r="14" spans="1:21">
      <c r="A14" s="519" t="s">
        <v>668</v>
      </c>
      <c r="B14" s="519" t="s">
        <v>669</v>
      </c>
      <c r="C14" s="593">
        <v>96698520.949999988</v>
      </c>
      <c r="D14" s="587">
        <v>88853378.039999992</v>
      </c>
      <c r="E14" s="587">
        <v>7818882.9699999997</v>
      </c>
      <c r="F14" s="587">
        <v>0</v>
      </c>
      <c r="G14" s="587">
        <v>2987772.6000000006</v>
      </c>
      <c r="H14" s="587">
        <v>60000</v>
      </c>
      <c r="I14" s="587">
        <v>11394.05</v>
      </c>
      <c r="J14" s="587">
        <v>0</v>
      </c>
      <c r="K14" s="587">
        <v>467580.64</v>
      </c>
      <c r="L14" s="587">
        <v>4857370.3100000005</v>
      </c>
      <c r="M14" s="587">
        <v>551179.06999999995</v>
      </c>
      <c r="N14" s="587">
        <v>367473.81</v>
      </c>
      <c r="O14" s="587">
        <v>12500</v>
      </c>
      <c r="P14" s="587">
        <v>0</v>
      </c>
      <c r="Q14" s="587">
        <v>1820084.4200000002</v>
      </c>
      <c r="R14" s="587">
        <v>122416.84</v>
      </c>
      <c r="S14" s="587">
        <v>0</v>
      </c>
      <c r="T14" s="587">
        <v>0</v>
      </c>
    </row>
    <row r="15" spans="1:21">
      <c r="A15" s="520">
        <v>1.2</v>
      </c>
      <c r="B15" s="520" t="s">
        <v>670</v>
      </c>
      <c r="C15" s="594">
        <v>398721.73999999993</v>
      </c>
      <c r="D15" s="587">
        <v>304473.23999999987</v>
      </c>
      <c r="E15" s="587">
        <v>7663.8700000000008</v>
      </c>
      <c r="F15" s="587">
        <v>0</v>
      </c>
      <c r="G15" s="587">
        <v>65271.83</v>
      </c>
      <c r="H15" s="587">
        <v>0</v>
      </c>
      <c r="I15" s="587">
        <v>0</v>
      </c>
      <c r="J15" s="587">
        <v>65271.83</v>
      </c>
      <c r="K15" s="587">
        <v>0</v>
      </c>
      <c r="L15" s="587">
        <v>28976.67</v>
      </c>
      <c r="M15" s="587">
        <v>0</v>
      </c>
      <c r="N15" s="587">
        <v>0</v>
      </c>
      <c r="O15" s="587">
        <v>0</v>
      </c>
      <c r="P15" s="587">
        <v>0</v>
      </c>
      <c r="Q15" s="587">
        <v>0</v>
      </c>
      <c r="R15" s="587">
        <v>0</v>
      </c>
      <c r="S15" s="587">
        <v>0</v>
      </c>
      <c r="T15" s="587">
        <v>0</v>
      </c>
    </row>
    <row r="16" spans="1:21">
      <c r="A16" s="516">
        <v>1.3</v>
      </c>
      <c r="B16" s="520" t="s">
        <v>671</v>
      </c>
      <c r="C16" s="595">
        <v>0</v>
      </c>
      <c r="D16" s="595">
        <v>0</v>
      </c>
      <c r="E16" s="595">
        <v>0</v>
      </c>
      <c r="F16" s="595">
        <v>0</v>
      </c>
      <c r="G16" s="595">
        <v>0</v>
      </c>
      <c r="H16" s="595">
        <v>0</v>
      </c>
      <c r="I16" s="595">
        <v>0</v>
      </c>
      <c r="J16" s="595">
        <v>0</v>
      </c>
      <c r="K16" s="595">
        <v>0</v>
      </c>
      <c r="L16" s="595">
        <v>0</v>
      </c>
      <c r="M16" s="595">
        <v>0</v>
      </c>
      <c r="N16" s="595">
        <v>0</v>
      </c>
      <c r="O16" s="595">
        <v>0</v>
      </c>
      <c r="P16" s="595">
        <v>0</v>
      </c>
      <c r="Q16" s="595">
        <v>0</v>
      </c>
      <c r="R16" s="595">
        <v>0</v>
      </c>
      <c r="S16" s="595">
        <v>0</v>
      </c>
      <c r="T16" s="595">
        <v>0</v>
      </c>
    </row>
    <row r="17" spans="1:20" ht="25.5">
      <c r="A17" s="521" t="s">
        <v>672</v>
      </c>
      <c r="B17" s="522" t="s">
        <v>673</v>
      </c>
      <c r="C17" s="596">
        <v>935101940.20000064</v>
      </c>
      <c r="D17" s="588">
        <v>784297564.39000034</v>
      </c>
      <c r="E17" s="588">
        <v>23945526.449999999</v>
      </c>
      <c r="F17" s="588">
        <v>1444103.7</v>
      </c>
      <c r="G17" s="588">
        <v>95335404.230000019</v>
      </c>
      <c r="H17" s="588">
        <v>6746799.3900000006</v>
      </c>
      <c r="I17" s="588">
        <v>5006734.96</v>
      </c>
      <c r="J17" s="588">
        <v>1870473.79</v>
      </c>
      <c r="K17" s="588">
        <v>467580.64</v>
      </c>
      <c r="L17" s="588">
        <v>55468971.579999983</v>
      </c>
      <c r="M17" s="588">
        <v>7551911.4400000004</v>
      </c>
      <c r="N17" s="588">
        <v>1372059.13</v>
      </c>
      <c r="O17" s="588">
        <v>6177176.5300000003</v>
      </c>
      <c r="P17" s="588">
        <v>3052615.8400000003</v>
      </c>
      <c r="Q17" s="588">
        <v>6097573.5</v>
      </c>
      <c r="R17" s="588">
        <v>757555.33</v>
      </c>
      <c r="S17" s="588">
        <v>0</v>
      </c>
      <c r="T17" s="588">
        <v>0</v>
      </c>
    </row>
    <row r="18" spans="1:20" ht="25.5">
      <c r="A18" s="523" t="s">
        <v>674</v>
      </c>
      <c r="B18" s="523" t="s">
        <v>675</v>
      </c>
      <c r="C18" s="597">
        <v>828838873.7300024</v>
      </c>
      <c r="D18" s="588">
        <v>681395953.49000239</v>
      </c>
      <c r="E18" s="588">
        <v>20851007.410000004</v>
      </c>
      <c r="F18" s="588">
        <v>1444103.7</v>
      </c>
      <c r="G18" s="588">
        <v>93615918.840000004</v>
      </c>
      <c r="H18" s="588">
        <v>6446290.0000000009</v>
      </c>
      <c r="I18" s="588">
        <v>4466617.42</v>
      </c>
      <c r="J18" s="588">
        <v>1870473.79</v>
      </c>
      <c r="K18" s="588">
        <v>202844.17</v>
      </c>
      <c r="L18" s="588">
        <v>53827001.399999984</v>
      </c>
      <c r="M18" s="588">
        <v>7193597.9700000016</v>
      </c>
      <c r="N18" s="588">
        <v>1209506.5899999999</v>
      </c>
      <c r="O18" s="588">
        <v>6109302.1099999994</v>
      </c>
      <c r="P18" s="588">
        <v>2959576.8400000003</v>
      </c>
      <c r="Q18" s="588">
        <v>5594257.3599999994</v>
      </c>
      <c r="R18" s="588">
        <v>757467.66</v>
      </c>
      <c r="S18" s="588">
        <v>0</v>
      </c>
      <c r="T18" s="588">
        <v>0</v>
      </c>
    </row>
    <row r="19" spans="1:20">
      <c r="A19" s="521" t="s">
        <v>676</v>
      </c>
      <c r="B19" s="521" t="s">
        <v>677</v>
      </c>
      <c r="C19" s="598">
        <v>902069435.45000052</v>
      </c>
      <c r="D19" s="588">
        <v>758151520.88000202</v>
      </c>
      <c r="E19" s="588">
        <v>13218051.580000004</v>
      </c>
      <c r="F19" s="588">
        <v>726806.29999999981</v>
      </c>
      <c r="G19" s="588">
        <v>89928268.459999993</v>
      </c>
      <c r="H19" s="588">
        <v>7003422.0299999993</v>
      </c>
      <c r="I19" s="588">
        <v>4362392.6600000011</v>
      </c>
      <c r="J19" s="588">
        <v>2073908.1199999999</v>
      </c>
      <c r="K19" s="588">
        <v>110676.63</v>
      </c>
      <c r="L19" s="588">
        <v>53989646.10999997</v>
      </c>
      <c r="M19" s="588">
        <v>8672225.4300000016</v>
      </c>
      <c r="N19" s="588">
        <v>1062301.7799999998</v>
      </c>
      <c r="O19" s="588">
        <v>8313377.4100000001</v>
      </c>
      <c r="P19" s="588">
        <v>2531040.6300000004</v>
      </c>
      <c r="Q19" s="588">
        <v>3999162.5100000002</v>
      </c>
      <c r="R19" s="588">
        <v>851118.35</v>
      </c>
      <c r="S19" s="588">
        <v>0</v>
      </c>
      <c r="T19" s="588">
        <v>0</v>
      </c>
    </row>
    <row r="20" spans="1:20">
      <c r="A20" s="523" t="s">
        <v>678</v>
      </c>
      <c r="B20" s="523" t="s">
        <v>679</v>
      </c>
      <c r="C20" s="597">
        <v>830944942.03999925</v>
      </c>
      <c r="D20" s="588">
        <v>693463225.52000093</v>
      </c>
      <c r="E20" s="588">
        <v>10876865.870000001</v>
      </c>
      <c r="F20" s="588">
        <v>416676.3</v>
      </c>
      <c r="G20" s="588">
        <v>86760871.690000013</v>
      </c>
      <c r="H20" s="588">
        <v>6871213.7299999995</v>
      </c>
      <c r="I20" s="588">
        <v>4347168.8500000006</v>
      </c>
      <c r="J20" s="588">
        <v>2073908.1199999999</v>
      </c>
      <c r="K20" s="588">
        <v>0</v>
      </c>
      <c r="L20" s="588">
        <v>50720844.829999983</v>
      </c>
      <c r="M20" s="588">
        <v>8243265.8700000001</v>
      </c>
      <c r="N20" s="588">
        <v>961243.81999999983</v>
      </c>
      <c r="O20" s="588">
        <v>7690398.7999999998</v>
      </c>
      <c r="P20" s="588">
        <v>2267023.3900000006</v>
      </c>
      <c r="Q20" s="588">
        <v>3480443.3400000008</v>
      </c>
      <c r="R20" s="588">
        <v>642336.92999999993</v>
      </c>
      <c r="S20" s="588">
        <v>0</v>
      </c>
      <c r="T20" s="588">
        <v>0</v>
      </c>
    </row>
    <row r="21" spans="1:20">
      <c r="A21" s="524">
        <v>1.4</v>
      </c>
      <c r="B21" s="532" t="s">
        <v>714</v>
      </c>
      <c r="C21" s="599">
        <v>2065726.9900000002</v>
      </c>
      <c r="D21" s="588">
        <v>1981137.3800000001</v>
      </c>
      <c r="E21" s="588">
        <v>76638.679999999993</v>
      </c>
      <c r="F21" s="588">
        <v>0</v>
      </c>
      <c r="G21" s="588">
        <v>65271.83</v>
      </c>
      <c r="H21" s="588">
        <v>0</v>
      </c>
      <c r="I21" s="588">
        <v>0</v>
      </c>
      <c r="J21" s="588">
        <v>65271.83</v>
      </c>
      <c r="K21" s="588">
        <v>0</v>
      </c>
      <c r="L21" s="588">
        <v>19317.78</v>
      </c>
      <c r="M21" s="588">
        <v>0</v>
      </c>
      <c r="N21" s="588">
        <v>0</v>
      </c>
      <c r="O21" s="588">
        <v>0</v>
      </c>
      <c r="P21" s="588">
        <v>0</v>
      </c>
      <c r="Q21" s="588">
        <v>0</v>
      </c>
      <c r="R21" s="588">
        <v>0</v>
      </c>
      <c r="S21" s="588">
        <v>0</v>
      </c>
      <c r="T21" s="588">
        <v>0</v>
      </c>
    </row>
    <row r="22" spans="1:20">
      <c r="A22" s="524">
        <v>1.5</v>
      </c>
      <c r="B22" s="532" t="s">
        <v>715</v>
      </c>
      <c r="C22" s="599">
        <v>0</v>
      </c>
      <c r="D22" s="588">
        <v>0</v>
      </c>
      <c r="E22" s="588">
        <v>0</v>
      </c>
      <c r="F22" s="588">
        <v>0</v>
      </c>
      <c r="G22" s="588">
        <v>0</v>
      </c>
      <c r="H22" s="588">
        <v>0</v>
      </c>
      <c r="I22" s="588">
        <v>0</v>
      </c>
      <c r="J22" s="588">
        <v>0</v>
      </c>
      <c r="K22" s="588">
        <v>0</v>
      </c>
      <c r="L22" s="588">
        <v>0</v>
      </c>
      <c r="M22" s="588">
        <v>0</v>
      </c>
      <c r="N22" s="588">
        <v>0</v>
      </c>
      <c r="O22" s="588">
        <v>0</v>
      </c>
      <c r="P22" s="588">
        <v>0</v>
      </c>
      <c r="Q22" s="588">
        <v>0</v>
      </c>
      <c r="R22" s="588">
        <v>0</v>
      </c>
      <c r="S22" s="588">
        <v>0</v>
      </c>
      <c r="T22" s="588">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C1" workbookViewId="0">
      <selection activeCell="C7" sqref="C7:O33"/>
    </sheetView>
  </sheetViews>
  <sheetFormatPr defaultColWidth="9.140625" defaultRowHeight="12.75"/>
  <cols>
    <col min="1" max="1" width="11.85546875" style="481" bestFit="1" customWidth="1"/>
    <col min="2" max="2" width="93.42578125" style="481" customWidth="1"/>
    <col min="3" max="3" width="14.5703125" style="481" customWidth="1"/>
    <col min="4" max="4" width="14.85546875" style="481" bestFit="1" customWidth="1"/>
    <col min="5" max="5" width="13.85546875" style="481" bestFit="1" customWidth="1"/>
    <col min="6" max="6" width="18" style="513" bestFit="1" customWidth="1"/>
    <col min="7" max="7" width="12" style="513" bestFit="1" customWidth="1"/>
    <col min="8" max="8" width="11.140625" style="481" bestFit="1" customWidth="1"/>
    <col min="9" max="9" width="9.85546875" style="481" bestFit="1" customWidth="1"/>
    <col min="10" max="10" width="14.85546875" style="513" bestFit="1" customWidth="1"/>
    <col min="11" max="11" width="13.85546875" style="513" bestFit="1" customWidth="1"/>
    <col min="12" max="12" width="18" style="513" bestFit="1" customWidth="1"/>
    <col min="13" max="14" width="11.140625" style="513" bestFit="1" customWidth="1"/>
    <col min="15" max="15" width="19" style="481" bestFit="1" customWidth="1"/>
    <col min="16" max="16384" width="9.140625" style="481"/>
  </cols>
  <sheetData>
    <row r="1" spans="1:15">
      <c r="A1" s="480" t="s">
        <v>188</v>
      </c>
      <c r="B1" s="621" t="str">
        <f>'1. key ratios'!B1</f>
        <v>ს.ს. "ტერაბანკი"</v>
      </c>
      <c r="F1" s="481"/>
      <c r="G1" s="481"/>
      <c r="J1" s="481"/>
      <c r="K1" s="481"/>
      <c r="L1" s="481"/>
      <c r="M1" s="481"/>
      <c r="N1" s="481"/>
    </row>
    <row r="2" spans="1:15">
      <c r="A2" s="480" t="s">
        <v>189</v>
      </c>
      <c r="F2" s="481"/>
      <c r="G2" s="481"/>
      <c r="J2" s="481"/>
      <c r="K2" s="481"/>
      <c r="L2" s="481"/>
      <c r="M2" s="481"/>
      <c r="N2" s="481"/>
    </row>
    <row r="3" spans="1:15">
      <c r="A3" s="482" t="s">
        <v>682</v>
      </c>
      <c r="B3" s="483">
        <f>'1. key ratios'!B2</f>
        <v>44651</v>
      </c>
      <c r="F3" s="481"/>
      <c r="G3" s="481"/>
      <c r="J3" s="481"/>
      <c r="K3" s="481"/>
      <c r="L3" s="481"/>
      <c r="M3" s="481"/>
      <c r="N3" s="481"/>
    </row>
    <row r="4" spans="1:15">
      <c r="F4" s="481"/>
      <c r="G4" s="481"/>
      <c r="J4" s="481"/>
      <c r="K4" s="481"/>
      <c r="L4" s="481"/>
      <c r="M4" s="481"/>
      <c r="N4" s="481"/>
    </row>
    <row r="5" spans="1:15" ht="37.5" customHeight="1">
      <c r="A5" s="671" t="s">
        <v>683</v>
      </c>
      <c r="B5" s="672"/>
      <c r="C5" s="716" t="s">
        <v>684</v>
      </c>
      <c r="D5" s="717"/>
      <c r="E5" s="717"/>
      <c r="F5" s="717"/>
      <c r="G5" s="717"/>
      <c r="H5" s="718"/>
      <c r="I5" s="716" t="s">
        <v>685</v>
      </c>
      <c r="J5" s="719"/>
      <c r="K5" s="719"/>
      <c r="L5" s="719"/>
      <c r="M5" s="719"/>
      <c r="N5" s="720"/>
      <c r="O5" s="721" t="s">
        <v>555</v>
      </c>
    </row>
    <row r="6" spans="1:15" ht="39.6" customHeight="1">
      <c r="A6" s="675"/>
      <c r="B6" s="676"/>
      <c r="C6" s="525"/>
      <c r="D6" s="526" t="s">
        <v>686</v>
      </c>
      <c r="E6" s="526" t="s">
        <v>687</v>
      </c>
      <c r="F6" s="526" t="s">
        <v>688</v>
      </c>
      <c r="G6" s="526" t="s">
        <v>689</v>
      </c>
      <c r="H6" s="526" t="s">
        <v>690</v>
      </c>
      <c r="I6" s="527"/>
      <c r="J6" s="526" t="s">
        <v>686</v>
      </c>
      <c r="K6" s="526" t="s">
        <v>687</v>
      </c>
      <c r="L6" s="526" t="s">
        <v>688</v>
      </c>
      <c r="M6" s="526" t="s">
        <v>689</v>
      </c>
      <c r="N6" s="526" t="s">
        <v>690</v>
      </c>
      <c r="O6" s="722"/>
    </row>
    <row r="7" spans="1:15">
      <c r="A7" s="494">
        <v>1</v>
      </c>
      <c r="B7" s="501" t="s">
        <v>565</v>
      </c>
      <c r="C7" s="604">
        <v>70243935.965700015</v>
      </c>
      <c r="D7" s="587">
        <v>65200416.561600007</v>
      </c>
      <c r="E7" s="587">
        <v>3134857.2379999999</v>
      </c>
      <c r="F7" s="605">
        <v>960286.98800000001</v>
      </c>
      <c r="G7" s="605">
        <v>694528.87749999994</v>
      </c>
      <c r="H7" s="587">
        <v>253846.30059999999</v>
      </c>
      <c r="I7" s="587">
        <v>2504126.2224000003</v>
      </c>
      <c r="J7" s="605">
        <v>1301443.4698000001</v>
      </c>
      <c r="K7" s="605">
        <v>313485.80849999998</v>
      </c>
      <c r="L7" s="605">
        <v>288086.0784</v>
      </c>
      <c r="M7" s="605">
        <v>347264.56510000001</v>
      </c>
      <c r="N7" s="605">
        <v>253846.30059999999</v>
      </c>
      <c r="O7" s="587">
        <v>0</v>
      </c>
    </row>
    <row r="8" spans="1:15">
      <c r="A8" s="494">
        <v>2</v>
      </c>
      <c r="B8" s="501" t="s">
        <v>566</v>
      </c>
      <c r="C8" s="604">
        <v>30842120.4098</v>
      </c>
      <c r="D8" s="587">
        <v>29349986.737799998</v>
      </c>
      <c r="E8" s="587">
        <v>1035141.9554</v>
      </c>
      <c r="F8" s="605">
        <v>182557.8095</v>
      </c>
      <c r="G8" s="605">
        <v>237764.01130000001</v>
      </c>
      <c r="H8" s="587">
        <v>36669.895799999998</v>
      </c>
      <c r="I8" s="587">
        <v>900253.76249999995</v>
      </c>
      <c r="J8" s="605">
        <v>586420.23499999999</v>
      </c>
      <c r="K8" s="605">
        <v>103514.2654</v>
      </c>
      <c r="L8" s="605">
        <v>54767.345200000003</v>
      </c>
      <c r="M8" s="605">
        <v>118882.02110000001</v>
      </c>
      <c r="N8" s="605">
        <v>36669.895799999998</v>
      </c>
      <c r="O8" s="587">
        <v>0</v>
      </c>
    </row>
    <row r="9" spans="1:15">
      <c r="A9" s="494">
        <v>3</v>
      </c>
      <c r="B9" s="501" t="s">
        <v>567</v>
      </c>
      <c r="C9" s="604">
        <v>22344697.831799999</v>
      </c>
      <c r="D9" s="587">
        <v>22267384.283599999</v>
      </c>
      <c r="E9" s="587">
        <v>77313.548200000005</v>
      </c>
      <c r="F9" s="606">
        <v>0</v>
      </c>
      <c r="G9" s="606">
        <v>0</v>
      </c>
      <c r="H9" s="587">
        <v>0</v>
      </c>
      <c r="I9" s="587">
        <v>453079.02449999994</v>
      </c>
      <c r="J9" s="606">
        <v>445347.66969999997</v>
      </c>
      <c r="K9" s="606">
        <v>7731.3548000000001</v>
      </c>
      <c r="L9" s="606">
        <v>0</v>
      </c>
      <c r="M9" s="606">
        <v>0</v>
      </c>
      <c r="N9" s="606">
        <v>0</v>
      </c>
      <c r="O9" s="587">
        <v>0</v>
      </c>
    </row>
    <row r="10" spans="1:15">
      <c r="A10" s="494">
        <v>4</v>
      </c>
      <c r="B10" s="501" t="s">
        <v>568</v>
      </c>
      <c r="C10" s="604">
        <v>79551160.632299989</v>
      </c>
      <c r="D10" s="587">
        <v>71174003.430199996</v>
      </c>
      <c r="E10" s="587">
        <v>7890147.5441000005</v>
      </c>
      <c r="F10" s="606">
        <v>478072.93109999999</v>
      </c>
      <c r="G10" s="606">
        <v>5227.53</v>
      </c>
      <c r="H10" s="587">
        <v>3709.1969000000004</v>
      </c>
      <c r="I10" s="587">
        <v>2362239.6714999997</v>
      </c>
      <c r="J10" s="606">
        <v>1423480.0289999999</v>
      </c>
      <c r="K10" s="606">
        <v>789014.79319999996</v>
      </c>
      <c r="L10" s="606">
        <v>143421.8824</v>
      </c>
      <c r="M10" s="606">
        <v>2613.77</v>
      </c>
      <c r="N10" s="606">
        <v>3709.1969000000004</v>
      </c>
      <c r="O10" s="587">
        <v>0</v>
      </c>
    </row>
    <row r="11" spans="1:15">
      <c r="A11" s="494">
        <v>5</v>
      </c>
      <c r="B11" s="501" t="s">
        <v>569</v>
      </c>
      <c r="C11" s="604">
        <v>99973845.686200008</v>
      </c>
      <c r="D11" s="587">
        <v>77526400.561700001</v>
      </c>
      <c r="E11" s="587">
        <v>15396861.2776</v>
      </c>
      <c r="F11" s="606">
        <v>5212767.7023999989</v>
      </c>
      <c r="G11" s="606">
        <v>1837816.1444999999</v>
      </c>
      <c r="H11" s="587">
        <v>0</v>
      </c>
      <c r="I11" s="587">
        <v>5572952.6253000004</v>
      </c>
      <c r="J11" s="606">
        <v>1550528.0117000001</v>
      </c>
      <c r="K11" s="606">
        <v>1539686.2024999999</v>
      </c>
      <c r="L11" s="606">
        <v>1563830.3388999999</v>
      </c>
      <c r="M11" s="606">
        <v>918908.07220000005</v>
      </c>
      <c r="N11" s="606">
        <v>0</v>
      </c>
      <c r="O11" s="587">
        <v>0</v>
      </c>
    </row>
    <row r="12" spans="1:15">
      <c r="A12" s="494">
        <v>6</v>
      </c>
      <c r="B12" s="501" t="s">
        <v>570</v>
      </c>
      <c r="C12" s="604">
        <v>34797954.673</v>
      </c>
      <c r="D12" s="587">
        <v>30834327.811500002</v>
      </c>
      <c r="E12" s="587">
        <v>2993123.0550000002</v>
      </c>
      <c r="F12" s="606">
        <v>604006.12</v>
      </c>
      <c r="G12" s="606">
        <v>346373.49649999995</v>
      </c>
      <c r="H12" s="587">
        <v>20124.189999999999</v>
      </c>
      <c r="I12" s="587">
        <v>1290511.7519</v>
      </c>
      <c r="J12" s="606">
        <v>616686.60709999991</v>
      </c>
      <c r="K12" s="606">
        <v>299312.33100000001</v>
      </c>
      <c r="L12" s="606">
        <v>181201.84</v>
      </c>
      <c r="M12" s="606">
        <v>173186.7838</v>
      </c>
      <c r="N12" s="606">
        <v>20124.189999999999</v>
      </c>
      <c r="O12" s="587">
        <v>0</v>
      </c>
    </row>
    <row r="13" spans="1:15">
      <c r="A13" s="494">
        <v>7</v>
      </c>
      <c r="B13" s="501" t="s">
        <v>571</v>
      </c>
      <c r="C13" s="604">
        <v>55638102.281499997</v>
      </c>
      <c r="D13" s="587">
        <v>54150857.508100003</v>
      </c>
      <c r="E13" s="587">
        <v>63972.68</v>
      </c>
      <c r="F13" s="606">
        <v>1385282.5434000001</v>
      </c>
      <c r="G13" s="606">
        <v>37989.550000000003</v>
      </c>
      <c r="H13" s="587">
        <v>0</v>
      </c>
      <c r="I13" s="587">
        <v>1523994.0512999999</v>
      </c>
      <c r="J13" s="606">
        <v>1083017.2259</v>
      </c>
      <c r="K13" s="606">
        <v>6397.2699999999995</v>
      </c>
      <c r="L13" s="606">
        <v>415584.77539999998</v>
      </c>
      <c r="M13" s="606">
        <v>18994.78</v>
      </c>
      <c r="N13" s="606">
        <v>0</v>
      </c>
      <c r="O13" s="587">
        <v>0</v>
      </c>
    </row>
    <row r="14" spans="1:15">
      <c r="A14" s="494">
        <v>8</v>
      </c>
      <c r="B14" s="501" t="s">
        <v>572</v>
      </c>
      <c r="C14" s="604">
        <v>44721618.733199999</v>
      </c>
      <c r="D14" s="587">
        <v>41427618.376599997</v>
      </c>
      <c r="E14" s="587">
        <v>1787902.8307000003</v>
      </c>
      <c r="F14" s="606">
        <v>1164919.5859000001</v>
      </c>
      <c r="G14" s="606">
        <v>341177.94</v>
      </c>
      <c r="H14" s="587">
        <v>0</v>
      </c>
      <c r="I14" s="587">
        <v>1527407.5381</v>
      </c>
      <c r="J14" s="606">
        <v>828552.42690000008</v>
      </c>
      <c r="K14" s="606">
        <v>178790.2732</v>
      </c>
      <c r="L14" s="606">
        <v>349475.848</v>
      </c>
      <c r="M14" s="606">
        <v>170588.99</v>
      </c>
      <c r="N14" s="606">
        <v>0</v>
      </c>
      <c r="O14" s="587">
        <v>0</v>
      </c>
    </row>
    <row r="15" spans="1:15">
      <c r="A15" s="494">
        <v>9</v>
      </c>
      <c r="B15" s="501" t="s">
        <v>573</v>
      </c>
      <c r="C15" s="604">
        <v>29176919.945199996</v>
      </c>
      <c r="D15" s="587">
        <v>27279861.748799998</v>
      </c>
      <c r="E15" s="587">
        <v>1857058.1963999998</v>
      </c>
      <c r="F15" s="606">
        <v>0</v>
      </c>
      <c r="G15" s="606">
        <v>40000</v>
      </c>
      <c r="H15" s="587">
        <v>0</v>
      </c>
      <c r="I15" s="587">
        <v>751303.06230000011</v>
      </c>
      <c r="J15" s="606">
        <v>545597.25270000007</v>
      </c>
      <c r="K15" s="606">
        <v>185705.80959999998</v>
      </c>
      <c r="L15" s="606">
        <v>0</v>
      </c>
      <c r="M15" s="606">
        <v>20000</v>
      </c>
      <c r="N15" s="606">
        <v>0</v>
      </c>
      <c r="O15" s="587">
        <v>0</v>
      </c>
    </row>
    <row r="16" spans="1:15">
      <c r="A16" s="494">
        <v>10</v>
      </c>
      <c r="B16" s="501" t="s">
        <v>574</v>
      </c>
      <c r="C16" s="604">
        <v>13050054.049600001</v>
      </c>
      <c r="D16" s="587">
        <v>9459607.0836000014</v>
      </c>
      <c r="E16" s="587">
        <v>2768500.5433999998</v>
      </c>
      <c r="F16" s="606">
        <v>802183.6226</v>
      </c>
      <c r="G16" s="606">
        <v>0</v>
      </c>
      <c r="H16" s="587">
        <v>19762.8</v>
      </c>
      <c r="I16" s="587">
        <v>726460.10950000002</v>
      </c>
      <c r="J16" s="606">
        <v>189192.1776</v>
      </c>
      <c r="K16" s="606">
        <v>276850.05129999999</v>
      </c>
      <c r="L16" s="606">
        <v>240655.08059999999</v>
      </c>
      <c r="M16" s="606">
        <v>0</v>
      </c>
      <c r="N16" s="606">
        <v>19762.8</v>
      </c>
      <c r="O16" s="587">
        <v>0</v>
      </c>
    </row>
    <row r="17" spans="1:15">
      <c r="A17" s="494">
        <v>11</v>
      </c>
      <c r="B17" s="501" t="s">
        <v>575</v>
      </c>
      <c r="C17" s="604">
        <v>8542663.9209000003</v>
      </c>
      <c r="D17" s="587">
        <v>5910276.9984999998</v>
      </c>
      <c r="E17" s="587">
        <v>1662722.2641</v>
      </c>
      <c r="F17" s="606">
        <v>195448.00089999998</v>
      </c>
      <c r="G17" s="606">
        <v>774216.65740000003</v>
      </c>
      <c r="H17" s="587">
        <v>0</v>
      </c>
      <c r="I17" s="587">
        <v>730220.48710000003</v>
      </c>
      <c r="J17" s="606">
        <v>118205.5673</v>
      </c>
      <c r="K17" s="606">
        <v>166272.20859999998</v>
      </c>
      <c r="L17" s="606">
        <v>58634.3825</v>
      </c>
      <c r="M17" s="606">
        <v>387108.32870000001</v>
      </c>
      <c r="N17" s="606">
        <v>0</v>
      </c>
      <c r="O17" s="587">
        <v>0</v>
      </c>
    </row>
    <row r="18" spans="1:15">
      <c r="A18" s="494">
        <v>12</v>
      </c>
      <c r="B18" s="501" t="s">
        <v>576</v>
      </c>
      <c r="C18" s="604">
        <v>70429255.677699998</v>
      </c>
      <c r="D18" s="587">
        <v>58960296.482199997</v>
      </c>
      <c r="E18" s="587">
        <v>5886092.7805000003</v>
      </c>
      <c r="F18" s="606">
        <v>3273538.4764999999</v>
      </c>
      <c r="G18" s="606">
        <v>1959389.6136999999</v>
      </c>
      <c r="H18" s="587">
        <v>349938.32480000006</v>
      </c>
      <c r="I18" s="587">
        <v>3966313.5011</v>
      </c>
      <c r="J18" s="606">
        <v>1066009.4169999999</v>
      </c>
      <c r="K18" s="606">
        <v>588609.27720000001</v>
      </c>
      <c r="L18" s="606">
        <v>982061.54600000009</v>
      </c>
      <c r="M18" s="606">
        <v>979694.93609999993</v>
      </c>
      <c r="N18" s="606">
        <v>349938.32480000006</v>
      </c>
      <c r="O18" s="587">
        <v>0</v>
      </c>
    </row>
    <row r="19" spans="1:15">
      <c r="A19" s="494">
        <v>13</v>
      </c>
      <c r="B19" s="501" t="s">
        <v>577</v>
      </c>
      <c r="C19" s="604">
        <v>12981424.716500003</v>
      </c>
      <c r="D19" s="587">
        <v>10701937.858100001</v>
      </c>
      <c r="E19" s="587">
        <v>1272272.9743999999</v>
      </c>
      <c r="F19" s="606">
        <v>483252.65860000002</v>
      </c>
      <c r="G19" s="606">
        <v>508939.58539999998</v>
      </c>
      <c r="H19" s="587">
        <v>15021.64</v>
      </c>
      <c r="I19" s="587">
        <v>755733.47700000007</v>
      </c>
      <c r="J19" s="606">
        <v>214038.86430000002</v>
      </c>
      <c r="K19" s="606">
        <v>127227.33249999999</v>
      </c>
      <c r="L19" s="606">
        <v>144975.81700000001</v>
      </c>
      <c r="M19" s="606">
        <v>254469.82320000001</v>
      </c>
      <c r="N19" s="606">
        <v>15021.64</v>
      </c>
      <c r="O19" s="587">
        <v>0</v>
      </c>
    </row>
    <row r="20" spans="1:15">
      <c r="A20" s="494">
        <v>14</v>
      </c>
      <c r="B20" s="501" t="s">
        <v>578</v>
      </c>
      <c r="C20" s="604">
        <v>86078436.867100015</v>
      </c>
      <c r="D20" s="587">
        <v>56776029.936099999</v>
      </c>
      <c r="E20" s="587">
        <v>18330522.178600002</v>
      </c>
      <c r="F20" s="606">
        <v>10093786.1131</v>
      </c>
      <c r="G20" s="606">
        <v>854545.91929999995</v>
      </c>
      <c r="H20" s="587">
        <v>23552.720000000001</v>
      </c>
      <c r="I20" s="587">
        <v>6413970.3626999995</v>
      </c>
      <c r="J20" s="606">
        <v>1101956.4116999998</v>
      </c>
      <c r="K20" s="606">
        <v>1833052.3029</v>
      </c>
      <c r="L20" s="606">
        <v>3028135.9528999999</v>
      </c>
      <c r="M20" s="606">
        <v>427272.97519999999</v>
      </c>
      <c r="N20" s="606">
        <v>23552.720000000001</v>
      </c>
      <c r="O20" s="587">
        <v>0</v>
      </c>
    </row>
    <row r="21" spans="1:15">
      <c r="A21" s="494">
        <v>15</v>
      </c>
      <c r="B21" s="501" t="s">
        <v>579</v>
      </c>
      <c r="C21" s="604">
        <v>32186581.235000003</v>
      </c>
      <c r="D21" s="587">
        <v>16434661.452500001</v>
      </c>
      <c r="E21" s="587">
        <v>14758859.432500001</v>
      </c>
      <c r="F21" s="606">
        <v>968923.94000000006</v>
      </c>
      <c r="G21" s="606">
        <v>22740.43</v>
      </c>
      <c r="H21" s="587">
        <v>1395.98</v>
      </c>
      <c r="I21" s="587">
        <v>2108022.5194000001</v>
      </c>
      <c r="J21" s="606">
        <v>328693.1617</v>
      </c>
      <c r="K21" s="606">
        <v>1475885.9803999998</v>
      </c>
      <c r="L21" s="606">
        <v>290677.17729999998</v>
      </c>
      <c r="M21" s="606">
        <v>11370.220000000001</v>
      </c>
      <c r="N21" s="606">
        <v>1395.98</v>
      </c>
      <c r="O21" s="587">
        <v>0</v>
      </c>
    </row>
    <row r="22" spans="1:15">
      <c r="A22" s="494">
        <v>16</v>
      </c>
      <c r="B22" s="501" t="s">
        <v>580</v>
      </c>
      <c r="C22" s="604">
        <v>386016.36330000003</v>
      </c>
      <c r="D22" s="587">
        <v>386016.36330000003</v>
      </c>
      <c r="E22" s="587">
        <v>0</v>
      </c>
      <c r="F22" s="606">
        <v>0</v>
      </c>
      <c r="G22" s="606">
        <v>0</v>
      </c>
      <c r="H22" s="587">
        <v>0</v>
      </c>
      <c r="I22" s="587">
        <v>7720.3213000000005</v>
      </c>
      <c r="J22" s="606">
        <v>7720.3213000000005</v>
      </c>
      <c r="K22" s="606">
        <v>0</v>
      </c>
      <c r="L22" s="606">
        <v>0</v>
      </c>
      <c r="M22" s="606">
        <v>0</v>
      </c>
      <c r="N22" s="606">
        <v>0</v>
      </c>
      <c r="O22" s="587">
        <v>0</v>
      </c>
    </row>
    <row r="23" spans="1:15">
      <c r="A23" s="494">
        <v>17</v>
      </c>
      <c r="B23" s="501" t="s">
        <v>581</v>
      </c>
      <c r="C23" s="604">
        <v>5478959.8682999993</v>
      </c>
      <c r="D23" s="587">
        <v>2316012.2740999996</v>
      </c>
      <c r="E23" s="587">
        <v>1402596.3426999999</v>
      </c>
      <c r="F23" s="606">
        <v>1355520.5814999999</v>
      </c>
      <c r="G23" s="606">
        <v>404830.67</v>
      </c>
      <c r="H23" s="587">
        <v>0</v>
      </c>
      <c r="I23" s="587">
        <v>795651.36219999997</v>
      </c>
      <c r="J23" s="606">
        <v>46320.226400000007</v>
      </c>
      <c r="K23" s="606">
        <v>140259.62779999999</v>
      </c>
      <c r="L23" s="606">
        <v>406656.16799999995</v>
      </c>
      <c r="M23" s="606">
        <v>202415.34</v>
      </c>
      <c r="N23" s="606">
        <v>0</v>
      </c>
      <c r="O23" s="587">
        <v>0</v>
      </c>
    </row>
    <row r="24" spans="1:15">
      <c r="A24" s="494">
        <v>18</v>
      </c>
      <c r="B24" s="501" t="s">
        <v>582</v>
      </c>
      <c r="C24" s="604">
        <v>18456663.815500002</v>
      </c>
      <c r="D24" s="587">
        <v>18456663.815500002</v>
      </c>
      <c r="E24" s="587">
        <v>0</v>
      </c>
      <c r="F24" s="606">
        <v>0</v>
      </c>
      <c r="G24" s="606">
        <v>0</v>
      </c>
      <c r="H24" s="587">
        <v>0</v>
      </c>
      <c r="I24" s="587">
        <v>369133.28889999999</v>
      </c>
      <c r="J24" s="606">
        <v>369133.28889999999</v>
      </c>
      <c r="K24" s="606">
        <v>0</v>
      </c>
      <c r="L24" s="606">
        <v>0</v>
      </c>
      <c r="M24" s="606">
        <v>0</v>
      </c>
      <c r="N24" s="606">
        <v>0</v>
      </c>
      <c r="O24" s="587">
        <v>0</v>
      </c>
    </row>
    <row r="25" spans="1:15">
      <c r="A25" s="494">
        <v>19</v>
      </c>
      <c r="B25" s="501" t="s">
        <v>583</v>
      </c>
      <c r="C25" s="604">
        <v>6003359.3470000019</v>
      </c>
      <c r="D25" s="587">
        <v>5886928.2882000012</v>
      </c>
      <c r="E25" s="587">
        <v>94208.2</v>
      </c>
      <c r="F25" s="606">
        <v>0</v>
      </c>
      <c r="G25" s="606">
        <v>13972.0388</v>
      </c>
      <c r="H25" s="587">
        <v>8250.82</v>
      </c>
      <c r="I25" s="587">
        <v>142396.22329999998</v>
      </c>
      <c r="J25" s="606">
        <v>117738.56389999999</v>
      </c>
      <c r="K25" s="606">
        <v>9420.82</v>
      </c>
      <c r="L25" s="606">
        <v>0</v>
      </c>
      <c r="M25" s="606">
        <v>6986.0194000000001</v>
      </c>
      <c r="N25" s="606">
        <v>8250.82</v>
      </c>
      <c r="O25" s="587">
        <v>0</v>
      </c>
    </row>
    <row r="26" spans="1:15">
      <c r="A26" s="494">
        <v>20</v>
      </c>
      <c r="B26" s="501" t="s">
        <v>584</v>
      </c>
      <c r="C26" s="604">
        <v>29413347.183399998</v>
      </c>
      <c r="D26" s="587">
        <v>27163578.421299998</v>
      </c>
      <c r="E26" s="587">
        <v>1908125.7270000002</v>
      </c>
      <c r="F26" s="606">
        <v>256053.57</v>
      </c>
      <c r="G26" s="606">
        <v>77554.265100000004</v>
      </c>
      <c r="H26" s="587">
        <v>8035.2</v>
      </c>
      <c r="I26" s="587">
        <v>857712.60230000003</v>
      </c>
      <c r="J26" s="606">
        <v>543271.58149999997</v>
      </c>
      <c r="K26" s="606">
        <v>190812.61820000003</v>
      </c>
      <c r="L26" s="606">
        <v>76816.06</v>
      </c>
      <c r="M26" s="606">
        <v>38777.142599999999</v>
      </c>
      <c r="N26" s="606">
        <v>8035.2</v>
      </c>
      <c r="O26" s="587">
        <v>0</v>
      </c>
    </row>
    <row r="27" spans="1:15">
      <c r="A27" s="494">
        <v>21</v>
      </c>
      <c r="B27" s="501" t="s">
        <v>585</v>
      </c>
      <c r="C27" s="604">
        <v>4410627.1380999992</v>
      </c>
      <c r="D27" s="587">
        <v>4113823.2944999998</v>
      </c>
      <c r="E27" s="587">
        <v>220376.45360000001</v>
      </c>
      <c r="F27" s="606">
        <v>3204.68</v>
      </c>
      <c r="G27" s="606">
        <v>73060.39</v>
      </c>
      <c r="H27" s="587">
        <v>162.32</v>
      </c>
      <c r="I27" s="587">
        <v>141967.9994</v>
      </c>
      <c r="J27" s="606">
        <v>82276.429799999998</v>
      </c>
      <c r="K27" s="606">
        <v>22037.649600000001</v>
      </c>
      <c r="L27" s="606">
        <v>961.4</v>
      </c>
      <c r="M27" s="606">
        <v>36530.199999999997</v>
      </c>
      <c r="N27" s="606">
        <v>162.32</v>
      </c>
      <c r="O27" s="587">
        <v>0</v>
      </c>
    </row>
    <row r="28" spans="1:15">
      <c r="A28" s="494">
        <v>22</v>
      </c>
      <c r="B28" s="501" t="s">
        <v>586</v>
      </c>
      <c r="C28" s="604">
        <v>1365139.8300999999</v>
      </c>
      <c r="D28" s="587">
        <v>550118.80460000003</v>
      </c>
      <c r="E28" s="587">
        <v>790511.43409999995</v>
      </c>
      <c r="F28" s="606">
        <v>9894.2013999999999</v>
      </c>
      <c r="G28" s="606">
        <v>0</v>
      </c>
      <c r="H28" s="587">
        <v>14615.39</v>
      </c>
      <c r="I28" s="587">
        <v>107637.19929999999</v>
      </c>
      <c r="J28" s="606">
        <v>11002.393600000001</v>
      </c>
      <c r="K28" s="606">
        <v>79051.161500000002</v>
      </c>
      <c r="L28" s="606">
        <v>2968.2541999999999</v>
      </c>
      <c r="M28" s="606">
        <v>0</v>
      </c>
      <c r="N28" s="606">
        <v>14615.39</v>
      </c>
      <c r="O28" s="587">
        <v>0</v>
      </c>
    </row>
    <row r="29" spans="1:15">
      <c r="A29" s="494">
        <v>23</v>
      </c>
      <c r="B29" s="501" t="s">
        <v>587</v>
      </c>
      <c r="C29" s="604">
        <v>78979236.115199998</v>
      </c>
      <c r="D29" s="587">
        <v>63297801.794399999</v>
      </c>
      <c r="E29" s="587">
        <v>6127413.9268999994</v>
      </c>
      <c r="F29" s="606">
        <v>6547593.1343999989</v>
      </c>
      <c r="G29" s="606">
        <v>2969798.1494999998</v>
      </c>
      <c r="H29" s="587">
        <v>36629.11</v>
      </c>
      <c r="I29" s="587">
        <v>5364503.9250999996</v>
      </c>
      <c r="J29" s="606">
        <v>1265956.2168999999</v>
      </c>
      <c r="K29" s="606">
        <v>612741.42820000008</v>
      </c>
      <c r="L29" s="606">
        <v>1964278.0038999999</v>
      </c>
      <c r="M29" s="606">
        <v>1484899.1661</v>
      </c>
      <c r="N29" s="606">
        <v>36629.11</v>
      </c>
      <c r="O29" s="587">
        <v>0</v>
      </c>
    </row>
    <row r="30" spans="1:15">
      <c r="A30" s="494">
        <v>24</v>
      </c>
      <c r="B30" s="501" t="s">
        <v>588</v>
      </c>
      <c r="C30" s="604">
        <v>97298033.925400004</v>
      </c>
      <c r="D30" s="587">
        <v>87695885.99589999</v>
      </c>
      <c r="E30" s="587">
        <v>4204392.4843000006</v>
      </c>
      <c r="F30" s="606">
        <v>2008503.9720000001</v>
      </c>
      <c r="G30" s="606">
        <v>3355393.3332000002</v>
      </c>
      <c r="H30" s="587">
        <v>33858.14</v>
      </c>
      <c r="I30" s="587">
        <v>4485096.3614999996</v>
      </c>
      <c r="J30" s="606">
        <v>1750551.0602000002</v>
      </c>
      <c r="K30" s="606">
        <v>420439.2218</v>
      </c>
      <c r="L30" s="606">
        <v>602551.20010000013</v>
      </c>
      <c r="M30" s="606">
        <v>1677696.7394000001</v>
      </c>
      <c r="N30" s="606">
        <v>33858.14</v>
      </c>
      <c r="O30" s="587">
        <v>0</v>
      </c>
    </row>
    <row r="31" spans="1:15">
      <c r="A31" s="494">
        <v>25</v>
      </c>
      <c r="B31" s="501" t="s">
        <v>589</v>
      </c>
      <c r="C31" s="604">
        <v>49452110.36680001</v>
      </c>
      <c r="D31" s="587">
        <v>43433938.069000006</v>
      </c>
      <c r="E31" s="587">
        <v>1971022.5</v>
      </c>
      <c r="F31" s="606">
        <v>3208973.4028000003</v>
      </c>
      <c r="G31" s="606">
        <v>745897.86499999999</v>
      </c>
      <c r="H31" s="587">
        <v>92278.53</v>
      </c>
      <c r="I31" s="587">
        <v>2396070.7566999998</v>
      </c>
      <c r="J31" s="606">
        <v>771048.88489999995</v>
      </c>
      <c r="K31" s="606">
        <v>197102.28999999998</v>
      </c>
      <c r="L31" s="606">
        <v>962692.05930000008</v>
      </c>
      <c r="M31" s="606">
        <v>372948.99249999999</v>
      </c>
      <c r="N31" s="606">
        <v>92278.53</v>
      </c>
      <c r="O31" s="587">
        <v>0</v>
      </c>
    </row>
    <row r="32" spans="1:15">
      <c r="A32" s="494">
        <v>26</v>
      </c>
      <c r="B32" s="501" t="s">
        <v>691</v>
      </c>
      <c r="C32" s="604">
        <v>19823040.628900036</v>
      </c>
      <c r="D32" s="587">
        <v>15607332.61680004</v>
      </c>
      <c r="E32" s="587">
        <v>1762125.1626999993</v>
      </c>
      <c r="F32" s="606">
        <v>957510.50740000047</v>
      </c>
      <c r="G32" s="606">
        <v>1372449.6713999999</v>
      </c>
      <c r="H32" s="587">
        <v>123622.67060000007</v>
      </c>
      <c r="I32" s="587">
        <v>1585126.0537999999</v>
      </c>
      <c r="J32" s="606">
        <v>311812.73469999991</v>
      </c>
      <c r="K32" s="606">
        <v>176212.53680000012</v>
      </c>
      <c r="L32" s="606">
        <v>287253.16449999996</v>
      </c>
      <c r="M32" s="606">
        <v>686224.94719999982</v>
      </c>
      <c r="N32" s="606">
        <v>123622.67060000007</v>
      </c>
      <c r="O32" s="587">
        <v>0</v>
      </c>
    </row>
    <row r="33" spans="1:15">
      <c r="A33" s="494">
        <v>27</v>
      </c>
      <c r="B33" s="528" t="s">
        <v>68</v>
      </c>
      <c r="C33" s="607">
        <v>1001625307.2075002</v>
      </c>
      <c r="D33" s="587">
        <v>846361766.56850004</v>
      </c>
      <c r="E33" s="587">
        <v>97396120.730200008</v>
      </c>
      <c r="F33" s="606">
        <v>40152280.541500002</v>
      </c>
      <c r="G33" s="606">
        <v>16673666.138599999</v>
      </c>
      <c r="H33" s="587">
        <v>1041473.2287</v>
      </c>
      <c r="I33" s="588">
        <v>47839604.260400005</v>
      </c>
      <c r="J33" s="606">
        <v>16676000.229499994</v>
      </c>
      <c r="K33" s="606">
        <v>9739612.6150000002</v>
      </c>
      <c r="L33" s="606">
        <v>12045684.374600001</v>
      </c>
      <c r="M33" s="606">
        <v>8336833.8125999998</v>
      </c>
      <c r="N33" s="606">
        <v>1041473.2287</v>
      </c>
      <c r="O33" s="587">
        <v>0</v>
      </c>
    </row>
    <row r="35" spans="1:15">
      <c r="B35" s="502"/>
      <c r="C35" s="502"/>
    </row>
    <row r="41" spans="1:15">
      <c r="A41" s="498"/>
      <c r="B41" s="498"/>
      <c r="C41" s="498"/>
    </row>
    <row r="42" spans="1:15">
      <c r="A42" s="498"/>
      <c r="B42" s="498"/>
      <c r="C42" s="498"/>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C1" zoomScaleNormal="100" workbookViewId="0">
      <selection activeCell="C6" sqref="C6:K11"/>
    </sheetView>
  </sheetViews>
  <sheetFormatPr defaultColWidth="8.7109375" defaultRowHeight="12"/>
  <cols>
    <col min="1" max="1" width="11.85546875" style="529" bestFit="1" customWidth="1"/>
    <col min="2" max="2" width="80.140625" style="529" customWidth="1"/>
    <col min="3" max="11" width="28.28515625" style="529" customWidth="1"/>
    <col min="12" max="16384" width="8.7109375" style="529"/>
  </cols>
  <sheetData>
    <row r="1" spans="1:11" s="481" customFormat="1" ht="12.75">
      <c r="A1" s="480" t="s">
        <v>188</v>
      </c>
      <c r="B1" s="621" t="str">
        <f>'1. key ratios'!B1</f>
        <v>ს.ს. "ტერაბანკი"</v>
      </c>
    </row>
    <row r="2" spans="1:11" s="481" customFormat="1" ht="12.75">
      <c r="A2" s="480" t="s">
        <v>189</v>
      </c>
    </row>
    <row r="3" spans="1:11" s="481" customFormat="1" ht="12.75">
      <c r="A3" s="482" t="s">
        <v>692</v>
      </c>
      <c r="B3" s="483">
        <f>'1. key ratios'!B2</f>
        <v>44651</v>
      </c>
    </row>
    <row r="4" spans="1:11">
      <c r="C4" s="530" t="s">
        <v>542</v>
      </c>
      <c r="D4" s="530" t="s">
        <v>543</v>
      </c>
      <c r="E4" s="530" t="s">
        <v>544</v>
      </c>
      <c r="F4" s="530" t="s">
        <v>545</v>
      </c>
      <c r="G4" s="530" t="s">
        <v>546</v>
      </c>
      <c r="H4" s="530" t="s">
        <v>547</v>
      </c>
      <c r="I4" s="530" t="s">
        <v>548</v>
      </c>
      <c r="J4" s="530" t="s">
        <v>549</v>
      </c>
      <c r="K4" s="530" t="s">
        <v>550</v>
      </c>
    </row>
    <row r="5" spans="1:11" ht="104.1" customHeight="1">
      <c r="A5" s="723" t="s">
        <v>693</v>
      </c>
      <c r="B5" s="724"/>
      <c r="C5" s="484" t="s">
        <v>694</v>
      </c>
      <c r="D5" s="484" t="s">
        <v>680</v>
      </c>
      <c r="E5" s="484" t="s">
        <v>681</v>
      </c>
      <c r="F5" s="484" t="s">
        <v>695</v>
      </c>
      <c r="G5" s="484" t="s">
        <v>696</v>
      </c>
      <c r="H5" s="484" t="s">
        <v>697</v>
      </c>
      <c r="I5" s="484" t="s">
        <v>698</v>
      </c>
      <c r="J5" s="484" t="s">
        <v>699</v>
      </c>
      <c r="K5" s="484" t="s">
        <v>700</v>
      </c>
    </row>
    <row r="6" spans="1:11" ht="12.75">
      <c r="A6" s="494">
        <v>1</v>
      </c>
      <c r="B6" s="494" t="s">
        <v>701</v>
      </c>
      <c r="C6" s="622">
        <v>35646238.99000001</v>
      </c>
      <c r="D6" s="622">
        <v>7188207.0249999994</v>
      </c>
      <c r="E6" s="622">
        <v>0</v>
      </c>
      <c r="F6" s="622">
        <v>4492135.21</v>
      </c>
      <c r="G6" s="622">
        <v>806064707.37999988</v>
      </c>
      <c r="H6" s="622">
        <v>0</v>
      </c>
      <c r="I6" s="622">
        <v>51336151.99000001</v>
      </c>
      <c r="J6" s="622">
        <v>0</v>
      </c>
      <c r="K6" s="622">
        <v>68010906.045000911</v>
      </c>
    </row>
    <row r="7" spans="1:11" ht="12.75">
      <c r="A7" s="494">
        <v>2</v>
      </c>
      <c r="B7" s="494" t="s">
        <v>702</v>
      </c>
      <c r="C7" s="622">
        <v>0</v>
      </c>
      <c r="D7" s="622">
        <v>0</v>
      </c>
      <c r="E7" s="622">
        <v>0</v>
      </c>
      <c r="F7" s="622">
        <v>0</v>
      </c>
      <c r="G7" s="622">
        <v>0</v>
      </c>
      <c r="H7" s="622">
        <v>0</v>
      </c>
      <c r="I7" s="622">
        <v>0</v>
      </c>
      <c r="J7" s="622">
        <v>0</v>
      </c>
      <c r="K7" s="622">
        <v>34000000</v>
      </c>
    </row>
    <row r="8" spans="1:11" ht="12.75">
      <c r="A8" s="494">
        <v>3</v>
      </c>
      <c r="B8" s="494" t="s">
        <v>652</v>
      </c>
      <c r="C8" s="622">
        <v>25737845.209999997</v>
      </c>
      <c r="D8" s="622">
        <v>0</v>
      </c>
      <c r="E8" s="622">
        <v>0</v>
      </c>
      <c r="F8" s="622">
        <v>0</v>
      </c>
      <c r="G8" s="622">
        <v>18682725.589999996</v>
      </c>
      <c r="H8" s="622">
        <v>0</v>
      </c>
      <c r="I8" s="622">
        <v>4563705.12</v>
      </c>
      <c r="J8" s="622">
        <v>0</v>
      </c>
      <c r="K8" s="622">
        <v>49166890.77780012</v>
      </c>
    </row>
    <row r="9" spans="1:11" ht="12.75">
      <c r="A9" s="494">
        <v>4</v>
      </c>
      <c r="B9" s="516" t="s">
        <v>703</v>
      </c>
      <c r="C9" s="622">
        <v>21192.179999999997</v>
      </c>
      <c r="D9" s="622">
        <v>1279485.504</v>
      </c>
      <c r="E9" s="622">
        <v>0</v>
      </c>
      <c r="F9" s="622">
        <v>0</v>
      </c>
      <c r="G9" s="622">
        <v>53894673.580000028</v>
      </c>
      <c r="H9" s="622">
        <v>0</v>
      </c>
      <c r="I9" s="622">
        <v>1367798.8</v>
      </c>
      <c r="J9" s="622">
        <v>0</v>
      </c>
      <c r="K9" s="622">
        <v>1398849.8842999786</v>
      </c>
    </row>
    <row r="10" spans="1:11" ht="12.75">
      <c r="A10" s="494">
        <v>5</v>
      </c>
      <c r="B10" s="516" t="s">
        <v>704</v>
      </c>
      <c r="C10" s="622">
        <v>0</v>
      </c>
      <c r="D10" s="622">
        <v>0</v>
      </c>
      <c r="E10" s="622">
        <v>0</v>
      </c>
      <c r="F10" s="622">
        <v>0</v>
      </c>
      <c r="G10" s="622">
        <v>0</v>
      </c>
      <c r="H10" s="622">
        <v>0</v>
      </c>
      <c r="I10" s="622">
        <v>0</v>
      </c>
      <c r="J10" s="622">
        <v>0</v>
      </c>
      <c r="K10" s="622">
        <v>0</v>
      </c>
    </row>
    <row r="11" spans="1:11" ht="12.75">
      <c r="A11" s="494">
        <v>6</v>
      </c>
      <c r="B11" s="516" t="s">
        <v>705</v>
      </c>
      <c r="C11" s="622">
        <v>11510</v>
      </c>
      <c r="D11" s="622">
        <v>0</v>
      </c>
      <c r="E11" s="622">
        <v>0</v>
      </c>
      <c r="F11" s="622">
        <v>0</v>
      </c>
      <c r="G11" s="622">
        <v>0</v>
      </c>
      <c r="H11" s="622">
        <v>0</v>
      </c>
      <c r="I11" s="622">
        <v>0</v>
      </c>
      <c r="J11" s="622">
        <v>0</v>
      </c>
      <c r="K11" s="622">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workbookViewId="0"/>
  </sheetViews>
  <sheetFormatPr defaultRowHeight="15"/>
  <cols>
    <col min="1" max="1" width="10" bestFit="1" customWidth="1"/>
    <col min="2" max="2" width="71.7109375" customWidth="1"/>
    <col min="3" max="3" width="10.5703125" bestFit="1" customWidth="1"/>
    <col min="4" max="4" width="12.42578125" bestFit="1" customWidth="1"/>
    <col min="5" max="5" width="11.42578125" bestFit="1" customWidth="1"/>
    <col min="6" max="6" width="15" bestFit="1" customWidth="1"/>
    <col min="7" max="7" width="9" bestFit="1" customWidth="1"/>
    <col min="8" max="8" width="7.7109375" bestFit="1" customWidth="1"/>
    <col min="9" max="9" width="10.5703125" bestFit="1" customWidth="1"/>
    <col min="10" max="10" width="12.42578125" bestFit="1" customWidth="1"/>
    <col min="11" max="11" width="11.42578125" bestFit="1" customWidth="1"/>
    <col min="12" max="12" width="15" bestFit="1" customWidth="1"/>
    <col min="13" max="13" width="9" bestFit="1" customWidth="1"/>
    <col min="14" max="14" width="7.7109375" bestFit="1" customWidth="1"/>
    <col min="15" max="15" width="16.7109375" bestFit="1" customWidth="1"/>
    <col min="16" max="16" width="33.7109375" bestFit="1" customWidth="1"/>
    <col min="17" max="17" width="33.140625" customWidth="1"/>
    <col min="18" max="18" width="37.140625" bestFit="1" customWidth="1"/>
    <col min="19" max="19" width="32.140625" bestFit="1" customWidth="1"/>
  </cols>
  <sheetData>
    <row r="1" spans="1:19">
      <c r="A1" s="480" t="s">
        <v>188</v>
      </c>
      <c r="B1" s="398" t="str">
        <f>'1. key ratios'!B1</f>
        <v>ს.ს. "ტერაბანკი"</v>
      </c>
    </row>
    <row r="2" spans="1:19">
      <c r="A2" s="480" t="s">
        <v>189</v>
      </c>
      <c r="B2" s="483">
        <f>'1. key ratios'!B2</f>
        <v>44651</v>
      </c>
    </row>
    <row r="3" spans="1:19">
      <c r="A3" s="482" t="s">
        <v>717</v>
      </c>
      <c r="B3" s="481"/>
    </row>
    <row r="4" spans="1:19">
      <c r="A4" s="482"/>
      <c r="B4" s="481"/>
    </row>
    <row r="5" spans="1:19" ht="24" customHeight="1">
      <c r="A5" s="726" t="s">
        <v>718</v>
      </c>
      <c r="B5" s="726"/>
      <c r="C5" s="727" t="s">
        <v>655</v>
      </c>
      <c r="D5" s="727"/>
      <c r="E5" s="727"/>
      <c r="F5" s="727"/>
      <c r="G5" s="727"/>
      <c r="H5" s="727"/>
      <c r="I5" s="727" t="s">
        <v>719</v>
      </c>
      <c r="J5" s="727"/>
      <c r="K5" s="727"/>
      <c r="L5" s="727"/>
      <c r="M5" s="727"/>
      <c r="N5" s="727"/>
      <c r="O5" s="725" t="s">
        <v>720</v>
      </c>
      <c r="P5" s="725" t="s">
        <v>721</v>
      </c>
      <c r="Q5" s="725" t="s">
        <v>722</v>
      </c>
      <c r="R5" s="725" t="s">
        <v>723</v>
      </c>
      <c r="S5" s="725" t="s">
        <v>724</v>
      </c>
    </row>
    <row r="6" spans="1:19" ht="36" customHeight="1">
      <c r="A6" s="726"/>
      <c r="B6" s="726"/>
      <c r="C6" s="608"/>
      <c r="D6" s="526" t="s">
        <v>686</v>
      </c>
      <c r="E6" s="526" t="s">
        <v>687</v>
      </c>
      <c r="F6" s="526" t="s">
        <v>688</v>
      </c>
      <c r="G6" s="526" t="s">
        <v>689</v>
      </c>
      <c r="H6" s="526" t="s">
        <v>690</v>
      </c>
      <c r="I6" s="608"/>
      <c r="J6" s="526" t="s">
        <v>686</v>
      </c>
      <c r="K6" s="526" t="s">
        <v>687</v>
      </c>
      <c r="L6" s="526" t="s">
        <v>688</v>
      </c>
      <c r="M6" s="526" t="s">
        <v>689</v>
      </c>
      <c r="N6" s="526" t="s">
        <v>690</v>
      </c>
      <c r="O6" s="725"/>
      <c r="P6" s="725"/>
      <c r="Q6" s="725"/>
      <c r="R6" s="725"/>
      <c r="S6" s="725"/>
    </row>
    <row r="7" spans="1:19">
      <c r="A7" s="609">
        <v>1</v>
      </c>
      <c r="B7" s="610" t="s">
        <v>725</v>
      </c>
      <c r="C7" s="617">
        <v>11536952.562200001</v>
      </c>
      <c r="D7" s="617">
        <v>11444491.9222</v>
      </c>
      <c r="E7" s="617">
        <v>92460.64</v>
      </c>
      <c r="F7" s="617">
        <v>0</v>
      </c>
      <c r="G7" s="617">
        <v>0</v>
      </c>
      <c r="H7" s="617">
        <v>0</v>
      </c>
      <c r="I7" s="617">
        <v>238136.0337</v>
      </c>
      <c r="J7" s="617">
        <v>228889.9737</v>
      </c>
      <c r="K7" s="617">
        <v>9246.06</v>
      </c>
      <c r="L7" s="617">
        <v>0</v>
      </c>
      <c r="M7" s="617">
        <v>0</v>
      </c>
      <c r="N7" s="617">
        <v>0</v>
      </c>
      <c r="O7" s="617">
        <v>998</v>
      </c>
      <c r="P7" s="619">
        <v>0.3951885035800845</v>
      </c>
      <c r="Q7" s="619">
        <v>0.4803838654681582</v>
      </c>
      <c r="R7" s="619">
        <v>0.38039263000000001</v>
      </c>
      <c r="S7" s="617">
        <v>29.18</v>
      </c>
    </row>
    <row r="8" spans="1:19">
      <c r="A8" s="609">
        <v>2</v>
      </c>
      <c r="B8" s="611" t="s">
        <v>726</v>
      </c>
      <c r="C8" s="617">
        <v>79980158.621099994</v>
      </c>
      <c r="D8" s="617">
        <v>72229110.314199999</v>
      </c>
      <c r="E8" s="617">
        <v>3861632.0070000002</v>
      </c>
      <c r="F8" s="617">
        <v>1544775.7645999999</v>
      </c>
      <c r="G8" s="617">
        <v>1813539.2168000001</v>
      </c>
      <c r="H8" s="617">
        <v>531101.31850000005</v>
      </c>
      <c r="I8" s="617">
        <v>3628511.4016</v>
      </c>
      <c r="J8" s="617">
        <v>1341044.0451</v>
      </c>
      <c r="K8" s="617">
        <v>386163.38010000001</v>
      </c>
      <c r="L8" s="617">
        <v>463432.7732</v>
      </c>
      <c r="M8" s="617">
        <v>906769.88469999994</v>
      </c>
      <c r="N8" s="617">
        <v>531101.31850000005</v>
      </c>
      <c r="O8" s="617">
        <v>6407</v>
      </c>
      <c r="P8" s="619">
        <v>0.13250993385727969</v>
      </c>
      <c r="Q8" s="619">
        <v>0.15739585383208579</v>
      </c>
      <c r="R8" s="619">
        <v>0.13353975000000001</v>
      </c>
      <c r="S8" s="617">
        <v>51.629600000000003</v>
      </c>
    </row>
    <row r="9" spans="1:19">
      <c r="A9" s="609">
        <v>3</v>
      </c>
      <c r="B9" s="611" t="s">
        <v>728</v>
      </c>
      <c r="C9" s="617">
        <v>0</v>
      </c>
      <c r="D9" s="617">
        <v>0</v>
      </c>
      <c r="E9" s="617">
        <v>0</v>
      </c>
      <c r="F9" s="617">
        <v>0</v>
      </c>
      <c r="G9" s="617">
        <v>0</v>
      </c>
      <c r="H9" s="617">
        <v>0</v>
      </c>
      <c r="I9" s="617">
        <v>0</v>
      </c>
      <c r="J9" s="617">
        <v>0</v>
      </c>
      <c r="K9" s="617">
        <v>0</v>
      </c>
      <c r="L9" s="617">
        <v>0</v>
      </c>
      <c r="M9" s="617">
        <v>0</v>
      </c>
      <c r="N9" s="617">
        <v>0</v>
      </c>
      <c r="O9" s="617">
        <v>0</v>
      </c>
      <c r="P9" s="619">
        <v>0</v>
      </c>
      <c r="Q9" s="619">
        <v>0</v>
      </c>
      <c r="R9" s="619">
        <v>0</v>
      </c>
      <c r="S9" s="617">
        <v>0</v>
      </c>
    </row>
    <row r="10" spans="1:19">
      <c r="A10" s="609">
        <v>4</v>
      </c>
      <c r="B10" s="611" t="s">
        <v>729</v>
      </c>
      <c r="C10" s="617">
        <v>5053.21</v>
      </c>
      <c r="D10" s="617">
        <v>5053.21</v>
      </c>
      <c r="E10" s="617">
        <v>0</v>
      </c>
      <c r="F10" s="617">
        <v>0</v>
      </c>
      <c r="G10" s="617">
        <v>0</v>
      </c>
      <c r="H10" s="617">
        <v>0</v>
      </c>
      <c r="I10" s="617">
        <v>101.07</v>
      </c>
      <c r="J10" s="617">
        <v>101.07</v>
      </c>
      <c r="K10" s="617">
        <v>0</v>
      </c>
      <c r="L10" s="617">
        <v>0</v>
      </c>
      <c r="M10" s="617">
        <v>0</v>
      </c>
      <c r="N10" s="617">
        <v>0</v>
      </c>
      <c r="O10" s="617">
        <v>5</v>
      </c>
      <c r="P10" s="619">
        <v>0</v>
      </c>
      <c r="Q10" s="619">
        <v>0</v>
      </c>
      <c r="R10" s="619">
        <v>0</v>
      </c>
      <c r="S10" s="617">
        <v>12.670199999999999</v>
      </c>
    </row>
    <row r="11" spans="1:19">
      <c r="A11" s="609">
        <v>5</v>
      </c>
      <c r="B11" s="611" t="s">
        <v>730</v>
      </c>
      <c r="C11" s="617">
        <v>2395074.0702</v>
      </c>
      <c r="D11" s="617">
        <v>2138834.89</v>
      </c>
      <c r="E11" s="617">
        <v>113742.19</v>
      </c>
      <c r="F11" s="617">
        <v>31647.21</v>
      </c>
      <c r="G11" s="617">
        <v>10145.67</v>
      </c>
      <c r="H11" s="617">
        <v>100704.1102</v>
      </c>
      <c r="I11" s="617">
        <v>169422.64019999999</v>
      </c>
      <c r="J11" s="617">
        <v>42777.17</v>
      </c>
      <c r="K11" s="617">
        <v>11374.3</v>
      </c>
      <c r="L11" s="617">
        <v>9494.2000000000007</v>
      </c>
      <c r="M11" s="617">
        <v>5072.8599999999997</v>
      </c>
      <c r="N11" s="617">
        <v>100704.1102</v>
      </c>
      <c r="O11" s="617">
        <v>3550</v>
      </c>
      <c r="P11" s="619">
        <v>0.13981557495377178</v>
      </c>
      <c r="Q11" s="619">
        <v>0.14814006995126633</v>
      </c>
      <c r="R11" s="619">
        <v>0.13970815</v>
      </c>
      <c r="S11" s="617">
        <v>26.906700000000001</v>
      </c>
    </row>
    <row r="12" spans="1:19">
      <c r="A12" s="609">
        <v>6</v>
      </c>
      <c r="B12" s="611" t="s">
        <v>731</v>
      </c>
      <c r="C12" s="617">
        <v>2197976.3854</v>
      </c>
      <c r="D12" s="617">
        <v>1840888.7175</v>
      </c>
      <c r="E12" s="617">
        <v>275006.77789999999</v>
      </c>
      <c r="F12" s="617">
        <v>30919.200000000001</v>
      </c>
      <c r="G12" s="617">
        <v>29912.959999999999</v>
      </c>
      <c r="H12" s="617">
        <v>21248.73</v>
      </c>
      <c r="I12" s="617">
        <v>109708.7957</v>
      </c>
      <c r="J12" s="617">
        <v>36727.028900000005</v>
      </c>
      <c r="K12" s="617">
        <v>27500.766799999998</v>
      </c>
      <c r="L12" s="617">
        <v>9275.77</v>
      </c>
      <c r="M12" s="617">
        <v>14956.5</v>
      </c>
      <c r="N12" s="617">
        <v>21248.73</v>
      </c>
      <c r="O12" s="617">
        <v>1511</v>
      </c>
      <c r="P12" s="619">
        <v>0.26281808126298078</v>
      </c>
      <c r="Q12" s="619">
        <v>0.3245585216047106</v>
      </c>
      <c r="R12" s="619">
        <v>0.27163546999999999</v>
      </c>
      <c r="S12" s="617">
        <v>35.081000000000003</v>
      </c>
    </row>
    <row r="13" spans="1:19">
      <c r="A13" s="609">
        <v>7</v>
      </c>
      <c r="B13" s="611" t="s">
        <v>732</v>
      </c>
      <c r="C13" s="617">
        <v>101914492.7475</v>
      </c>
      <c r="D13" s="617">
        <v>93391978.754600003</v>
      </c>
      <c r="E13" s="617">
        <v>3659499.6787999999</v>
      </c>
      <c r="F13" s="617">
        <v>3666942.3364999997</v>
      </c>
      <c r="G13" s="617">
        <v>1171783.4076</v>
      </c>
      <c r="H13" s="617">
        <v>24288.57</v>
      </c>
      <c r="I13" s="617">
        <v>3944052.5110999998</v>
      </c>
      <c r="J13" s="617">
        <v>1867839.4764</v>
      </c>
      <c r="K13" s="617">
        <v>365949.98560000001</v>
      </c>
      <c r="L13" s="617">
        <v>1100082.7187000001</v>
      </c>
      <c r="M13" s="617">
        <v>585891.76040000003</v>
      </c>
      <c r="N13" s="617">
        <v>24288.57</v>
      </c>
      <c r="O13" s="617">
        <v>1338</v>
      </c>
      <c r="P13" s="619">
        <v>0.11019944106815839</v>
      </c>
      <c r="Q13" s="619">
        <v>0.12687865955057676</v>
      </c>
      <c r="R13" s="619">
        <v>0.11209708</v>
      </c>
      <c r="S13" s="617">
        <v>116.2825</v>
      </c>
    </row>
    <row r="14" spans="1:19">
      <c r="A14" s="616">
        <v>7.1</v>
      </c>
      <c r="B14" s="612" t="s">
        <v>733</v>
      </c>
      <c r="C14" s="617">
        <v>74347064.736599982</v>
      </c>
      <c r="D14" s="617">
        <v>68992308.097299993</v>
      </c>
      <c r="E14" s="617">
        <v>2248252.1494</v>
      </c>
      <c r="F14" s="617">
        <v>2756565.9539999999</v>
      </c>
      <c r="G14" s="617">
        <v>349938.53590000002</v>
      </c>
      <c r="H14" s="617">
        <v>0</v>
      </c>
      <c r="I14" s="617">
        <v>2606610.4350000001</v>
      </c>
      <c r="J14" s="617">
        <v>1379846.1616000002</v>
      </c>
      <c r="K14" s="617">
        <v>224825.1667</v>
      </c>
      <c r="L14" s="617">
        <v>826969.7977</v>
      </c>
      <c r="M14" s="617">
        <v>174969.30900000001</v>
      </c>
      <c r="N14" s="617">
        <v>0</v>
      </c>
      <c r="O14" s="617">
        <v>886</v>
      </c>
      <c r="P14" s="619">
        <v>0.10824866711257278</v>
      </c>
      <c r="Q14" s="619">
        <v>0.12361997092894857</v>
      </c>
      <c r="R14" s="619">
        <v>0.10913870000000001</v>
      </c>
      <c r="S14" s="617">
        <v>119.1482</v>
      </c>
    </row>
    <row r="15" spans="1:19" ht="25.5">
      <c r="A15" s="616">
        <v>7.2</v>
      </c>
      <c r="B15" s="612" t="s">
        <v>734</v>
      </c>
      <c r="C15" s="617">
        <v>21660591.835500002</v>
      </c>
      <c r="D15" s="617">
        <v>19222694.569200002</v>
      </c>
      <c r="E15" s="617">
        <v>1303161.7138</v>
      </c>
      <c r="F15" s="617">
        <v>910376.38249999983</v>
      </c>
      <c r="G15" s="617">
        <v>200070.6</v>
      </c>
      <c r="H15" s="617">
        <v>24288.57</v>
      </c>
      <c r="I15" s="617">
        <v>912206.8202999999</v>
      </c>
      <c r="J15" s="617">
        <v>384453.8186</v>
      </c>
      <c r="K15" s="617">
        <v>130316.2107</v>
      </c>
      <c r="L15" s="617">
        <v>273112.92099999997</v>
      </c>
      <c r="M15" s="617">
        <v>100035.3</v>
      </c>
      <c r="N15" s="617">
        <v>24288.57</v>
      </c>
      <c r="O15" s="617">
        <v>351</v>
      </c>
      <c r="P15" s="619">
        <v>0.12832825214472776</v>
      </c>
      <c r="Q15" s="619">
        <v>0.14883693099363884</v>
      </c>
      <c r="R15" s="619">
        <v>0.12001647</v>
      </c>
      <c r="S15" s="617">
        <v>99.276899999999998</v>
      </c>
    </row>
    <row r="16" spans="1:19">
      <c r="A16" s="616">
        <v>7.3</v>
      </c>
      <c r="B16" s="612" t="s">
        <v>735</v>
      </c>
      <c r="C16" s="617">
        <v>5906836.175400001</v>
      </c>
      <c r="D16" s="617">
        <v>5176976.0881000003</v>
      </c>
      <c r="E16" s="617">
        <v>108085.8156</v>
      </c>
      <c r="F16" s="617">
        <v>0</v>
      </c>
      <c r="G16" s="617">
        <v>621774.27170000004</v>
      </c>
      <c r="H16" s="617">
        <v>0</v>
      </c>
      <c r="I16" s="617">
        <v>425235.25579999998</v>
      </c>
      <c r="J16" s="617">
        <v>103539.49619999999</v>
      </c>
      <c r="K16" s="617">
        <v>10808.608200000001</v>
      </c>
      <c r="L16" s="617">
        <v>0</v>
      </c>
      <c r="M16" s="617">
        <v>310887.15139999997</v>
      </c>
      <c r="N16" s="617">
        <v>0</v>
      </c>
      <c r="O16" s="617">
        <v>101</v>
      </c>
      <c r="P16" s="619">
        <v>0.11696575871183747</v>
      </c>
      <c r="Q16" s="619">
        <v>0.13990983008898342</v>
      </c>
      <c r="R16" s="619">
        <v>0.12211965</v>
      </c>
      <c r="S16" s="617">
        <v>124.1537</v>
      </c>
    </row>
    <row r="17" spans="1:19">
      <c r="A17" s="609">
        <v>8</v>
      </c>
      <c r="B17" s="611" t="s">
        <v>736</v>
      </c>
      <c r="C17" s="617">
        <v>0</v>
      </c>
      <c r="D17" s="617">
        <v>0</v>
      </c>
      <c r="E17" s="617">
        <v>0</v>
      </c>
      <c r="F17" s="617">
        <v>0</v>
      </c>
      <c r="G17" s="617">
        <v>0</v>
      </c>
      <c r="H17" s="617">
        <v>0</v>
      </c>
      <c r="I17" s="617">
        <v>0</v>
      </c>
      <c r="J17" s="617">
        <v>0</v>
      </c>
      <c r="K17" s="617">
        <v>0</v>
      </c>
      <c r="L17" s="617">
        <v>0</v>
      </c>
      <c r="M17" s="617">
        <v>0</v>
      </c>
      <c r="N17" s="617">
        <v>0</v>
      </c>
      <c r="O17" s="617">
        <v>0</v>
      </c>
      <c r="P17" s="619">
        <v>0</v>
      </c>
      <c r="Q17" s="619">
        <v>0</v>
      </c>
      <c r="R17" s="619">
        <v>0</v>
      </c>
      <c r="S17" s="617">
        <v>0</v>
      </c>
    </row>
    <row r="18" spans="1:19">
      <c r="A18" s="613">
        <v>9</v>
      </c>
      <c r="B18" s="614" t="s">
        <v>737</v>
      </c>
      <c r="C18" s="617">
        <v>242724.07</v>
      </c>
      <c r="D18" s="617">
        <v>242724.07</v>
      </c>
      <c r="E18" s="617">
        <v>0</v>
      </c>
      <c r="F18" s="617">
        <v>0</v>
      </c>
      <c r="G18" s="617">
        <v>0</v>
      </c>
      <c r="H18" s="617">
        <v>0</v>
      </c>
      <c r="I18" s="617">
        <v>4854.4799999999996</v>
      </c>
      <c r="J18" s="617">
        <v>4854.4799999999996</v>
      </c>
      <c r="K18" s="617">
        <v>0</v>
      </c>
      <c r="L18" s="617">
        <v>0</v>
      </c>
      <c r="M18" s="617">
        <v>0</v>
      </c>
      <c r="N18" s="617">
        <v>0</v>
      </c>
      <c r="O18" s="617">
        <v>36</v>
      </c>
      <c r="P18" s="619">
        <v>0.10811100132211506</v>
      </c>
      <c r="Q18" s="619">
        <v>0.10811100132211506</v>
      </c>
      <c r="R18" s="619">
        <v>0.11278605999999999</v>
      </c>
      <c r="S18" s="617">
        <v>70.788899999999998</v>
      </c>
    </row>
    <row r="19" spans="1:19">
      <c r="A19" s="609">
        <v>10</v>
      </c>
      <c r="B19" s="615" t="s">
        <v>738</v>
      </c>
      <c r="C19" s="618">
        <v>198272431.66639996</v>
      </c>
      <c r="D19" s="618">
        <v>181293081.87849998</v>
      </c>
      <c r="E19" s="618">
        <v>8002341.2937000003</v>
      </c>
      <c r="F19" s="618">
        <v>5274284.5110999998</v>
      </c>
      <c r="G19" s="618">
        <v>3025381.2544</v>
      </c>
      <c r="H19" s="618">
        <v>677342.72869999998</v>
      </c>
      <c r="I19" s="618">
        <v>8094786.9322999995</v>
      </c>
      <c r="J19" s="618">
        <v>3522233.2441000002</v>
      </c>
      <c r="K19" s="618">
        <v>800234.49249999993</v>
      </c>
      <c r="L19" s="618">
        <v>1582285.4619</v>
      </c>
      <c r="M19" s="618">
        <v>1512691.0051</v>
      </c>
      <c r="N19" s="618">
        <v>677342.72869999998</v>
      </c>
      <c r="O19" s="618">
        <v>13845</v>
      </c>
      <c r="P19" s="620">
        <v>0.19173774101203889</v>
      </c>
      <c r="Q19" s="620">
        <v>0.22548450604612219</v>
      </c>
      <c r="R19" s="620">
        <v>0.13845825432195358</v>
      </c>
      <c r="S19" s="618">
        <v>82.674700000000001</v>
      </c>
    </row>
    <row r="20" spans="1:19" ht="25.5">
      <c r="A20" s="616">
        <v>10.1</v>
      </c>
      <c r="B20" s="612" t="s">
        <v>727</v>
      </c>
      <c r="C20" s="617">
        <v>0</v>
      </c>
      <c r="D20" s="617">
        <v>0</v>
      </c>
      <c r="E20" s="617">
        <v>0</v>
      </c>
      <c r="F20" s="617">
        <v>0</v>
      </c>
      <c r="G20" s="617">
        <v>0</v>
      </c>
      <c r="H20" s="617">
        <v>0</v>
      </c>
      <c r="I20" s="617">
        <v>0</v>
      </c>
      <c r="J20" s="617">
        <v>0</v>
      </c>
      <c r="K20" s="617">
        <v>0</v>
      </c>
      <c r="L20" s="617">
        <v>0</v>
      </c>
      <c r="M20" s="617">
        <v>0</v>
      </c>
      <c r="N20" s="617">
        <v>0</v>
      </c>
      <c r="O20" s="617">
        <v>0</v>
      </c>
      <c r="P20" s="619">
        <v>0</v>
      </c>
      <c r="Q20" s="619">
        <v>0</v>
      </c>
      <c r="R20" s="619">
        <v>0</v>
      </c>
      <c r="S20" s="617">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B41" activePane="bottomRight" state="frozen"/>
      <selection pane="topRight" activeCell="B1" sqref="B1"/>
      <selection pane="bottomLeft" activeCell="A5" sqref="A5"/>
      <selection pane="bottomRight" activeCell="C7" sqref="C7:H41"/>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4" t="s">
        <v>188</v>
      </c>
      <c r="B1" s="1" t="str">
        <f>Info!C2</f>
        <v>ს.ს. "ტერაბანკი"</v>
      </c>
    </row>
    <row r="2" spans="1:8" ht="15.75">
      <c r="A2" s="14" t="s">
        <v>189</v>
      </c>
      <c r="B2" s="436">
        <f>'1. key ratios'!B2</f>
        <v>44651</v>
      </c>
    </row>
    <row r="3" spans="1:8" ht="15.75">
      <c r="A3" s="14"/>
    </row>
    <row r="4" spans="1:8" ht="16.5" thickBot="1">
      <c r="A4" s="15" t="s">
        <v>329</v>
      </c>
      <c r="B4" s="63" t="s">
        <v>244</v>
      </c>
      <c r="C4" s="15"/>
      <c r="D4" s="25"/>
      <c r="E4" s="25"/>
      <c r="F4" s="26"/>
      <c r="G4" s="26"/>
      <c r="H4" s="27" t="s">
        <v>93</v>
      </c>
    </row>
    <row r="5" spans="1:8" ht="15.75">
      <c r="A5" s="28"/>
      <c r="B5" s="29"/>
      <c r="C5" s="625" t="s">
        <v>194</v>
      </c>
      <c r="D5" s="626"/>
      <c r="E5" s="627"/>
      <c r="F5" s="625" t="s">
        <v>195</v>
      </c>
      <c r="G5" s="626"/>
      <c r="H5" s="628"/>
    </row>
    <row r="6" spans="1:8" ht="15.75">
      <c r="A6" s="30" t="s">
        <v>26</v>
      </c>
      <c r="B6" s="31" t="s">
        <v>153</v>
      </c>
      <c r="C6" s="32" t="s">
        <v>27</v>
      </c>
      <c r="D6" s="32" t="s">
        <v>94</v>
      </c>
      <c r="E6" s="32" t="s">
        <v>68</v>
      </c>
      <c r="F6" s="32" t="s">
        <v>27</v>
      </c>
      <c r="G6" s="32" t="s">
        <v>94</v>
      </c>
      <c r="H6" s="33" t="s">
        <v>68</v>
      </c>
    </row>
    <row r="7" spans="1:8" ht="15.75">
      <c r="A7" s="30">
        <v>1</v>
      </c>
      <c r="B7" s="34" t="s">
        <v>154</v>
      </c>
      <c r="C7" s="216">
        <v>14282676.75</v>
      </c>
      <c r="D7" s="216">
        <v>24586907.670000002</v>
      </c>
      <c r="E7" s="217">
        <f>C7+D7</f>
        <v>38869584.420000002</v>
      </c>
      <c r="F7" s="218">
        <v>13314296.5</v>
      </c>
      <c r="G7" s="219">
        <v>22584046.960000001</v>
      </c>
      <c r="H7" s="220">
        <f>F7+G7</f>
        <v>35898343.460000001</v>
      </c>
    </row>
    <row r="8" spans="1:8" ht="15.75">
      <c r="A8" s="30">
        <v>2</v>
      </c>
      <c r="B8" s="34" t="s">
        <v>155</v>
      </c>
      <c r="C8" s="216">
        <v>16969935.460000001</v>
      </c>
      <c r="D8" s="216">
        <v>127330076.77000001</v>
      </c>
      <c r="E8" s="217">
        <f t="shared" ref="E8:E20" si="0">C8+D8</f>
        <v>144300012.23000002</v>
      </c>
      <c r="F8" s="218">
        <v>15909099.99</v>
      </c>
      <c r="G8" s="219">
        <v>160632339.69999999</v>
      </c>
      <c r="H8" s="220">
        <f t="shared" ref="H8:H40" si="1">F8+G8</f>
        <v>176541439.69</v>
      </c>
    </row>
    <row r="9" spans="1:8" ht="15.75">
      <c r="A9" s="30">
        <v>3</v>
      </c>
      <c r="B9" s="34" t="s">
        <v>156</v>
      </c>
      <c r="C9" s="216">
        <v>448435.68000000005</v>
      </c>
      <c r="D9" s="216">
        <v>10708946.92</v>
      </c>
      <c r="E9" s="217">
        <f t="shared" si="0"/>
        <v>11157382.6</v>
      </c>
      <c r="F9" s="218">
        <v>194710.74</v>
      </c>
      <c r="G9" s="219">
        <v>49651379.18</v>
      </c>
      <c r="H9" s="220">
        <f t="shared" si="1"/>
        <v>49846089.920000002</v>
      </c>
    </row>
    <row r="10" spans="1:8" ht="15.75">
      <c r="A10" s="30">
        <v>4</v>
      </c>
      <c r="B10" s="34" t="s">
        <v>185</v>
      </c>
      <c r="C10" s="216">
        <v>0</v>
      </c>
      <c r="D10" s="216">
        <v>0</v>
      </c>
      <c r="E10" s="217">
        <f t="shared" si="0"/>
        <v>0</v>
      </c>
      <c r="F10" s="218">
        <v>0</v>
      </c>
      <c r="G10" s="219">
        <v>0</v>
      </c>
      <c r="H10" s="220">
        <f t="shared" si="1"/>
        <v>0</v>
      </c>
    </row>
    <row r="11" spans="1:8" ht="15.75">
      <c r="A11" s="30">
        <v>5</v>
      </c>
      <c r="B11" s="34" t="s">
        <v>157</v>
      </c>
      <c r="C11" s="216">
        <v>152627685.78</v>
      </c>
      <c r="D11" s="216">
        <v>0</v>
      </c>
      <c r="E11" s="217">
        <f t="shared" si="0"/>
        <v>152627685.78</v>
      </c>
      <c r="F11" s="218">
        <v>86462260.989999995</v>
      </c>
      <c r="G11" s="219">
        <v>0</v>
      </c>
      <c r="H11" s="220">
        <f t="shared" si="1"/>
        <v>86462260.989999995</v>
      </c>
    </row>
    <row r="12" spans="1:8" ht="15.75">
      <c r="A12" s="30">
        <v>6.1</v>
      </c>
      <c r="B12" s="35" t="s">
        <v>158</v>
      </c>
      <c r="C12" s="216">
        <v>463777566.04999697</v>
      </c>
      <c r="D12" s="216">
        <v>537847673.58000004</v>
      </c>
      <c r="E12" s="217">
        <f t="shared" si="0"/>
        <v>1001625239.629997</v>
      </c>
      <c r="F12" s="218">
        <v>356016937.98999983</v>
      </c>
      <c r="G12" s="219">
        <v>610287408.48000026</v>
      </c>
      <c r="H12" s="220">
        <f t="shared" si="1"/>
        <v>966304346.47000003</v>
      </c>
    </row>
    <row r="13" spans="1:8" ht="15.75">
      <c r="A13" s="30">
        <v>6.2</v>
      </c>
      <c r="B13" s="35" t="s">
        <v>159</v>
      </c>
      <c r="C13" s="216">
        <v>19115654.540000327</v>
      </c>
      <c r="D13" s="216">
        <v>30023052.93</v>
      </c>
      <c r="E13" s="217">
        <f t="shared" si="0"/>
        <v>49138707.470000327</v>
      </c>
      <c r="F13" s="218">
        <v>17893648.890000094</v>
      </c>
      <c r="G13" s="219">
        <v>37275656.339999996</v>
      </c>
      <c r="H13" s="220">
        <f t="shared" si="1"/>
        <v>55169305.230000094</v>
      </c>
    </row>
    <row r="14" spans="1:8" ht="15.75">
      <c r="A14" s="30">
        <v>6</v>
      </c>
      <c r="B14" s="34" t="s">
        <v>160</v>
      </c>
      <c r="C14" s="217">
        <f>C12-C13</f>
        <v>444661911.50999665</v>
      </c>
      <c r="D14" s="217">
        <f>D12-D13</f>
        <v>507824620.65000004</v>
      </c>
      <c r="E14" s="217">
        <f t="shared" si="0"/>
        <v>952486532.15999675</v>
      </c>
      <c r="F14" s="217">
        <f>F12-F13</f>
        <v>338123289.09999973</v>
      </c>
      <c r="G14" s="217">
        <f>G12-G13</f>
        <v>573011752.14000022</v>
      </c>
      <c r="H14" s="220">
        <f t="shared" si="1"/>
        <v>911135041.24000001</v>
      </c>
    </row>
    <row r="15" spans="1:8" ht="15.75">
      <c r="A15" s="30">
        <v>7</v>
      </c>
      <c r="B15" s="34" t="s">
        <v>161</v>
      </c>
      <c r="C15" s="216">
        <v>6672795.0100000342</v>
      </c>
      <c r="D15" s="216">
        <v>3111949.6600000006</v>
      </c>
      <c r="E15" s="217">
        <f t="shared" si="0"/>
        <v>9784744.6700000353</v>
      </c>
      <c r="F15" s="218">
        <v>5417259.6299999794</v>
      </c>
      <c r="G15" s="219">
        <v>7334478.8399999924</v>
      </c>
      <c r="H15" s="220">
        <f t="shared" si="1"/>
        <v>12751738.469999973</v>
      </c>
    </row>
    <row r="16" spans="1:8" ht="15.75">
      <c r="A16" s="30">
        <v>8</v>
      </c>
      <c r="B16" s="34" t="s">
        <v>162</v>
      </c>
      <c r="C16" s="216">
        <v>3854055.8799999952</v>
      </c>
      <c r="D16" s="216">
        <v>0</v>
      </c>
      <c r="E16" s="217">
        <f t="shared" si="0"/>
        <v>3854055.8799999952</v>
      </c>
      <c r="F16" s="218">
        <v>2939066.8800000232</v>
      </c>
      <c r="G16" s="219">
        <v>0</v>
      </c>
      <c r="H16" s="220">
        <f t="shared" si="1"/>
        <v>2939066.8800000232</v>
      </c>
    </row>
    <row r="17" spans="1:8" ht="15.75">
      <c r="A17" s="30">
        <v>9</v>
      </c>
      <c r="B17" s="34" t="s">
        <v>163</v>
      </c>
      <c r="C17" s="216">
        <v>0</v>
      </c>
      <c r="D17" s="216">
        <v>0</v>
      </c>
      <c r="E17" s="217">
        <f t="shared" si="0"/>
        <v>0</v>
      </c>
      <c r="F17" s="218">
        <v>0</v>
      </c>
      <c r="G17" s="219">
        <v>0</v>
      </c>
      <c r="H17" s="220">
        <f t="shared" si="1"/>
        <v>0</v>
      </c>
    </row>
    <row r="18" spans="1:8" ht="15.75">
      <c r="A18" s="30">
        <v>10</v>
      </c>
      <c r="B18" s="34" t="s">
        <v>164</v>
      </c>
      <c r="C18" s="216">
        <v>45191619.210000031</v>
      </c>
      <c r="D18" s="216">
        <v>0</v>
      </c>
      <c r="E18" s="217">
        <f t="shared" si="0"/>
        <v>45191619.210000031</v>
      </c>
      <c r="F18" s="218">
        <v>46393296.260000035</v>
      </c>
      <c r="G18" s="219">
        <v>0</v>
      </c>
      <c r="H18" s="220">
        <f t="shared" si="1"/>
        <v>46393296.260000035</v>
      </c>
    </row>
    <row r="19" spans="1:8" ht="15.75">
      <c r="A19" s="30">
        <v>11</v>
      </c>
      <c r="B19" s="34" t="s">
        <v>165</v>
      </c>
      <c r="C19" s="216">
        <v>9336489.3749999981</v>
      </c>
      <c r="D19" s="216">
        <v>4429008.120000001</v>
      </c>
      <c r="E19" s="217">
        <f t="shared" si="0"/>
        <v>13765497.494999999</v>
      </c>
      <c r="F19" s="218">
        <v>7577316.9570000013</v>
      </c>
      <c r="G19" s="219">
        <v>488757.63</v>
      </c>
      <c r="H19" s="220">
        <f t="shared" si="1"/>
        <v>8066074.5870000012</v>
      </c>
    </row>
    <row r="20" spans="1:8" ht="15.75">
      <c r="A20" s="30">
        <v>12</v>
      </c>
      <c r="B20" s="36" t="s">
        <v>166</v>
      </c>
      <c r="C20" s="217">
        <f>SUM(C7:C11)+SUM(C14:C19)</f>
        <v>694045604.65499675</v>
      </c>
      <c r="D20" s="217">
        <f>SUM(D7:D11)+SUM(D14:D19)</f>
        <v>677991509.79000008</v>
      </c>
      <c r="E20" s="217">
        <f t="shared" si="0"/>
        <v>1372037114.4449968</v>
      </c>
      <c r="F20" s="217">
        <f>SUM(F7:F11)+SUM(F14:F19)</f>
        <v>516330597.04699981</v>
      </c>
      <c r="G20" s="217">
        <f>SUM(G7:G11)+SUM(G14:G19)</f>
        <v>813702754.45000029</v>
      </c>
      <c r="H20" s="220">
        <f t="shared" si="1"/>
        <v>1330033351.4970002</v>
      </c>
    </row>
    <row r="21" spans="1:8" ht="15.75">
      <c r="A21" s="30"/>
      <c r="B21" s="31" t="s">
        <v>183</v>
      </c>
      <c r="C21" s="221"/>
      <c r="D21" s="221"/>
      <c r="E21" s="221"/>
      <c r="F21" s="222"/>
      <c r="G21" s="223"/>
      <c r="H21" s="224"/>
    </row>
    <row r="22" spans="1:8" ht="15.75">
      <c r="A22" s="30">
        <v>13</v>
      </c>
      <c r="B22" s="34" t="s">
        <v>167</v>
      </c>
      <c r="C22" s="216">
        <v>2552.48</v>
      </c>
      <c r="D22" s="216">
        <v>59063.27</v>
      </c>
      <c r="E22" s="217">
        <f>C22+D22</f>
        <v>61615.75</v>
      </c>
      <c r="F22" s="218">
        <v>2280.73</v>
      </c>
      <c r="G22" s="219">
        <v>10878079.310000001</v>
      </c>
      <c r="H22" s="220">
        <f t="shared" si="1"/>
        <v>10880360.040000001</v>
      </c>
    </row>
    <row r="23" spans="1:8" ht="15.75">
      <c r="A23" s="30">
        <v>14</v>
      </c>
      <c r="B23" s="34" t="s">
        <v>168</v>
      </c>
      <c r="C23" s="216">
        <v>79873981.809999794</v>
      </c>
      <c r="D23" s="216">
        <v>145166832.32007873</v>
      </c>
      <c r="E23" s="217">
        <f t="shared" ref="E23:E40" si="2">C23+D23</f>
        <v>225040814.13007852</v>
      </c>
      <c r="F23" s="218">
        <v>72824136.809999838</v>
      </c>
      <c r="G23" s="219">
        <v>170344204.14000022</v>
      </c>
      <c r="H23" s="220">
        <f t="shared" si="1"/>
        <v>243168340.95000005</v>
      </c>
    </row>
    <row r="24" spans="1:8" ht="15.75">
      <c r="A24" s="30">
        <v>15</v>
      </c>
      <c r="B24" s="34" t="s">
        <v>169</v>
      </c>
      <c r="C24" s="216">
        <v>96156670.970000014</v>
      </c>
      <c r="D24" s="216">
        <v>132286034.37000003</v>
      </c>
      <c r="E24" s="217">
        <f t="shared" si="2"/>
        <v>228442705.34000003</v>
      </c>
      <c r="F24" s="218">
        <v>65777684.399999924</v>
      </c>
      <c r="G24" s="219">
        <v>200871963.80000001</v>
      </c>
      <c r="H24" s="220">
        <f t="shared" si="1"/>
        <v>266649648.19999993</v>
      </c>
    </row>
    <row r="25" spans="1:8" ht="15.75">
      <c r="A25" s="30">
        <v>16</v>
      </c>
      <c r="B25" s="34" t="s">
        <v>170</v>
      </c>
      <c r="C25" s="216">
        <v>134335856.50999996</v>
      </c>
      <c r="D25" s="216">
        <v>260696211.22999996</v>
      </c>
      <c r="E25" s="217">
        <f t="shared" si="2"/>
        <v>395032067.73999989</v>
      </c>
      <c r="F25" s="218">
        <v>147328971.34999996</v>
      </c>
      <c r="G25" s="219">
        <v>265365582.07000026</v>
      </c>
      <c r="H25" s="220">
        <f t="shared" si="1"/>
        <v>412694553.4200002</v>
      </c>
    </row>
    <row r="26" spans="1:8" ht="15.75">
      <c r="A26" s="30">
        <v>17</v>
      </c>
      <c r="B26" s="34" t="s">
        <v>171</v>
      </c>
      <c r="C26" s="221">
        <v>0</v>
      </c>
      <c r="D26" s="221">
        <v>0</v>
      </c>
      <c r="E26" s="217">
        <f t="shared" si="2"/>
        <v>0</v>
      </c>
      <c r="F26" s="222">
        <v>0</v>
      </c>
      <c r="G26" s="223">
        <v>0</v>
      </c>
      <c r="H26" s="220">
        <f t="shared" si="1"/>
        <v>0</v>
      </c>
    </row>
    <row r="27" spans="1:8" ht="15.75">
      <c r="A27" s="30">
        <v>18</v>
      </c>
      <c r="B27" s="34" t="s">
        <v>172</v>
      </c>
      <c r="C27" s="216">
        <v>197922000</v>
      </c>
      <c r="D27" s="216">
        <v>56501776</v>
      </c>
      <c r="E27" s="217">
        <f t="shared" si="2"/>
        <v>254423776</v>
      </c>
      <c r="F27" s="218">
        <v>93433000</v>
      </c>
      <c r="G27" s="219">
        <v>77873068</v>
      </c>
      <c r="H27" s="220">
        <f t="shared" si="1"/>
        <v>171306068</v>
      </c>
    </row>
    <row r="28" spans="1:8" ht="15.75">
      <c r="A28" s="30">
        <v>19</v>
      </c>
      <c r="B28" s="34" t="s">
        <v>173</v>
      </c>
      <c r="C28" s="216">
        <v>3993544.0499999993</v>
      </c>
      <c r="D28" s="216">
        <v>1788359.8100000033</v>
      </c>
      <c r="E28" s="217">
        <f t="shared" si="2"/>
        <v>5781903.8600000031</v>
      </c>
      <c r="F28" s="218">
        <v>3140222.9699999997</v>
      </c>
      <c r="G28" s="219">
        <v>2747442.8699999996</v>
      </c>
      <c r="H28" s="220">
        <f t="shared" si="1"/>
        <v>5887665.8399999999</v>
      </c>
    </row>
    <row r="29" spans="1:8" ht="15.75">
      <c r="A29" s="30">
        <v>20</v>
      </c>
      <c r="B29" s="34" t="s">
        <v>95</v>
      </c>
      <c r="C29" s="216">
        <v>11334146.99</v>
      </c>
      <c r="D29" s="216">
        <v>19387116.440000001</v>
      </c>
      <c r="E29" s="217">
        <f t="shared" si="2"/>
        <v>30721263.43</v>
      </c>
      <c r="F29" s="218">
        <v>9102136.7200000044</v>
      </c>
      <c r="G29" s="219">
        <v>13106125.369999999</v>
      </c>
      <c r="H29" s="220">
        <f t="shared" si="1"/>
        <v>22208262.090000004</v>
      </c>
    </row>
    <row r="30" spans="1:8" ht="15.75">
      <c r="A30" s="30">
        <v>21</v>
      </c>
      <c r="B30" s="34" t="s">
        <v>174</v>
      </c>
      <c r="C30" s="216">
        <v>0</v>
      </c>
      <c r="D30" s="216">
        <v>69088698.24000001</v>
      </c>
      <c r="E30" s="217">
        <f t="shared" si="2"/>
        <v>69088698.24000001</v>
      </c>
      <c r="F30" s="218">
        <v>0</v>
      </c>
      <c r="G30" s="219">
        <v>64818855.649999999</v>
      </c>
      <c r="H30" s="220">
        <f t="shared" si="1"/>
        <v>64818855.649999999</v>
      </c>
    </row>
    <row r="31" spans="1:8" ht="15.75">
      <c r="A31" s="30">
        <v>22</v>
      </c>
      <c r="B31" s="36" t="s">
        <v>175</v>
      </c>
      <c r="C31" s="217">
        <f>SUM(C22:C30)</f>
        <v>523618752.80999976</v>
      </c>
      <c r="D31" s="217">
        <f>SUM(D22:D30)</f>
        <v>684974091.68007886</v>
      </c>
      <c r="E31" s="217">
        <f>C31+D31</f>
        <v>1208592844.4900787</v>
      </c>
      <c r="F31" s="217">
        <f>SUM(F22:F30)</f>
        <v>391608432.97999978</v>
      </c>
      <c r="G31" s="217">
        <f>SUM(G22:G30)</f>
        <v>806005321.21000051</v>
      </c>
      <c r="H31" s="220">
        <f t="shared" si="1"/>
        <v>1197613754.1900003</v>
      </c>
    </row>
    <row r="32" spans="1:8" ht="15.75">
      <c r="A32" s="30"/>
      <c r="B32" s="31" t="s">
        <v>184</v>
      </c>
      <c r="C32" s="221"/>
      <c r="D32" s="221"/>
      <c r="E32" s="216"/>
      <c r="F32" s="222"/>
      <c r="G32" s="223"/>
      <c r="H32" s="224"/>
    </row>
    <row r="33" spans="1:8" ht="15.75">
      <c r="A33" s="30">
        <v>23</v>
      </c>
      <c r="B33" s="34" t="s">
        <v>176</v>
      </c>
      <c r="C33" s="216">
        <v>121372000</v>
      </c>
      <c r="D33" s="221">
        <v>0</v>
      </c>
      <c r="E33" s="217">
        <f t="shared" si="2"/>
        <v>121372000</v>
      </c>
      <c r="F33" s="218">
        <v>121372000</v>
      </c>
      <c r="G33" s="223">
        <v>0</v>
      </c>
      <c r="H33" s="220">
        <f t="shared" si="1"/>
        <v>121372000</v>
      </c>
    </row>
    <row r="34" spans="1:8" ht="15.75">
      <c r="A34" s="30">
        <v>24</v>
      </c>
      <c r="B34" s="34" t="s">
        <v>177</v>
      </c>
      <c r="C34" s="216">
        <v>0</v>
      </c>
      <c r="D34" s="221">
        <v>0</v>
      </c>
      <c r="E34" s="217">
        <f t="shared" si="2"/>
        <v>0</v>
      </c>
      <c r="F34" s="218">
        <v>0</v>
      </c>
      <c r="G34" s="223">
        <v>0</v>
      </c>
      <c r="H34" s="220">
        <f t="shared" si="1"/>
        <v>0</v>
      </c>
    </row>
    <row r="35" spans="1:8" ht="15.75">
      <c r="A35" s="30">
        <v>25</v>
      </c>
      <c r="B35" s="35" t="s">
        <v>178</v>
      </c>
      <c r="C35" s="216">
        <v>0</v>
      </c>
      <c r="D35" s="221">
        <v>0</v>
      </c>
      <c r="E35" s="217">
        <f t="shared" si="2"/>
        <v>0</v>
      </c>
      <c r="F35" s="218">
        <v>0</v>
      </c>
      <c r="G35" s="223">
        <v>0</v>
      </c>
      <c r="H35" s="220">
        <f t="shared" si="1"/>
        <v>0</v>
      </c>
    </row>
    <row r="36" spans="1:8" ht="15.75">
      <c r="A36" s="30">
        <v>26</v>
      </c>
      <c r="B36" s="34" t="s">
        <v>179</v>
      </c>
      <c r="C36" s="216">
        <v>0</v>
      </c>
      <c r="D36" s="221">
        <v>0</v>
      </c>
      <c r="E36" s="217">
        <f t="shared" si="2"/>
        <v>0</v>
      </c>
      <c r="F36" s="218">
        <v>0</v>
      </c>
      <c r="G36" s="223">
        <v>0</v>
      </c>
      <c r="H36" s="220">
        <f t="shared" si="1"/>
        <v>0</v>
      </c>
    </row>
    <row r="37" spans="1:8" ht="15.75">
      <c r="A37" s="30">
        <v>27</v>
      </c>
      <c r="B37" s="34" t="s">
        <v>180</v>
      </c>
      <c r="C37" s="216">
        <v>0</v>
      </c>
      <c r="D37" s="221">
        <v>0</v>
      </c>
      <c r="E37" s="217">
        <f t="shared" si="2"/>
        <v>0</v>
      </c>
      <c r="F37" s="218">
        <v>0</v>
      </c>
      <c r="G37" s="223">
        <v>0</v>
      </c>
      <c r="H37" s="220">
        <f t="shared" si="1"/>
        <v>0</v>
      </c>
    </row>
    <row r="38" spans="1:8" ht="15.75">
      <c r="A38" s="30">
        <v>28</v>
      </c>
      <c r="B38" s="34" t="s">
        <v>181</v>
      </c>
      <c r="C38" s="216">
        <v>42072269.920000002</v>
      </c>
      <c r="D38" s="221">
        <v>0</v>
      </c>
      <c r="E38" s="217">
        <f t="shared" si="2"/>
        <v>42072269.920000002</v>
      </c>
      <c r="F38" s="218">
        <v>11047597.130000018</v>
      </c>
      <c r="G38" s="223">
        <v>0</v>
      </c>
      <c r="H38" s="220">
        <f t="shared" si="1"/>
        <v>11047597.130000018</v>
      </c>
    </row>
    <row r="39" spans="1:8" ht="15.75">
      <c r="A39" s="30">
        <v>29</v>
      </c>
      <c r="B39" s="34" t="s">
        <v>196</v>
      </c>
      <c r="C39" s="216">
        <v>0</v>
      </c>
      <c r="D39" s="221">
        <v>0</v>
      </c>
      <c r="E39" s="217">
        <f t="shared" si="2"/>
        <v>0</v>
      </c>
      <c r="F39" s="218">
        <v>0</v>
      </c>
      <c r="G39" s="223">
        <v>0</v>
      </c>
      <c r="H39" s="220">
        <f t="shared" si="1"/>
        <v>0</v>
      </c>
    </row>
    <row r="40" spans="1:8" ht="15.75">
      <c r="A40" s="30">
        <v>30</v>
      </c>
      <c r="B40" s="36" t="s">
        <v>182</v>
      </c>
      <c r="C40" s="216">
        <v>163444269.92000002</v>
      </c>
      <c r="D40" s="221">
        <v>0</v>
      </c>
      <c r="E40" s="217">
        <f t="shared" si="2"/>
        <v>163444269.92000002</v>
      </c>
      <c r="F40" s="218">
        <v>132419597.13000003</v>
      </c>
      <c r="G40" s="223">
        <v>0</v>
      </c>
      <c r="H40" s="220">
        <f t="shared" si="1"/>
        <v>132419597.13000003</v>
      </c>
    </row>
    <row r="41" spans="1:8" ht="16.5" thickBot="1">
      <c r="A41" s="37">
        <v>31</v>
      </c>
      <c r="B41" s="38" t="s">
        <v>197</v>
      </c>
      <c r="C41" s="225">
        <f>C31+C40</f>
        <v>687063022.72999978</v>
      </c>
      <c r="D41" s="225">
        <f>D31+D40</f>
        <v>684974091.68007886</v>
      </c>
      <c r="E41" s="225">
        <f>C41+D41</f>
        <v>1372037114.4100785</v>
      </c>
      <c r="F41" s="225">
        <f>F31+F40</f>
        <v>524028030.10999978</v>
      </c>
      <c r="G41" s="225">
        <f>G31+G40</f>
        <v>806005321.21000051</v>
      </c>
      <c r="H41" s="226">
        <f>F41+G41</f>
        <v>1330033351.3200002</v>
      </c>
    </row>
    <row r="43" spans="1:8">
      <c r="B43" s="39"/>
    </row>
  </sheetData>
  <mergeCells count="2">
    <mergeCell ref="C5:E5"/>
    <mergeCell ref="F5:H5"/>
  </mergeCells>
  <dataValidations disablePrompts="1"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67" activePane="bottomRight" state="frozen"/>
      <selection pane="topRight" activeCell="B1" sqref="B1"/>
      <selection pane="bottomLeft" activeCell="A6" sqref="A6"/>
      <selection pane="bottomRight" activeCell="C8" sqref="C8:H67"/>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9"/>
  </cols>
  <sheetData>
    <row r="1" spans="1:8" ht="15.75">
      <c r="A1" s="14" t="s">
        <v>188</v>
      </c>
      <c r="B1" s="13" t="str">
        <f>Info!C2</f>
        <v>ს.ს. "ტერაბანკი"</v>
      </c>
      <c r="C1" s="13"/>
    </row>
    <row r="2" spans="1:8" ht="15.75">
      <c r="A2" s="14" t="s">
        <v>189</v>
      </c>
      <c r="B2" s="436">
        <f>'1. key ratios'!B2</f>
        <v>44651</v>
      </c>
      <c r="C2" s="13"/>
    </row>
    <row r="3" spans="1:8" ht="15.75">
      <c r="A3" s="14"/>
      <c r="B3" s="13"/>
      <c r="C3" s="13"/>
    </row>
    <row r="4" spans="1:8" ht="16.5" thickBot="1">
      <c r="A4" s="15" t="s">
        <v>330</v>
      </c>
      <c r="B4" s="24" t="s">
        <v>222</v>
      </c>
      <c r="C4" s="26"/>
      <c r="D4" s="26"/>
      <c r="E4" s="26"/>
      <c r="F4" s="15"/>
      <c r="G4" s="15"/>
      <c r="H4" s="40" t="s">
        <v>93</v>
      </c>
    </row>
    <row r="5" spans="1:8" ht="15.75">
      <c r="A5" s="112"/>
      <c r="B5" s="113"/>
      <c r="C5" s="625" t="s">
        <v>194</v>
      </c>
      <c r="D5" s="626"/>
      <c r="E5" s="627"/>
      <c r="F5" s="625" t="s">
        <v>195</v>
      </c>
      <c r="G5" s="626"/>
      <c r="H5" s="628"/>
    </row>
    <row r="6" spans="1:8">
      <c r="A6" s="114" t="s">
        <v>26</v>
      </c>
      <c r="B6" s="41"/>
      <c r="C6" s="42" t="s">
        <v>27</v>
      </c>
      <c r="D6" s="42" t="s">
        <v>96</v>
      </c>
      <c r="E6" s="42" t="s">
        <v>68</v>
      </c>
      <c r="F6" s="42" t="s">
        <v>27</v>
      </c>
      <c r="G6" s="42" t="s">
        <v>96</v>
      </c>
      <c r="H6" s="115" t="s">
        <v>68</v>
      </c>
    </row>
    <row r="7" spans="1:8">
      <c r="A7" s="116"/>
      <c r="B7" s="44" t="s">
        <v>92</v>
      </c>
      <c r="C7" s="45"/>
      <c r="D7" s="45"/>
      <c r="E7" s="45"/>
      <c r="F7" s="45"/>
      <c r="G7" s="45"/>
      <c r="H7" s="117"/>
    </row>
    <row r="8" spans="1:8" ht="15.75">
      <c r="A8" s="116">
        <v>1</v>
      </c>
      <c r="B8" s="46" t="s">
        <v>97</v>
      </c>
      <c r="C8" s="227">
        <v>483317.39</v>
      </c>
      <c r="D8" s="227">
        <v>-116523.36</v>
      </c>
      <c r="E8" s="217">
        <f>C8+D8</f>
        <v>366794.03</v>
      </c>
      <c r="F8" s="227">
        <v>242796.01</v>
      </c>
      <c r="G8" s="227">
        <v>-125423.10999999999</v>
      </c>
      <c r="H8" s="228">
        <f>F8+G8</f>
        <v>117372.90000000002</v>
      </c>
    </row>
    <row r="9" spans="1:8" ht="15.75">
      <c r="A9" s="116">
        <v>2</v>
      </c>
      <c r="B9" s="46" t="s">
        <v>98</v>
      </c>
      <c r="C9" s="229">
        <f>SUM(C10:C18)</f>
        <v>15832800.729999999</v>
      </c>
      <c r="D9" s="229">
        <f>SUM(D10:D18)</f>
        <v>9180744.6500000022</v>
      </c>
      <c r="E9" s="217">
        <f t="shared" ref="E9:E67" si="0">C9+D9</f>
        <v>25013545.380000003</v>
      </c>
      <c r="F9" s="229">
        <f>SUM(F10:F18)</f>
        <v>10935879.02</v>
      </c>
      <c r="G9" s="229">
        <f>SUM(G10:G18)</f>
        <v>10243790.480000002</v>
      </c>
      <c r="H9" s="228">
        <f t="shared" ref="H9:H67" si="1">F9+G9</f>
        <v>21179669.5</v>
      </c>
    </row>
    <row r="10" spans="1:8" ht="15.75">
      <c r="A10" s="116">
        <v>2.1</v>
      </c>
      <c r="B10" s="47" t="s">
        <v>99</v>
      </c>
      <c r="C10" s="227">
        <v>0</v>
      </c>
      <c r="D10" s="227">
        <v>0</v>
      </c>
      <c r="E10" s="217">
        <f t="shared" si="0"/>
        <v>0</v>
      </c>
      <c r="F10" s="227">
        <v>0</v>
      </c>
      <c r="G10" s="227">
        <v>0</v>
      </c>
      <c r="H10" s="228">
        <f t="shared" si="1"/>
        <v>0</v>
      </c>
    </row>
    <row r="11" spans="1:8" ht="15.75">
      <c r="A11" s="116">
        <v>2.2000000000000002</v>
      </c>
      <c r="B11" s="47" t="s">
        <v>100</v>
      </c>
      <c r="C11" s="227">
        <v>3987069.7</v>
      </c>
      <c r="D11" s="227">
        <v>3096773.6900000004</v>
      </c>
      <c r="E11" s="217">
        <f t="shared" si="0"/>
        <v>7083843.3900000006</v>
      </c>
      <c r="F11" s="227">
        <v>2363962.9000000004</v>
      </c>
      <c r="G11" s="227">
        <v>3897025.97</v>
      </c>
      <c r="H11" s="228">
        <f t="shared" si="1"/>
        <v>6260988.870000001</v>
      </c>
    </row>
    <row r="12" spans="1:8" ht="15.75">
      <c r="A12" s="116">
        <v>2.2999999999999998</v>
      </c>
      <c r="B12" s="47" t="s">
        <v>101</v>
      </c>
      <c r="C12" s="227">
        <v>0</v>
      </c>
      <c r="D12" s="227">
        <v>328019.19</v>
      </c>
      <c r="E12" s="217">
        <f t="shared" si="0"/>
        <v>328019.19</v>
      </c>
      <c r="F12" s="227">
        <v>0</v>
      </c>
      <c r="G12" s="227">
        <v>48716.66</v>
      </c>
      <c r="H12" s="228">
        <f t="shared" si="1"/>
        <v>48716.66</v>
      </c>
    </row>
    <row r="13" spans="1:8" ht="15.75">
      <c r="A13" s="116">
        <v>2.4</v>
      </c>
      <c r="B13" s="47" t="s">
        <v>102</v>
      </c>
      <c r="C13" s="227">
        <v>302148.68</v>
      </c>
      <c r="D13" s="227">
        <v>62159.05999999999</v>
      </c>
      <c r="E13" s="217">
        <f t="shared" si="0"/>
        <v>364307.74</v>
      </c>
      <c r="F13" s="227">
        <v>138528.07</v>
      </c>
      <c r="G13" s="227">
        <v>31583.540000000005</v>
      </c>
      <c r="H13" s="228">
        <f t="shared" si="1"/>
        <v>170111.61000000002</v>
      </c>
    </row>
    <row r="14" spans="1:8" ht="15.75">
      <c r="A14" s="116">
        <v>2.5</v>
      </c>
      <c r="B14" s="47" t="s">
        <v>103</v>
      </c>
      <c r="C14" s="227">
        <v>342954.51</v>
      </c>
      <c r="D14" s="227">
        <v>1750228.3399999999</v>
      </c>
      <c r="E14" s="217">
        <f t="shared" si="0"/>
        <v>2093182.8499999999</v>
      </c>
      <c r="F14" s="227">
        <v>150172.19999999998</v>
      </c>
      <c r="G14" s="227">
        <v>1310789.8600000001</v>
      </c>
      <c r="H14" s="228">
        <f t="shared" si="1"/>
        <v>1460962.06</v>
      </c>
    </row>
    <row r="15" spans="1:8" ht="15.75">
      <c r="A15" s="116">
        <v>2.6</v>
      </c>
      <c r="B15" s="47" t="s">
        <v>104</v>
      </c>
      <c r="C15" s="227">
        <v>4442.6400000000003</v>
      </c>
      <c r="D15" s="227">
        <v>4787.04</v>
      </c>
      <c r="E15" s="217">
        <f t="shared" si="0"/>
        <v>9229.68</v>
      </c>
      <c r="F15" s="227">
        <v>5143.07</v>
      </c>
      <c r="G15" s="227">
        <v>6384.99</v>
      </c>
      <c r="H15" s="228">
        <f t="shared" si="1"/>
        <v>11528.06</v>
      </c>
    </row>
    <row r="16" spans="1:8" ht="15.75">
      <c r="A16" s="116">
        <v>2.7</v>
      </c>
      <c r="B16" s="47" t="s">
        <v>105</v>
      </c>
      <c r="C16" s="227">
        <v>18569.72</v>
      </c>
      <c r="D16" s="227">
        <v>0</v>
      </c>
      <c r="E16" s="217">
        <f t="shared" si="0"/>
        <v>18569.72</v>
      </c>
      <c r="F16" s="227">
        <v>2215.6999999999998</v>
      </c>
      <c r="G16" s="227">
        <v>0</v>
      </c>
      <c r="H16" s="228">
        <f t="shared" si="1"/>
        <v>2215.6999999999998</v>
      </c>
    </row>
    <row r="17" spans="1:8" ht="15.75">
      <c r="A17" s="116">
        <v>2.8</v>
      </c>
      <c r="B17" s="47" t="s">
        <v>106</v>
      </c>
      <c r="C17" s="227">
        <v>9836400.379999999</v>
      </c>
      <c r="D17" s="227">
        <v>3706870.9500000007</v>
      </c>
      <c r="E17" s="217">
        <f t="shared" si="0"/>
        <v>13543271.33</v>
      </c>
      <c r="F17" s="227">
        <v>7108672.2599999988</v>
      </c>
      <c r="G17" s="227">
        <v>4669906.2400000012</v>
      </c>
      <c r="H17" s="228">
        <f t="shared" si="1"/>
        <v>11778578.5</v>
      </c>
    </row>
    <row r="18" spans="1:8" ht="15.75">
      <c r="A18" s="116">
        <v>2.9</v>
      </c>
      <c r="B18" s="47" t="s">
        <v>107</v>
      </c>
      <c r="C18" s="227">
        <v>1341215.1000000003</v>
      </c>
      <c r="D18" s="227">
        <v>231906.37999999998</v>
      </c>
      <c r="E18" s="217">
        <f t="shared" si="0"/>
        <v>1573121.4800000002</v>
      </c>
      <c r="F18" s="227">
        <v>1167184.8199999994</v>
      </c>
      <c r="G18" s="227">
        <v>279383.21999999997</v>
      </c>
      <c r="H18" s="228">
        <f t="shared" si="1"/>
        <v>1446568.0399999993</v>
      </c>
    </row>
    <row r="19" spans="1:8" ht="15.75">
      <c r="A19" s="116">
        <v>3</v>
      </c>
      <c r="B19" s="46" t="s">
        <v>108</v>
      </c>
      <c r="C19" s="227">
        <v>370311.88999999984</v>
      </c>
      <c r="D19" s="227">
        <v>333095.39000000013</v>
      </c>
      <c r="E19" s="217">
        <f t="shared" si="0"/>
        <v>703407.28</v>
      </c>
      <c r="F19" s="227">
        <v>193529.54000000007</v>
      </c>
      <c r="G19" s="227">
        <v>263176.07</v>
      </c>
      <c r="H19" s="228">
        <f t="shared" si="1"/>
        <v>456705.6100000001</v>
      </c>
    </row>
    <row r="20" spans="1:8" ht="15.75">
      <c r="A20" s="116">
        <v>4</v>
      </c>
      <c r="B20" s="46" t="s">
        <v>109</v>
      </c>
      <c r="C20" s="227">
        <v>3015917.5300000003</v>
      </c>
      <c r="D20" s="227">
        <v>0</v>
      </c>
      <c r="E20" s="217">
        <f t="shared" si="0"/>
        <v>3015917.5300000003</v>
      </c>
      <c r="F20" s="227">
        <v>1805989.21</v>
      </c>
      <c r="G20" s="227">
        <v>0</v>
      </c>
      <c r="H20" s="228">
        <f t="shared" si="1"/>
        <v>1805989.21</v>
      </c>
    </row>
    <row r="21" spans="1:8" ht="15.75">
      <c r="A21" s="116">
        <v>5</v>
      </c>
      <c r="B21" s="46" t="s">
        <v>110</v>
      </c>
      <c r="C21" s="227">
        <v>274812.43000000005</v>
      </c>
      <c r="D21" s="227">
        <v>130363.08</v>
      </c>
      <c r="E21" s="217">
        <f t="shared" si="0"/>
        <v>405175.51000000007</v>
      </c>
      <c r="F21" s="227">
        <v>174176</v>
      </c>
      <c r="G21" s="227">
        <v>114151.89000000001</v>
      </c>
      <c r="H21" s="228">
        <f>F21+G21</f>
        <v>288327.89</v>
      </c>
    </row>
    <row r="22" spans="1:8" ht="15.75">
      <c r="A22" s="116">
        <v>6</v>
      </c>
      <c r="B22" s="48" t="s">
        <v>111</v>
      </c>
      <c r="C22" s="229">
        <f>C8+C9+C19+C20+C21</f>
        <v>19977159.969999999</v>
      </c>
      <c r="D22" s="229">
        <f>D8+D9+D19+D20+D21</f>
        <v>9527679.7600000035</v>
      </c>
      <c r="E22" s="217">
        <f>C22+D22</f>
        <v>29504839.730000004</v>
      </c>
      <c r="F22" s="229">
        <f>F8+F9+F19+F20+F21</f>
        <v>13352369.780000001</v>
      </c>
      <c r="G22" s="229">
        <f>G8+G9+G19+G20+G21</f>
        <v>10495695.330000004</v>
      </c>
      <c r="H22" s="228">
        <f>F22+G22</f>
        <v>23848065.110000007</v>
      </c>
    </row>
    <row r="23" spans="1:8" ht="15.75">
      <c r="A23" s="116"/>
      <c r="B23" s="44" t="s">
        <v>90</v>
      </c>
      <c r="C23" s="227"/>
      <c r="D23" s="227"/>
      <c r="E23" s="216"/>
      <c r="F23" s="227"/>
      <c r="G23" s="227"/>
      <c r="H23" s="230"/>
    </row>
    <row r="24" spans="1:8" ht="15.75">
      <c r="A24" s="116">
        <v>7</v>
      </c>
      <c r="B24" s="46" t="s">
        <v>112</v>
      </c>
      <c r="C24" s="227">
        <v>2683609.77</v>
      </c>
      <c r="D24" s="227">
        <v>486123.20999999996</v>
      </c>
      <c r="E24" s="217">
        <f t="shared" si="0"/>
        <v>3169732.98</v>
      </c>
      <c r="F24" s="227">
        <v>1746836.92</v>
      </c>
      <c r="G24" s="227">
        <v>874565.45</v>
      </c>
      <c r="H24" s="228">
        <f t="shared" si="1"/>
        <v>2621402.37</v>
      </c>
    </row>
    <row r="25" spans="1:8" ht="15.75">
      <c r="A25" s="116">
        <v>8</v>
      </c>
      <c r="B25" s="46" t="s">
        <v>113</v>
      </c>
      <c r="C25" s="227">
        <v>3973385.9800000004</v>
      </c>
      <c r="D25" s="227">
        <v>1880681.39</v>
      </c>
      <c r="E25" s="217">
        <f t="shared" si="0"/>
        <v>5854067.3700000001</v>
      </c>
      <c r="F25" s="227">
        <v>3861079.1100000003</v>
      </c>
      <c r="G25" s="227">
        <v>2476444.67</v>
      </c>
      <c r="H25" s="228">
        <f t="shared" si="1"/>
        <v>6337523.7800000003</v>
      </c>
    </row>
    <row r="26" spans="1:8" ht="15.75">
      <c r="A26" s="116">
        <v>9</v>
      </c>
      <c r="B26" s="46" t="s">
        <v>114</v>
      </c>
      <c r="C26" s="227">
        <v>0</v>
      </c>
      <c r="D26" s="227">
        <v>3632.68</v>
      </c>
      <c r="E26" s="217">
        <f t="shared" si="0"/>
        <v>3632.68</v>
      </c>
      <c r="F26" s="227">
        <v>0</v>
      </c>
      <c r="G26" s="227">
        <v>40620.78</v>
      </c>
      <c r="H26" s="228">
        <f t="shared" si="1"/>
        <v>40620.78</v>
      </c>
    </row>
    <row r="27" spans="1:8" ht="15.75">
      <c r="A27" s="116">
        <v>10</v>
      </c>
      <c r="B27" s="46" t="s">
        <v>115</v>
      </c>
      <c r="C27" s="227">
        <v>0</v>
      </c>
      <c r="D27" s="227">
        <v>0</v>
      </c>
      <c r="E27" s="217">
        <f t="shared" si="0"/>
        <v>0</v>
      </c>
      <c r="F27" s="227">
        <v>0</v>
      </c>
      <c r="G27" s="227">
        <v>0</v>
      </c>
      <c r="H27" s="228">
        <f t="shared" si="1"/>
        <v>0</v>
      </c>
    </row>
    <row r="28" spans="1:8" ht="15.75">
      <c r="A28" s="116">
        <v>11</v>
      </c>
      <c r="B28" s="46" t="s">
        <v>116</v>
      </c>
      <c r="C28" s="227">
        <v>4839009.5199999996</v>
      </c>
      <c r="D28" s="227">
        <v>1708727.5399999998</v>
      </c>
      <c r="E28" s="217">
        <f t="shared" si="0"/>
        <v>6547737.0599999996</v>
      </c>
      <c r="F28" s="227">
        <v>2150208.14</v>
      </c>
      <c r="G28" s="227">
        <v>1863042.7699999998</v>
      </c>
      <c r="H28" s="228">
        <f t="shared" si="1"/>
        <v>4013250.91</v>
      </c>
    </row>
    <row r="29" spans="1:8" ht="15.75">
      <c r="A29" s="116">
        <v>12</v>
      </c>
      <c r="B29" s="46" t="s">
        <v>117</v>
      </c>
      <c r="C29" s="227">
        <v>0</v>
      </c>
      <c r="D29" s="227">
        <v>0</v>
      </c>
      <c r="E29" s="217">
        <f t="shared" si="0"/>
        <v>0</v>
      </c>
      <c r="F29" s="227">
        <v>0</v>
      </c>
      <c r="G29" s="227">
        <v>0</v>
      </c>
      <c r="H29" s="228">
        <f t="shared" si="1"/>
        <v>0</v>
      </c>
    </row>
    <row r="30" spans="1:8" ht="15.75">
      <c r="A30" s="116">
        <v>13</v>
      </c>
      <c r="B30" s="49" t="s">
        <v>118</v>
      </c>
      <c r="C30" s="229">
        <f>SUM(C24:C29)</f>
        <v>11496005.27</v>
      </c>
      <c r="D30" s="229">
        <f>SUM(D24:D29)</f>
        <v>4079164.8199999994</v>
      </c>
      <c r="E30" s="217">
        <f t="shared" si="0"/>
        <v>15575170.09</v>
      </c>
      <c r="F30" s="229">
        <f>SUM(F24:F29)</f>
        <v>7758124.1699999999</v>
      </c>
      <c r="G30" s="229">
        <f>SUM(G24:G29)</f>
        <v>5254673.67</v>
      </c>
      <c r="H30" s="228">
        <f t="shared" si="1"/>
        <v>13012797.84</v>
      </c>
    </row>
    <row r="31" spans="1:8" ht="15.75">
      <c r="A31" s="116">
        <v>14</v>
      </c>
      <c r="B31" s="49" t="s">
        <v>119</v>
      </c>
      <c r="C31" s="229">
        <f>C22-C30</f>
        <v>8481154.6999999993</v>
      </c>
      <c r="D31" s="229">
        <f>D22-D30</f>
        <v>5448514.9400000041</v>
      </c>
      <c r="E31" s="217">
        <f t="shared" si="0"/>
        <v>13929669.640000004</v>
      </c>
      <c r="F31" s="229">
        <f>F22-F30</f>
        <v>5594245.6100000013</v>
      </c>
      <c r="G31" s="229">
        <f>G22-G30</f>
        <v>5241021.6600000039</v>
      </c>
      <c r="H31" s="228">
        <f t="shared" si="1"/>
        <v>10835267.270000005</v>
      </c>
    </row>
    <row r="32" spans="1:8">
      <c r="A32" s="116"/>
      <c r="B32" s="44"/>
      <c r="C32" s="231"/>
      <c r="D32" s="231"/>
      <c r="E32" s="231"/>
      <c r="F32" s="231"/>
      <c r="G32" s="231"/>
      <c r="H32" s="232"/>
    </row>
    <row r="33" spans="1:8" ht="15.75">
      <c r="A33" s="116"/>
      <c r="B33" s="44" t="s">
        <v>120</v>
      </c>
      <c r="C33" s="227">
        <v>0</v>
      </c>
      <c r="D33" s="227">
        <v>0</v>
      </c>
      <c r="E33" s="216"/>
      <c r="F33" s="227"/>
      <c r="G33" s="227"/>
      <c r="H33" s="230"/>
    </row>
    <row r="34" spans="1:8" ht="15.75">
      <c r="A34" s="116">
        <v>15</v>
      </c>
      <c r="B34" s="43" t="s">
        <v>91</v>
      </c>
      <c r="C34" s="229">
        <f>C35-C36</f>
        <v>619498.7000000003</v>
      </c>
      <c r="D34" s="229">
        <f>D35-D36</f>
        <v>223428.61999999976</v>
      </c>
      <c r="E34" s="217">
        <f t="shared" si="0"/>
        <v>842927.32000000007</v>
      </c>
      <c r="F34" s="229">
        <f>F35-F36</f>
        <v>522073.86999999953</v>
      </c>
      <c r="G34" s="229">
        <f>G35-G36</f>
        <v>156686.96000000014</v>
      </c>
      <c r="H34" s="228">
        <f t="shared" si="1"/>
        <v>678760.82999999961</v>
      </c>
    </row>
    <row r="35" spans="1:8" ht="15.75">
      <c r="A35" s="116">
        <v>15.1</v>
      </c>
      <c r="B35" s="47" t="s">
        <v>121</v>
      </c>
      <c r="C35" s="227">
        <v>1229465.4000000001</v>
      </c>
      <c r="D35" s="227">
        <v>698656.55999999982</v>
      </c>
      <c r="E35" s="217">
        <f t="shared" si="0"/>
        <v>1928121.96</v>
      </c>
      <c r="F35" s="227">
        <v>1036678.0399999996</v>
      </c>
      <c r="G35" s="227">
        <v>635178.3600000001</v>
      </c>
      <c r="H35" s="228">
        <f t="shared" si="1"/>
        <v>1671856.3999999997</v>
      </c>
    </row>
    <row r="36" spans="1:8" ht="15.75">
      <c r="A36" s="116">
        <v>15.2</v>
      </c>
      <c r="B36" s="47" t="s">
        <v>122</v>
      </c>
      <c r="C36" s="227">
        <v>609966.69999999984</v>
      </c>
      <c r="D36" s="227">
        <v>475227.94000000006</v>
      </c>
      <c r="E36" s="217">
        <f t="shared" si="0"/>
        <v>1085194.6399999999</v>
      </c>
      <c r="F36" s="227">
        <v>514604.17000000004</v>
      </c>
      <c r="G36" s="227">
        <v>478491.39999999997</v>
      </c>
      <c r="H36" s="228">
        <f t="shared" si="1"/>
        <v>993095.57000000007</v>
      </c>
    </row>
    <row r="37" spans="1:8" ht="15.75">
      <c r="A37" s="116">
        <v>16</v>
      </c>
      <c r="B37" s="46" t="s">
        <v>123</v>
      </c>
      <c r="C37" s="227">
        <v>0</v>
      </c>
      <c r="D37" s="227">
        <v>0</v>
      </c>
      <c r="E37" s="217">
        <f t="shared" si="0"/>
        <v>0</v>
      </c>
      <c r="F37" s="227">
        <v>0</v>
      </c>
      <c r="G37" s="227">
        <v>0</v>
      </c>
      <c r="H37" s="228">
        <f t="shared" si="1"/>
        <v>0</v>
      </c>
    </row>
    <row r="38" spans="1:8" ht="15.75">
      <c r="A38" s="116">
        <v>17</v>
      </c>
      <c r="B38" s="46" t="s">
        <v>124</v>
      </c>
      <c r="C38" s="227">
        <v>0</v>
      </c>
      <c r="D38" s="227">
        <v>0</v>
      </c>
      <c r="E38" s="217">
        <f t="shared" si="0"/>
        <v>0</v>
      </c>
      <c r="F38" s="227">
        <v>0</v>
      </c>
      <c r="G38" s="227">
        <v>0</v>
      </c>
      <c r="H38" s="228">
        <f t="shared" si="1"/>
        <v>0</v>
      </c>
    </row>
    <row r="39" spans="1:8" ht="15.75">
      <c r="A39" s="116">
        <v>18</v>
      </c>
      <c r="B39" s="46" t="s">
        <v>125</v>
      </c>
      <c r="C39" s="227">
        <v>0</v>
      </c>
      <c r="D39" s="227">
        <v>0</v>
      </c>
      <c r="E39" s="217">
        <f t="shared" si="0"/>
        <v>0</v>
      </c>
      <c r="F39" s="227">
        <v>0</v>
      </c>
      <c r="G39" s="227">
        <v>0</v>
      </c>
      <c r="H39" s="228">
        <f t="shared" si="1"/>
        <v>0</v>
      </c>
    </row>
    <row r="40" spans="1:8" ht="15.75">
      <c r="A40" s="116">
        <v>19</v>
      </c>
      <c r="B40" s="46" t="s">
        <v>126</v>
      </c>
      <c r="C40" s="227">
        <v>3449539.46</v>
      </c>
      <c r="D40" s="227">
        <v>0</v>
      </c>
      <c r="E40" s="217">
        <f t="shared" si="0"/>
        <v>3449539.46</v>
      </c>
      <c r="F40" s="227">
        <v>2110150.0700000003</v>
      </c>
      <c r="G40" s="227">
        <v>0</v>
      </c>
      <c r="H40" s="228">
        <f t="shared" si="1"/>
        <v>2110150.0700000003</v>
      </c>
    </row>
    <row r="41" spans="1:8" ht="15.75">
      <c r="A41" s="116">
        <v>20</v>
      </c>
      <c r="B41" s="46" t="s">
        <v>127</v>
      </c>
      <c r="C41" s="227">
        <v>-2913667.7799999993</v>
      </c>
      <c r="D41" s="227">
        <v>0</v>
      </c>
      <c r="E41" s="217">
        <f t="shared" si="0"/>
        <v>-2913667.7799999993</v>
      </c>
      <c r="F41" s="227">
        <v>-892839.99000000022</v>
      </c>
      <c r="G41" s="227">
        <v>0</v>
      </c>
      <c r="H41" s="228">
        <f t="shared" si="1"/>
        <v>-892839.99000000022</v>
      </c>
    </row>
    <row r="42" spans="1:8" ht="15.75">
      <c r="A42" s="116">
        <v>21</v>
      </c>
      <c r="B42" s="46" t="s">
        <v>128</v>
      </c>
      <c r="C42" s="227">
        <v>-155007.09000000003</v>
      </c>
      <c r="D42" s="227">
        <v>0</v>
      </c>
      <c r="E42" s="217">
        <f t="shared" si="0"/>
        <v>-155007.09000000003</v>
      </c>
      <c r="F42" s="227">
        <v>24890.49</v>
      </c>
      <c r="G42" s="227">
        <v>0</v>
      </c>
      <c r="H42" s="228">
        <f t="shared" si="1"/>
        <v>24890.49</v>
      </c>
    </row>
    <row r="43" spans="1:8" ht="15.75">
      <c r="A43" s="116">
        <v>22</v>
      </c>
      <c r="B43" s="46" t="s">
        <v>129</v>
      </c>
      <c r="C43" s="227">
        <v>0</v>
      </c>
      <c r="D43" s="227">
        <v>1168.26</v>
      </c>
      <c r="E43" s="217">
        <f t="shared" si="0"/>
        <v>1168.26</v>
      </c>
      <c r="F43" s="227">
        <v>68.400000000000006</v>
      </c>
      <c r="G43" s="227">
        <v>716.49</v>
      </c>
      <c r="H43" s="228">
        <f t="shared" si="1"/>
        <v>784.89</v>
      </c>
    </row>
    <row r="44" spans="1:8" ht="15.75">
      <c r="A44" s="116">
        <v>23</v>
      </c>
      <c r="B44" s="46" t="s">
        <v>130</v>
      </c>
      <c r="C44" s="227">
        <v>12620.01</v>
      </c>
      <c r="D44" s="227">
        <v>69972.3</v>
      </c>
      <c r="E44" s="217">
        <f t="shared" si="0"/>
        <v>82592.31</v>
      </c>
      <c r="F44" s="227">
        <v>12281.41</v>
      </c>
      <c r="G44" s="227">
        <v>67637.599999999991</v>
      </c>
      <c r="H44" s="228">
        <f t="shared" si="1"/>
        <v>79919.009999999995</v>
      </c>
    </row>
    <row r="45" spans="1:8" ht="15.75">
      <c r="A45" s="116">
        <v>24</v>
      </c>
      <c r="B45" s="49" t="s">
        <v>131</v>
      </c>
      <c r="C45" s="229">
        <f>C34+C37+C38+C39+C40+C41+C42+C43+C44</f>
        <v>1012983.3000000007</v>
      </c>
      <c r="D45" s="229">
        <f>D34+D37+D38+D39+D40+D41+D42+D43+D44</f>
        <v>294569.17999999976</v>
      </c>
      <c r="E45" s="217">
        <f t="shared" si="0"/>
        <v>1307552.4800000004</v>
      </c>
      <c r="F45" s="229">
        <f>F34+F37+F38+F39+F40+F41+F42+F43+F44</f>
        <v>1776624.2499999995</v>
      </c>
      <c r="G45" s="229">
        <f>G34+G37+G38+G39+G40+G41+G42+G43+G44</f>
        <v>225041.0500000001</v>
      </c>
      <c r="H45" s="228">
        <f t="shared" si="1"/>
        <v>2001665.2999999996</v>
      </c>
    </row>
    <row r="46" spans="1:8">
      <c r="A46" s="116"/>
      <c r="B46" s="44" t="s">
        <v>132</v>
      </c>
      <c r="C46" s="227"/>
      <c r="D46" s="227"/>
      <c r="E46" s="227"/>
      <c r="F46" s="227"/>
      <c r="G46" s="227"/>
      <c r="H46" s="233"/>
    </row>
    <row r="47" spans="1:8" ht="15.75">
      <c r="A47" s="116">
        <v>25</v>
      </c>
      <c r="B47" s="46" t="s">
        <v>133</v>
      </c>
      <c r="C47" s="227">
        <v>287718.36</v>
      </c>
      <c r="D47" s="227">
        <v>136724.36000000002</v>
      </c>
      <c r="E47" s="217">
        <f t="shared" si="0"/>
        <v>424442.72</v>
      </c>
      <c r="F47" s="227">
        <v>212230.72</v>
      </c>
      <c r="G47" s="227">
        <v>128244.31000000001</v>
      </c>
      <c r="H47" s="228">
        <f t="shared" si="1"/>
        <v>340475.03</v>
      </c>
    </row>
    <row r="48" spans="1:8" ht="15.75">
      <c r="A48" s="116">
        <v>26</v>
      </c>
      <c r="B48" s="46" t="s">
        <v>134</v>
      </c>
      <c r="C48" s="227">
        <v>363500.65</v>
      </c>
      <c r="D48" s="227">
        <v>36609.08</v>
      </c>
      <c r="E48" s="217">
        <f t="shared" si="0"/>
        <v>400109.73000000004</v>
      </c>
      <c r="F48" s="227">
        <v>289972.92999999988</v>
      </c>
      <c r="G48" s="227">
        <v>37129.03</v>
      </c>
      <c r="H48" s="228">
        <f t="shared" si="1"/>
        <v>327101.95999999985</v>
      </c>
    </row>
    <row r="49" spans="1:9" ht="15.75">
      <c r="A49" s="116">
        <v>27</v>
      </c>
      <c r="B49" s="46" t="s">
        <v>135</v>
      </c>
      <c r="C49" s="227">
        <v>3793544.49</v>
      </c>
      <c r="D49" s="227">
        <v>0</v>
      </c>
      <c r="E49" s="217">
        <f t="shared" si="0"/>
        <v>3793544.49</v>
      </c>
      <c r="F49" s="227">
        <v>2996621.49</v>
      </c>
      <c r="G49" s="227">
        <v>0</v>
      </c>
      <c r="H49" s="228">
        <f t="shared" si="1"/>
        <v>2996621.49</v>
      </c>
    </row>
    <row r="50" spans="1:9" ht="15.75">
      <c r="A50" s="116">
        <v>28</v>
      </c>
      <c r="B50" s="46" t="s">
        <v>271</v>
      </c>
      <c r="C50" s="227">
        <v>0</v>
      </c>
      <c r="D50" s="227">
        <v>0</v>
      </c>
      <c r="E50" s="217">
        <f t="shared" si="0"/>
        <v>0</v>
      </c>
      <c r="F50" s="227">
        <v>0</v>
      </c>
      <c r="G50" s="227">
        <v>0</v>
      </c>
      <c r="H50" s="228">
        <f t="shared" si="1"/>
        <v>0</v>
      </c>
    </row>
    <row r="51" spans="1:9" ht="15.75">
      <c r="A51" s="116">
        <v>29</v>
      </c>
      <c r="B51" s="46" t="s">
        <v>136</v>
      </c>
      <c r="C51" s="227">
        <v>1361977.87</v>
      </c>
      <c r="D51" s="227">
        <v>0</v>
      </c>
      <c r="E51" s="217">
        <f t="shared" si="0"/>
        <v>1361977.87</v>
      </c>
      <c r="F51" s="227">
        <v>1298469.92</v>
      </c>
      <c r="G51" s="227">
        <v>0</v>
      </c>
      <c r="H51" s="228">
        <f t="shared" si="1"/>
        <v>1298469.92</v>
      </c>
    </row>
    <row r="52" spans="1:9" ht="15.75">
      <c r="A52" s="116">
        <v>30</v>
      </c>
      <c r="B52" s="46" t="s">
        <v>137</v>
      </c>
      <c r="C52" s="227">
        <v>1678337.840000001</v>
      </c>
      <c r="D52" s="227">
        <v>3315.85</v>
      </c>
      <c r="E52" s="217">
        <f t="shared" si="0"/>
        <v>1681653.6900000011</v>
      </c>
      <c r="F52" s="227">
        <v>1262774.4099999997</v>
      </c>
      <c r="G52" s="227">
        <v>4828.96</v>
      </c>
      <c r="H52" s="228">
        <f t="shared" si="1"/>
        <v>1267603.3699999996</v>
      </c>
    </row>
    <row r="53" spans="1:9" ht="15.75">
      <c r="A53" s="116">
        <v>31</v>
      </c>
      <c r="B53" s="49" t="s">
        <v>138</v>
      </c>
      <c r="C53" s="229">
        <f>C47+C48+C49+C50+C51+C52</f>
        <v>7485079.2100000009</v>
      </c>
      <c r="D53" s="229">
        <f>D47+D48+D49+D50+D51+D52</f>
        <v>176649.29</v>
      </c>
      <c r="E53" s="217">
        <f t="shared" si="0"/>
        <v>7661728.5000000009</v>
      </c>
      <c r="F53" s="229">
        <f>F47+F48+F49+F50+F51+F52</f>
        <v>6060069.4700000007</v>
      </c>
      <c r="G53" s="229">
        <f>G47+G48+G49+G50+G51+G52</f>
        <v>170202.30000000002</v>
      </c>
      <c r="H53" s="228">
        <f t="shared" si="1"/>
        <v>6230271.7700000005</v>
      </c>
    </row>
    <row r="54" spans="1:9" ht="15.75">
      <c r="A54" s="116">
        <v>32</v>
      </c>
      <c r="B54" s="49" t="s">
        <v>139</v>
      </c>
      <c r="C54" s="229">
        <f>C45-C53</f>
        <v>-6472095.9100000001</v>
      </c>
      <c r="D54" s="229">
        <f>D45-D53</f>
        <v>117919.88999999975</v>
      </c>
      <c r="E54" s="217">
        <f t="shared" si="0"/>
        <v>-6354176.0200000005</v>
      </c>
      <c r="F54" s="229">
        <f>F45-F53</f>
        <v>-4283445.2200000007</v>
      </c>
      <c r="G54" s="229">
        <f>G45-G53</f>
        <v>54838.750000000087</v>
      </c>
      <c r="H54" s="228">
        <f t="shared" si="1"/>
        <v>-4228606.4700000007</v>
      </c>
    </row>
    <row r="55" spans="1:9">
      <c r="A55" s="116"/>
      <c r="B55" s="44"/>
      <c r="C55" s="231"/>
      <c r="D55" s="231"/>
      <c r="E55" s="231"/>
      <c r="F55" s="231"/>
      <c r="G55" s="231"/>
      <c r="H55" s="232"/>
    </row>
    <row r="56" spans="1:9" ht="15.75">
      <c r="A56" s="116">
        <v>33</v>
      </c>
      <c r="B56" s="49" t="s">
        <v>140</v>
      </c>
      <c r="C56" s="229">
        <f>C31+C54</f>
        <v>2009058.7899999991</v>
      </c>
      <c r="D56" s="229">
        <f>D31+D54</f>
        <v>5566434.8300000038</v>
      </c>
      <c r="E56" s="217">
        <f t="shared" si="0"/>
        <v>7575493.6200000029</v>
      </c>
      <c r="F56" s="229">
        <f>F31+F54</f>
        <v>1310800.3900000006</v>
      </c>
      <c r="G56" s="229">
        <f>G31+G54</f>
        <v>5295860.4100000039</v>
      </c>
      <c r="H56" s="228">
        <f t="shared" si="1"/>
        <v>6606660.8000000045</v>
      </c>
    </row>
    <row r="57" spans="1:9">
      <c r="A57" s="116"/>
      <c r="B57" s="44"/>
      <c r="C57" s="231"/>
      <c r="D57" s="231"/>
      <c r="E57" s="231"/>
      <c r="F57" s="231"/>
      <c r="G57" s="231"/>
      <c r="H57" s="232"/>
    </row>
    <row r="58" spans="1:9" ht="15.75">
      <c r="A58" s="116">
        <v>34</v>
      </c>
      <c r="B58" s="46" t="s">
        <v>141</v>
      </c>
      <c r="C58" s="227">
        <v>-449747.48000000016</v>
      </c>
      <c r="D58" s="227" t="s">
        <v>743</v>
      </c>
      <c r="E58" s="217">
        <v>-449747.48000000016</v>
      </c>
      <c r="F58" s="227">
        <v>171867.92000000092</v>
      </c>
      <c r="G58" s="227" t="s">
        <v>743</v>
      </c>
      <c r="H58" s="228">
        <v>171867.92000000092</v>
      </c>
    </row>
    <row r="59" spans="1:9" s="192" customFormat="1" ht="15.75">
      <c r="A59" s="116">
        <v>35</v>
      </c>
      <c r="B59" s="43" t="s">
        <v>142</v>
      </c>
      <c r="C59" s="234">
        <v>0</v>
      </c>
      <c r="D59" s="234" t="s">
        <v>743</v>
      </c>
      <c r="E59" s="217">
        <v>0</v>
      </c>
      <c r="F59" s="235">
        <v>0</v>
      </c>
      <c r="G59" s="235" t="s">
        <v>743</v>
      </c>
      <c r="H59" s="236">
        <v>0</v>
      </c>
      <c r="I59" s="191"/>
    </row>
    <row r="60" spans="1:9" ht="15.75">
      <c r="A60" s="116">
        <v>36</v>
      </c>
      <c r="B60" s="46" t="s">
        <v>143</v>
      </c>
      <c r="C60" s="227">
        <v>80064.78</v>
      </c>
      <c r="D60" s="227" t="s">
        <v>743</v>
      </c>
      <c r="E60" s="217">
        <v>80064.78</v>
      </c>
      <c r="F60" s="227">
        <v>-490166.28</v>
      </c>
      <c r="G60" s="227" t="s">
        <v>743</v>
      </c>
      <c r="H60" s="228">
        <v>-490166.28</v>
      </c>
    </row>
    <row r="61" spans="1:9" ht="15.75">
      <c r="A61" s="116">
        <v>37</v>
      </c>
      <c r="B61" s="49" t="s">
        <v>144</v>
      </c>
      <c r="C61" s="229">
        <f>C58+C59+C60</f>
        <v>-369682.70000000019</v>
      </c>
      <c r="D61" s="229">
        <v>0</v>
      </c>
      <c r="E61" s="217">
        <f t="shared" si="0"/>
        <v>-369682.70000000019</v>
      </c>
      <c r="F61" s="229">
        <f>F58+F59+F60</f>
        <v>-318298.35999999911</v>
      </c>
      <c r="G61" s="229">
        <v>0</v>
      </c>
      <c r="H61" s="228">
        <f t="shared" si="1"/>
        <v>-318298.35999999911</v>
      </c>
    </row>
    <row r="62" spans="1:9">
      <c r="A62" s="116"/>
      <c r="B62" s="50"/>
      <c r="C62" s="227"/>
      <c r="D62" s="227"/>
      <c r="E62" s="227"/>
      <c r="F62" s="227"/>
      <c r="G62" s="227"/>
      <c r="H62" s="233"/>
    </row>
    <row r="63" spans="1:9" ht="15.75">
      <c r="A63" s="116">
        <v>38</v>
      </c>
      <c r="B63" s="51" t="s">
        <v>272</v>
      </c>
      <c r="C63" s="229">
        <f>C56-C61</f>
        <v>2378741.4899999993</v>
      </c>
      <c r="D63" s="229">
        <f>D56-D61</f>
        <v>5566434.8300000038</v>
      </c>
      <c r="E63" s="217">
        <f t="shared" si="0"/>
        <v>7945176.3200000031</v>
      </c>
      <c r="F63" s="229">
        <f>F56-F61</f>
        <v>1629098.7499999998</v>
      </c>
      <c r="G63" s="229">
        <f>G56-G61</f>
        <v>5295860.4100000039</v>
      </c>
      <c r="H63" s="228">
        <f t="shared" si="1"/>
        <v>6924959.1600000039</v>
      </c>
    </row>
    <row r="64" spans="1:9" ht="15.75">
      <c r="A64" s="114">
        <v>39</v>
      </c>
      <c r="B64" s="46" t="s">
        <v>145</v>
      </c>
      <c r="C64" s="237">
        <v>0</v>
      </c>
      <c r="D64" s="237">
        <v>0</v>
      </c>
      <c r="E64" s="217">
        <f t="shared" si="0"/>
        <v>0</v>
      </c>
      <c r="F64" s="237">
        <v>0</v>
      </c>
      <c r="G64" s="237">
        <v>0</v>
      </c>
      <c r="H64" s="228">
        <f t="shared" si="1"/>
        <v>0</v>
      </c>
    </row>
    <row r="65" spans="1:8" ht="15.75">
      <c r="A65" s="116">
        <v>40</v>
      </c>
      <c r="B65" s="49" t="s">
        <v>146</v>
      </c>
      <c r="C65" s="229">
        <f>C63-C64</f>
        <v>2378741.4899999993</v>
      </c>
      <c r="D65" s="229">
        <f>D63-D64</f>
        <v>5566434.8300000038</v>
      </c>
      <c r="E65" s="217">
        <f t="shared" si="0"/>
        <v>7945176.3200000031</v>
      </c>
      <c r="F65" s="229">
        <f>F63-F64</f>
        <v>1629098.7499999998</v>
      </c>
      <c r="G65" s="229">
        <f>G63-G64</f>
        <v>5295860.4100000039</v>
      </c>
      <c r="H65" s="228">
        <f t="shared" si="1"/>
        <v>6924959.1600000039</v>
      </c>
    </row>
    <row r="66" spans="1:8" ht="15.75">
      <c r="A66" s="114">
        <v>41</v>
      </c>
      <c r="B66" s="46" t="s">
        <v>147</v>
      </c>
      <c r="C66" s="237">
        <v>0</v>
      </c>
      <c r="D66" s="237">
        <v>0</v>
      </c>
      <c r="E66" s="217">
        <f t="shared" si="0"/>
        <v>0</v>
      </c>
      <c r="F66" s="237">
        <v>0</v>
      </c>
      <c r="G66" s="237">
        <v>0</v>
      </c>
      <c r="H66" s="228">
        <f t="shared" si="1"/>
        <v>0</v>
      </c>
    </row>
    <row r="67" spans="1:8" ht="16.5" thickBot="1">
      <c r="A67" s="118">
        <v>42</v>
      </c>
      <c r="B67" s="119" t="s">
        <v>148</v>
      </c>
      <c r="C67" s="238">
        <f>C65+C66</f>
        <v>2378741.4899999993</v>
      </c>
      <c r="D67" s="238">
        <f>D65+D66</f>
        <v>5566434.8300000038</v>
      </c>
      <c r="E67" s="225">
        <f t="shared" si="0"/>
        <v>7945176.3200000031</v>
      </c>
      <c r="F67" s="238">
        <f>F65+F66</f>
        <v>1629098.7499999998</v>
      </c>
      <c r="G67" s="238">
        <f>G65+G66</f>
        <v>5295860.4100000039</v>
      </c>
      <c r="H67" s="239">
        <f t="shared" si="1"/>
        <v>6924959.1600000039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32" zoomScaleNormal="100" workbookViewId="0">
      <selection activeCell="C7" sqref="C7:H53"/>
    </sheetView>
  </sheetViews>
  <sheetFormatPr defaultRowHeight="15"/>
  <cols>
    <col min="1" max="1" width="9.5703125" bestFit="1" customWidth="1"/>
    <col min="2" max="2" width="72.28515625" customWidth="1"/>
    <col min="3" max="8" width="12.7109375" customWidth="1"/>
  </cols>
  <sheetData>
    <row r="1" spans="1:8">
      <c r="A1" s="1" t="s">
        <v>188</v>
      </c>
      <c r="B1" t="str">
        <f>Info!C2</f>
        <v>ს.ს. "ტერაბანკი"</v>
      </c>
    </row>
    <row r="2" spans="1:8">
      <c r="A2" s="1" t="s">
        <v>189</v>
      </c>
      <c r="B2" s="436">
        <f>'1. key ratios'!B2</f>
        <v>44651</v>
      </c>
    </row>
    <row r="3" spans="1:8">
      <c r="A3" s="1"/>
    </row>
    <row r="4" spans="1:8" ht="16.5" thickBot="1">
      <c r="A4" s="1" t="s">
        <v>331</v>
      </c>
      <c r="B4" s="1"/>
      <c r="C4" s="201"/>
      <c r="D4" s="201"/>
      <c r="E4" s="201"/>
      <c r="F4" s="201"/>
      <c r="G4" s="201"/>
      <c r="H4" s="202" t="s">
        <v>93</v>
      </c>
    </row>
    <row r="5" spans="1:8" ht="15.75">
      <c r="A5" s="629" t="s">
        <v>26</v>
      </c>
      <c r="B5" s="631" t="s">
        <v>245</v>
      </c>
      <c r="C5" s="633" t="s">
        <v>194</v>
      </c>
      <c r="D5" s="633"/>
      <c r="E5" s="633"/>
      <c r="F5" s="633" t="s">
        <v>195</v>
      </c>
      <c r="G5" s="633"/>
      <c r="H5" s="634"/>
    </row>
    <row r="6" spans="1:8">
      <c r="A6" s="630"/>
      <c r="B6" s="632"/>
      <c r="C6" s="32" t="s">
        <v>27</v>
      </c>
      <c r="D6" s="32" t="s">
        <v>94</v>
      </c>
      <c r="E6" s="32" t="s">
        <v>68</v>
      </c>
      <c r="F6" s="32" t="s">
        <v>27</v>
      </c>
      <c r="G6" s="32" t="s">
        <v>94</v>
      </c>
      <c r="H6" s="33" t="s">
        <v>68</v>
      </c>
    </row>
    <row r="7" spans="1:8" ht="15.75">
      <c r="A7" s="108">
        <v>1</v>
      </c>
      <c r="B7" s="203" t="s">
        <v>367</v>
      </c>
      <c r="C7" s="219">
        <v>58477590.560000002</v>
      </c>
      <c r="D7" s="219">
        <v>36754623.850000009</v>
      </c>
      <c r="E7" s="240">
        <f>C7+D7</f>
        <v>95232214.410000011</v>
      </c>
      <c r="F7" s="219">
        <v>40913677.080000013</v>
      </c>
      <c r="G7" s="219">
        <v>28875079.829999998</v>
      </c>
      <c r="H7" s="220">
        <f t="shared" ref="H7:H53" si="0">F7+G7</f>
        <v>69788756.910000011</v>
      </c>
    </row>
    <row r="8" spans="1:8" ht="15.75">
      <c r="A8" s="108">
        <v>1.1000000000000001</v>
      </c>
      <c r="B8" s="204" t="s">
        <v>276</v>
      </c>
      <c r="C8" s="219">
        <v>41017576.390000001</v>
      </c>
      <c r="D8" s="219">
        <v>25169855.77</v>
      </c>
      <c r="E8" s="240">
        <f t="shared" ref="E8:E53" si="1">C8+D8</f>
        <v>66187432.159999996</v>
      </c>
      <c r="F8" s="219">
        <v>28730110.84</v>
      </c>
      <c r="G8" s="219">
        <v>21128507.509999998</v>
      </c>
      <c r="H8" s="220">
        <f t="shared" si="0"/>
        <v>49858618.349999994</v>
      </c>
    </row>
    <row r="9" spans="1:8" ht="15.75">
      <c r="A9" s="108">
        <v>1.2</v>
      </c>
      <c r="B9" s="204" t="s">
        <v>277</v>
      </c>
      <c r="C9" s="219">
        <v>0</v>
      </c>
      <c r="D9" s="219">
        <v>0</v>
      </c>
      <c r="E9" s="240">
        <f t="shared" si="1"/>
        <v>0</v>
      </c>
      <c r="F9" s="219">
        <v>0</v>
      </c>
      <c r="G9" s="219">
        <v>0</v>
      </c>
      <c r="H9" s="220">
        <f t="shared" si="0"/>
        <v>0</v>
      </c>
    </row>
    <row r="10" spans="1:8" ht="15.75">
      <c r="A10" s="108">
        <v>1.3</v>
      </c>
      <c r="B10" s="204" t="s">
        <v>278</v>
      </c>
      <c r="C10" s="219">
        <v>17460014.170000002</v>
      </c>
      <c r="D10" s="219">
        <v>11584768.080000008</v>
      </c>
      <c r="E10" s="240">
        <f t="shared" si="1"/>
        <v>29044782.250000007</v>
      </c>
      <c r="F10" s="219">
        <v>12183566.240000011</v>
      </c>
      <c r="G10" s="219">
        <v>7746572.3199999994</v>
      </c>
      <c r="H10" s="220">
        <f t="shared" si="0"/>
        <v>19930138.56000001</v>
      </c>
    </row>
    <row r="11" spans="1:8" ht="15.75">
      <c r="A11" s="108">
        <v>1.4</v>
      </c>
      <c r="B11" s="204" t="s">
        <v>279</v>
      </c>
      <c r="C11" s="219">
        <v>0</v>
      </c>
      <c r="D11" s="219">
        <v>0</v>
      </c>
      <c r="E11" s="240">
        <f t="shared" si="1"/>
        <v>0</v>
      </c>
      <c r="F11" s="219">
        <v>0</v>
      </c>
      <c r="G11" s="219">
        <v>0</v>
      </c>
      <c r="H11" s="220">
        <f t="shared" si="0"/>
        <v>0</v>
      </c>
    </row>
    <row r="12" spans="1:8" ht="29.25" customHeight="1">
      <c r="A12" s="108">
        <v>2</v>
      </c>
      <c r="B12" s="203" t="s">
        <v>280</v>
      </c>
      <c r="C12" s="219">
        <v>0</v>
      </c>
      <c r="D12" s="219">
        <v>0</v>
      </c>
      <c r="E12" s="240">
        <f t="shared" si="1"/>
        <v>0</v>
      </c>
      <c r="F12" s="219">
        <v>0</v>
      </c>
      <c r="G12" s="219">
        <v>0</v>
      </c>
      <c r="H12" s="220">
        <f t="shared" si="0"/>
        <v>0</v>
      </c>
    </row>
    <row r="13" spans="1:8" ht="25.5">
      <c r="A13" s="108">
        <v>3</v>
      </c>
      <c r="B13" s="203" t="s">
        <v>281</v>
      </c>
      <c r="C13" s="219">
        <v>131931000</v>
      </c>
      <c r="D13" s="219">
        <v>0</v>
      </c>
      <c r="E13" s="240">
        <f t="shared" si="1"/>
        <v>131931000</v>
      </c>
      <c r="F13" s="219">
        <v>82326000</v>
      </c>
      <c r="G13" s="219">
        <v>0</v>
      </c>
      <c r="H13" s="220">
        <f t="shared" si="0"/>
        <v>82326000</v>
      </c>
    </row>
    <row r="14" spans="1:8" ht="15.75">
      <c r="A14" s="108">
        <v>3.1</v>
      </c>
      <c r="B14" s="204" t="s">
        <v>282</v>
      </c>
      <c r="C14" s="219">
        <v>131931000</v>
      </c>
      <c r="D14" s="219">
        <v>0</v>
      </c>
      <c r="E14" s="240">
        <f t="shared" si="1"/>
        <v>131931000</v>
      </c>
      <c r="F14" s="219">
        <v>82326000</v>
      </c>
      <c r="G14" s="219">
        <v>0</v>
      </c>
      <c r="H14" s="220">
        <f t="shared" si="0"/>
        <v>82326000</v>
      </c>
    </row>
    <row r="15" spans="1:8" ht="15.75">
      <c r="A15" s="108">
        <v>3.2</v>
      </c>
      <c r="B15" s="204" t="s">
        <v>283</v>
      </c>
      <c r="C15" s="219">
        <v>0</v>
      </c>
      <c r="D15" s="219">
        <v>0</v>
      </c>
      <c r="E15" s="240">
        <f t="shared" si="1"/>
        <v>0</v>
      </c>
      <c r="F15" s="219">
        <v>0</v>
      </c>
      <c r="G15" s="219">
        <v>0</v>
      </c>
      <c r="H15" s="220">
        <f t="shared" si="0"/>
        <v>0</v>
      </c>
    </row>
    <row r="16" spans="1:8" ht="15.75">
      <c r="A16" s="108">
        <v>4</v>
      </c>
      <c r="B16" s="203" t="s">
        <v>284</v>
      </c>
      <c r="C16" s="219">
        <v>267579710.69000056</v>
      </c>
      <c r="D16" s="219">
        <v>405218350.49000007</v>
      </c>
      <c r="E16" s="240">
        <f t="shared" si="1"/>
        <v>672798061.18000066</v>
      </c>
      <c r="F16" s="219">
        <v>217762357.12000027</v>
      </c>
      <c r="G16" s="219">
        <v>456660223.02999985</v>
      </c>
      <c r="H16" s="220">
        <f t="shared" si="0"/>
        <v>674422580.1500001</v>
      </c>
    </row>
    <row r="17" spans="1:8" ht="15.75">
      <c r="A17" s="108">
        <v>4.0999999999999996</v>
      </c>
      <c r="B17" s="204" t="s">
        <v>285</v>
      </c>
      <c r="C17" s="219">
        <v>254278844.74000058</v>
      </c>
      <c r="D17" s="219">
        <v>405218350.49000007</v>
      </c>
      <c r="E17" s="240">
        <f t="shared" si="1"/>
        <v>659497195.23000062</v>
      </c>
      <c r="F17" s="219">
        <v>213962007.18700027</v>
      </c>
      <c r="G17" s="219">
        <v>456660223.02999985</v>
      </c>
      <c r="H17" s="220">
        <f t="shared" si="0"/>
        <v>670622230.21700013</v>
      </c>
    </row>
    <row r="18" spans="1:8" ht="15.75">
      <c r="A18" s="108">
        <v>4.2</v>
      </c>
      <c r="B18" s="204" t="s">
        <v>286</v>
      </c>
      <c r="C18" s="219">
        <v>13300865.949999996</v>
      </c>
      <c r="D18" s="219">
        <v>0</v>
      </c>
      <c r="E18" s="240">
        <f t="shared" si="1"/>
        <v>13300865.949999996</v>
      </c>
      <c r="F18" s="219">
        <v>3800349.9330000011</v>
      </c>
      <c r="G18" s="219">
        <v>0</v>
      </c>
      <c r="H18" s="220">
        <f t="shared" si="0"/>
        <v>3800349.9330000011</v>
      </c>
    </row>
    <row r="19" spans="1:8" ht="25.5">
      <c r="A19" s="108">
        <v>5</v>
      </c>
      <c r="B19" s="203" t="s">
        <v>287</v>
      </c>
      <c r="C19" s="219">
        <v>936367472.91000056</v>
      </c>
      <c r="D19" s="219">
        <v>985665662.91999996</v>
      </c>
      <c r="E19" s="240">
        <f t="shared" si="1"/>
        <v>1922033135.8300004</v>
      </c>
      <c r="F19" s="219">
        <v>847871176.36000085</v>
      </c>
      <c r="G19" s="219">
        <v>1095825409.7299993</v>
      </c>
      <c r="H19" s="220">
        <f t="shared" si="0"/>
        <v>1943696586.0900002</v>
      </c>
    </row>
    <row r="20" spans="1:8" ht="15.75">
      <c r="A20" s="108">
        <v>5.0999999999999996</v>
      </c>
      <c r="B20" s="204" t="s">
        <v>288</v>
      </c>
      <c r="C20" s="219">
        <v>16253423.390000002</v>
      </c>
      <c r="D20" s="219">
        <v>32390633.109999999</v>
      </c>
      <c r="E20" s="240">
        <f t="shared" si="1"/>
        <v>48644056.5</v>
      </c>
      <c r="F20" s="219">
        <v>23829879.789999995</v>
      </c>
      <c r="G20" s="219">
        <v>39573463.780000001</v>
      </c>
      <c r="H20" s="220">
        <f t="shared" si="0"/>
        <v>63403343.569999993</v>
      </c>
    </row>
    <row r="21" spans="1:8" ht="15.75">
      <c r="A21" s="108">
        <v>5.2</v>
      </c>
      <c r="B21" s="204" t="s">
        <v>289</v>
      </c>
      <c r="C21" s="219">
        <v>9851115.7900000028</v>
      </c>
      <c r="D21" s="219">
        <v>3395481.96</v>
      </c>
      <c r="E21" s="240">
        <f t="shared" si="1"/>
        <v>13246597.750000004</v>
      </c>
      <c r="F21" s="219">
        <v>16561305.080000004</v>
      </c>
      <c r="G21" s="219">
        <v>6896955.5699999994</v>
      </c>
      <c r="H21" s="220">
        <f t="shared" si="0"/>
        <v>23458260.650000002</v>
      </c>
    </row>
    <row r="22" spans="1:8" ht="15.75">
      <c r="A22" s="108">
        <v>5.3</v>
      </c>
      <c r="B22" s="204" t="s">
        <v>290</v>
      </c>
      <c r="C22" s="219">
        <v>793530718.59000039</v>
      </c>
      <c r="D22" s="219">
        <v>918203604.83999991</v>
      </c>
      <c r="E22" s="240">
        <f t="shared" si="1"/>
        <v>1711734323.4300003</v>
      </c>
      <c r="F22" s="219">
        <v>719061056.11000085</v>
      </c>
      <c r="G22" s="219">
        <v>1025046591.3999994</v>
      </c>
      <c r="H22" s="220">
        <f t="shared" si="0"/>
        <v>1744107647.5100002</v>
      </c>
    </row>
    <row r="23" spans="1:8" ht="15.75">
      <c r="A23" s="108" t="s">
        <v>291</v>
      </c>
      <c r="B23" s="205" t="s">
        <v>292</v>
      </c>
      <c r="C23" s="219">
        <v>397097413.22000045</v>
      </c>
      <c r="D23" s="219">
        <v>343369743.99999976</v>
      </c>
      <c r="E23" s="240">
        <f t="shared" si="1"/>
        <v>740467157.22000027</v>
      </c>
      <c r="F23" s="219">
        <v>434748853.70000088</v>
      </c>
      <c r="G23" s="219">
        <v>396744580.71999967</v>
      </c>
      <c r="H23" s="220">
        <f t="shared" si="0"/>
        <v>831493434.42000055</v>
      </c>
    </row>
    <row r="24" spans="1:8" ht="15.75">
      <c r="A24" s="108" t="s">
        <v>293</v>
      </c>
      <c r="B24" s="205" t="s">
        <v>294</v>
      </c>
      <c r="C24" s="219">
        <v>196312163.24000007</v>
      </c>
      <c r="D24" s="219">
        <v>335276866.62</v>
      </c>
      <c r="E24" s="240">
        <f t="shared" si="1"/>
        <v>531589029.86000007</v>
      </c>
      <c r="F24" s="219">
        <v>163275071.36999995</v>
      </c>
      <c r="G24" s="219">
        <v>369192590.24999976</v>
      </c>
      <c r="H24" s="220">
        <f t="shared" si="0"/>
        <v>532467661.61999971</v>
      </c>
    </row>
    <row r="25" spans="1:8" ht="15.75">
      <c r="A25" s="108" t="s">
        <v>295</v>
      </c>
      <c r="B25" s="206" t="s">
        <v>296</v>
      </c>
      <c r="C25" s="219">
        <v>24062058.199999999</v>
      </c>
      <c r="D25" s="219">
        <v>24785407.810000002</v>
      </c>
      <c r="E25" s="240">
        <f t="shared" si="1"/>
        <v>48847466.010000005</v>
      </c>
      <c r="F25" s="219">
        <v>20210378.640000001</v>
      </c>
      <c r="G25" s="219">
        <v>33550104.560000002</v>
      </c>
      <c r="H25" s="220">
        <f t="shared" si="0"/>
        <v>53760483.200000003</v>
      </c>
    </row>
    <row r="26" spans="1:8" ht="15.75">
      <c r="A26" s="108" t="s">
        <v>297</v>
      </c>
      <c r="B26" s="205" t="s">
        <v>298</v>
      </c>
      <c r="C26" s="219">
        <v>112178067.29999988</v>
      </c>
      <c r="D26" s="219">
        <v>110685245.91000004</v>
      </c>
      <c r="E26" s="240">
        <f t="shared" si="1"/>
        <v>222863313.20999992</v>
      </c>
      <c r="F26" s="219">
        <v>80021243.189999998</v>
      </c>
      <c r="G26" s="219">
        <v>101671052.36999995</v>
      </c>
      <c r="H26" s="220">
        <f t="shared" si="0"/>
        <v>181692295.55999994</v>
      </c>
    </row>
    <row r="27" spans="1:8" ht="15.75">
      <c r="A27" s="108" t="s">
        <v>299</v>
      </c>
      <c r="B27" s="205" t="s">
        <v>300</v>
      </c>
      <c r="C27" s="219">
        <v>63881016.629999958</v>
      </c>
      <c r="D27" s="219">
        <v>104086340.49999997</v>
      </c>
      <c r="E27" s="240">
        <f t="shared" si="1"/>
        <v>167967357.12999994</v>
      </c>
      <c r="F27" s="219">
        <v>20805509.209999993</v>
      </c>
      <c r="G27" s="219">
        <v>123888263.49999997</v>
      </c>
      <c r="H27" s="220">
        <f t="shared" si="0"/>
        <v>144693772.70999998</v>
      </c>
    </row>
    <row r="28" spans="1:8" ht="15.75">
      <c r="A28" s="108">
        <v>5.4</v>
      </c>
      <c r="B28" s="204" t="s">
        <v>301</v>
      </c>
      <c r="C28" s="219">
        <v>42781666.310000032</v>
      </c>
      <c r="D28" s="219">
        <v>12910113.58</v>
      </c>
      <c r="E28" s="240">
        <f t="shared" si="1"/>
        <v>55691779.89000003</v>
      </c>
      <c r="F28" s="219">
        <v>19658766.769999988</v>
      </c>
      <c r="G28" s="219">
        <v>11749770.080000002</v>
      </c>
      <c r="H28" s="220">
        <f t="shared" si="0"/>
        <v>31408536.84999999</v>
      </c>
    </row>
    <row r="29" spans="1:8" ht="15.75">
      <c r="A29" s="108">
        <v>5.5</v>
      </c>
      <c r="B29" s="204" t="s">
        <v>302</v>
      </c>
      <c r="C29" s="219">
        <v>0</v>
      </c>
      <c r="D29" s="219">
        <v>0</v>
      </c>
      <c r="E29" s="240">
        <f t="shared" si="1"/>
        <v>0</v>
      </c>
      <c r="F29" s="219">
        <v>0</v>
      </c>
      <c r="G29" s="219">
        <v>0</v>
      </c>
      <c r="H29" s="220">
        <f t="shared" si="0"/>
        <v>0</v>
      </c>
    </row>
    <row r="30" spans="1:8" ht="15.75">
      <c r="A30" s="108">
        <v>5.6</v>
      </c>
      <c r="B30" s="204" t="s">
        <v>303</v>
      </c>
      <c r="C30" s="219">
        <v>0</v>
      </c>
      <c r="D30" s="219">
        <v>0</v>
      </c>
      <c r="E30" s="240">
        <f t="shared" si="1"/>
        <v>0</v>
      </c>
      <c r="F30" s="219">
        <v>0</v>
      </c>
      <c r="G30" s="219">
        <v>0</v>
      </c>
      <c r="H30" s="220">
        <f t="shared" si="0"/>
        <v>0</v>
      </c>
    </row>
    <row r="31" spans="1:8" ht="15.75">
      <c r="A31" s="108">
        <v>5.7</v>
      </c>
      <c r="B31" s="204" t="s">
        <v>304</v>
      </c>
      <c r="C31" s="219">
        <v>73950548.830000028</v>
      </c>
      <c r="D31" s="219">
        <v>18765829.43</v>
      </c>
      <c r="E31" s="240">
        <f t="shared" si="1"/>
        <v>92716378.26000002</v>
      </c>
      <c r="F31" s="219">
        <v>68760168.609999999</v>
      </c>
      <c r="G31" s="219">
        <v>12558628.899999999</v>
      </c>
      <c r="H31" s="220">
        <f t="shared" si="0"/>
        <v>81318797.50999999</v>
      </c>
    </row>
    <row r="32" spans="1:8" ht="15.75">
      <c r="A32" s="108">
        <v>6</v>
      </c>
      <c r="B32" s="203" t="s">
        <v>305</v>
      </c>
      <c r="C32" s="219">
        <v>9773100</v>
      </c>
      <c r="D32" s="219">
        <v>108940333.50999999</v>
      </c>
      <c r="E32" s="240">
        <f t="shared" si="1"/>
        <v>118713433.50999999</v>
      </c>
      <c r="F32" s="219">
        <v>13527853.4</v>
      </c>
      <c r="G32" s="219">
        <v>142829073.56</v>
      </c>
      <c r="H32" s="220">
        <f t="shared" si="0"/>
        <v>156356926.96000001</v>
      </c>
    </row>
    <row r="33" spans="1:8" ht="25.5">
      <c r="A33" s="108">
        <v>6.1</v>
      </c>
      <c r="B33" s="204" t="s">
        <v>368</v>
      </c>
      <c r="C33" s="219">
        <v>0</v>
      </c>
      <c r="D33" s="219">
        <v>58921133.509999998</v>
      </c>
      <c r="E33" s="240">
        <f t="shared" si="1"/>
        <v>58921133.509999998</v>
      </c>
      <c r="F33" s="219">
        <v>13527853.4</v>
      </c>
      <c r="G33" s="219">
        <v>64988648.759999998</v>
      </c>
      <c r="H33" s="220">
        <f t="shared" si="0"/>
        <v>78516502.159999996</v>
      </c>
    </row>
    <row r="34" spans="1:8" ht="25.5">
      <c r="A34" s="108">
        <v>6.2</v>
      </c>
      <c r="B34" s="204" t="s">
        <v>306</v>
      </c>
      <c r="C34" s="219">
        <v>9773100</v>
      </c>
      <c r="D34" s="219">
        <v>50019200</v>
      </c>
      <c r="E34" s="240">
        <f t="shared" si="1"/>
        <v>59792300</v>
      </c>
      <c r="F34" s="219">
        <v>0</v>
      </c>
      <c r="G34" s="219">
        <v>77840424.799999997</v>
      </c>
      <c r="H34" s="220">
        <f t="shared" si="0"/>
        <v>77840424.799999997</v>
      </c>
    </row>
    <row r="35" spans="1:8" ht="25.5">
      <c r="A35" s="108">
        <v>6.3</v>
      </c>
      <c r="B35" s="204" t="s">
        <v>307</v>
      </c>
      <c r="C35" s="219">
        <v>0</v>
      </c>
      <c r="D35" s="219">
        <v>0</v>
      </c>
      <c r="E35" s="240">
        <f t="shared" si="1"/>
        <v>0</v>
      </c>
      <c r="F35" s="219">
        <v>0</v>
      </c>
      <c r="G35" s="219">
        <v>0</v>
      </c>
      <c r="H35" s="220">
        <f t="shared" si="0"/>
        <v>0</v>
      </c>
    </row>
    <row r="36" spans="1:8" ht="15.75">
      <c r="A36" s="108">
        <v>6.4</v>
      </c>
      <c r="B36" s="204" t="s">
        <v>308</v>
      </c>
      <c r="C36" s="219">
        <v>0</v>
      </c>
      <c r="D36" s="219">
        <v>0</v>
      </c>
      <c r="E36" s="240">
        <f t="shared" si="1"/>
        <v>0</v>
      </c>
      <c r="F36" s="219">
        <v>0</v>
      </c>
      <c r="G36" s="219">
        <v>0</v>
      </c>
      <c r="H36" s="220">
        <f t="shared" si="0"/>
        <v>0</v>
      </c>
    </row>
    <row r="37" spans="1:8" ht="15.75">
      <c r="A37" s="108">
        <v>6.5</v>
      </c>
      <c r="B37" s="204" t="s">
        <v>309</v>
      </c>
      <c r="C37" s="219">
        <v>0</v>
      </c>
      <c r="D37" s="219">
        <v>0</v>
      </c>
      <c r="E37" s="240">
        <f t="shared" si="1"/>
        <v>0</v>
      </c>
      <c r="F37" s="219">
        <v>0</v>
      </c>
      <c r="G37" s="219">
        <v>0</v>
      </c>
      <c r="H37" s="220">
        <f t="shared" si="0"/>
        <v>0</v>
      </c>
    </row>
    <row r="38" spans="1:8" ht="25.5">
      <c r="A38" s="108">
        <v>6.6</v>
      </c>
      <c r="B38" s="204" t="s">
        <v>310</v>
      </c>
      <c r="C38" s="219">
        <v>0</v>
      </c>
      <c r="D38" s="219">
        <v>0</v>
      </c>
      <c r="E38" s="240">
        <f t="shared" si="1"/>
        <v>0</v>
      </c>
      <c r="F38" s="219">
        <v>0</v>
      </c>
      <c r="G38" s="219">
        <v>0</v>
      </c>
      <c r="H38" s="220">
        <f t="shared" si="0"/>
        <v>0</v>
      </c>
    </row>
    <row r="39" spans="1:8" ht="25.5">
      <c r="A39" s="108">
        <v>6.7</v>
      </c>
      <c r="B39" s="204" t="s">
        <v>311</v>
      </c>
      <c r="C39" s="219">
        <v>0</v>
      </c>
      <c r="D39" s="219">
        <v>0</v>
      </c>
      <c r="E39" s="240">
        <f t="shared" si="1"/>
        <v>0</v>
      </c>
      <c r="F39" s="219">
        <v>0</v>
      </c>
      <c r="G39" s="219">
        <v>0</v>
      </c>
      <c r="H39" s="220">
        <f t="shared" si="0"/>
        <v>0</v>
      </c>
    </row>
    <row r="40" spans="1:8" ht="15.75">
      <c r="A40" s="108">
        <v>7</v>
      </c>
      <c r="B40" s="203" t="s">
        <v>312</v>
      </c>
      <c r="C40" s="219">
        <v>0</v>
      </c>
      <c r="D40" s="219">
        <v>0</v>
      </c>
      <c r="E40" s="240">
        <f t="shared" si="1"/>
        <v>0</v>
      </c>
      <c r="F40" s="219">
        <v>0</v>
      </c>
      <c r="G40" s="219">
        <v>0</v>
      </c>
      <c r="H40" s="220">
        <f t="shared" si="0"/>
        <v>0</v>
      </c>
    </row>
    <row r="41" spans="1:8" ht="25.5">
      <c r="A41" s="108">
        <v>7.1</v>
      </c>
      <c r="B41" s="204" t="s">
        <v>313</v>
      </c>
      <c r="C41" s="219">
        <v>253771.26999999996</v>
      </c>
      <c r="D41" s="219">
        <v>91540.63</v>
      </c>
      <c r="E41" s="240">
        <f t="shared" si="1"/>
        <v>345311.89999999997</v>
      </c>
      <c r="F41" s="219">
        <v>155022.65</v>
      </c>
      <c r="G41" s="219">
        <v>75888.7</v>
      </c>
      <c r="H41" s="220">
        <f t="shared" si="0"/>
        <v>230911.34999999998</v>
      </c>
    </row>
    <row r="42" spans="1:8" ht="25.5">
      <c r="A42" s="108">
        <v>7.2</v>
      </c>
      <c r="B42" s="204" t="s">
        <v>314</v>
      </c>
      <c r="C42" s="219">
        <v>877080.25000000012</v>
      </c>
      <c r="D42" s="219">
        <v>1129417.54</v>
      </c>
      <c r="E42" s="240">
        <f t="shared" si="1"/>
        <v>2006497.79</v>
      </c>
      <c r="F42" s="219">
        <v>698519.24</v>
      </c>
      <c r="G42" s="219">
        <v>1066613.2100000002</v>
      </c>
      <c r="H42" s="220">
        <f t="shared" si="0"/>
        <v>1765132.4500000002</v>
      </c>
    </row>
    <row r="43" spans="1:8" ht="25.5">
      <c r="A43" s="108">
        <v>7.3</v>
      </c>
      <c r="B43" s="204" t="s">
        <v>315</v>
      </c>
      <c r="C43" s="219">
        <v>5233328.510000011</v>
      </c>
      <c r="D43" s="219">
        <v>15773569.170000002</v>
      </c>
      <c r="E43" s="240">
        <f t="shared" si="1"/>
        <v>21006897.680000015</v>
      </c>
      <c r="F43" s="219">
        <v>5771916.76000001</v>
      </c>
      <c r="G43" s="219">
        <v>19017227.91</v>
      </c>
      <c r="H43" s="220">
        <f t="shared" si="0"/>
        <v>24789144.670000009</v>
      </c>
    </row>
    <row r="44" spans="1:8" ht="25.5">
      <c r="A44" s="108">
        <v>7.4</v>
      </c>
      <c r="B44" s="204" t="s">
        <v>316</v>
      </c>
      <c r="C44" s="219">
        <v>8755855.8000000138</v>
      </c>
      <c r="D44" s="219">
        <v>39006112.539999992</v>
      </c>
      <c r="E44" s="240">
        <f t="shared" si="1"/>
        <v>47761968.340000004</v>
      </c>
      <c r="F44" s="219">
        <v>10240039.439999996</v>
      </c>
      <c r="G44" s="219">
        <v>57189038.740000017</v>
      </c>
      <c r="H44" s="220">
        <f t="shared" si="0"/>
        <v>67429078.180000007</v>
      </c>
    </row>
    <row r="45" spans="1:8" ht="15.75">
      <c r="A45" s="108">
        <v>8</v>
      </c>
      <c r="B45" s="203" t="s">
        <v>317</v>
      </c>
      <c r="C45" s="219">
        <v>0</v>
      </c>
      <c r="D45" s="219">
        <v>0</v>
      </c>
      <c r="E45" s="240">
        <f t="shared" si="1"/>
        <v>0</v>
      </c>
      <c r="F45" s="219">
        <v>0</v>
      </c>
      <c r="G45" s="219">
        <v>0</v>
      </c>
      <c r="H45" s="220">
        <f t="shared" si="0"/>
        <v>0</v>
      </c>
    </row>
    <row r="46" spans="1:8" ht="15.75">
      <c r="A46" s="108">
        <v>8.1</v>
      </c>
      <c r="B46" s="204" t="s">
        <v>318</v>
      </c>
      <c r="C46" s="219">
        <v>0</v>
      </c>
      <c r="D46" s="219">
        <v>0</v>
      </c>
      <c r="E46" s="240">
        <f t="shared" si="1"/>
        <v>0</v>
      </c>
      <c r="F46" s="219">
        <v>0</v>
      </c>
      <c r="G46" s="219">
        <v>0</v>
      </c>
      <c r="H46" s="220">
        <f t="shared" si="0"/>
        <v>0</v>
      </c>
    </row>
    <row r="47" spans="1:8" ht="15.75">
      <c r="A47" s="108">
        <v>8.1999999999999993</v>
      </c>
      <c r="B47" s="204" t="s">
        <v>319</v>
      </c>
      <c r="C47" s="219">
        <v>0</v>
      </c>
      <c r="D47" s="219">
        <v>0</v>
      </c>
      <c r="E47" s="240">
        <f t="shared" si="1"/>
        <v>0</v>
      </c>
      <c r="F47" s="219">
        <v>0</v>
      </c>
      <c r="G47" s="219">
        <v>0</v>
      </c>
      <c r="H47" s="220">
        <f t="shared" si="0"/>
        <v>0</v>
      </c>
    </row>
    <row r="48" spans="1:8" ht="15.75">
      <c r="A48" s="108">
        <v>8.3000000000000007</v>
      </c>
      <c r="B48" s="204" t="s">
        <v>320</v>
      </c>
      <c r="C48" s="219">
        <v>0</v>
      </c>
      <c r="D48" s="219">
        <v>0</v>
      </c>
      <c r="E48" s="240">
        <f t="shared" si="1"/>
        <v>0</v>
      </c>
      <c r="F48" s="219">
        <v>0</v>
      </c>
      <c r="G48" s="219">
        <v>0</v>
      </c>
      <c r="H48" s="220">
        <f t="shared" si="0"/>
        <v>0</v>
      </c>
    </row>
    <row r="49" spans="1:8" ht="15.75">
      <c r="A49" s="108">
        <v>8.4</v>
      </c>
      <c r="B49" s="204" t="s">
        <v>321</v>
      </c>
      <c r="C49" s="219">
        <v>0</v>
      </c>
      <c r="D49" s="219">
        <v>0</v>
      </c>
      <c r="E49" s="240">
        <f t="shared" si="1"/>
        <v>0</v>
      </c>
      <c r="F49" s="219">
        <v>0</v>
      </c>
      <c r="G49" s="219">
        <v>0</v>
      </c>
      <c r="H49" s="220">
        <f t="shared" si="0"/>
        <v>0</v>
      </c>
    </row>
    <row r="50" spans="1:8" ht="15.75">
      <c r="A50" s="108">
        <v>8.5</v>
      </c>
      <c r="B50" s="204" t="s">
        <v>322</v>
      </c>
      <c r="C50" s="219">
        <v>0</v>
      </c>
      <c r="D50" s="219">
        <v>0</v>
      </c>
      <c r="E50" s="240">
        <f t="shared" si="1"/>
        <v>0</v>
      </c>
      <c r="F50" s="219">
        <v>0</v>
      </c>
      <c r="G50" s="219">
        <v>0</v>
      </c>
      <c r="H50" s="220">
        <f t="shared" si="0"/>
        <v>0</v>
      </c>
    </row>
    <row r="51" spans="1:8" ht="15.75">
      <c r="A51" s="108">
        <v>8.6</v>
      </c>
      <c r="B51" s="204" t="s">
        <v>323</v>
      </c>
      <c r="C51" s="219">
        <v>0</v>
      </c>
      <c r="D51" s="219">
        <v>0</v>
      </c>
      <c r="E51" s="240">
        <f t="shared" si="1"/>
        <v>0</v>
      </c>
      <c r="F51" s="219">
        <v>0</v>
      </c>
      <c r="G51" s="219">
        <v>0</v>
      </c>
      <c r="H51" s="220">
        <f t="shared" si="0"/>
        <v>0</v>
      </c>
    </row>
    <row r="52" spans="1:8" ht="15.75">
      <c r="A52" s="108">
        <v>8.6999999999999993</v>
      </c>
      <c r="B52" s="204" t="s">
        <v>324</v>
      </c>
      <c r="C52" s="219">
        <v>0</v>
      </c>
      <c r="D52" s="219">
        <v>0</v>
      </c>
      <c r="E52" s="240">
        <f t="shared" si="1"/>
        <v>0</v>
      </c>
      <c r="F52" s="219">
        <v>0</v>
      </c>
      <c r="G52" s="219">
        <v>0</v>
      </c>
      <c r="H52" s="220">
        <f t="shared" si="0"/>
        <v>0</v>
      </c>
    </row>
    <row r="53" spans="1:8" ht="16.5" thickBot="1">
      <c r="A53" s="207">
        <v>9</v>
      </c>
      <c r="B53" s="208" t="s">
        <v>325</v>
      </c>
      <c r="C53" s="241">
        <v>0</v>
      </c>
      <c r="D53" s="241">
        <v>0</v>
      </c>
      <c r="E53" s="242">
        <f t="shared" si="1"/>
        <v>0</v>
      </c>
      <c r="F53" s="241">
        <v>0</v>
      </c>
      <c r="G53" s="241">
        <v>0</v>
      </c>
      <c r="H53" s="226">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G13"/>
    </sheetView>
  </sheetViews>
  <sheetFormatPr defaultColWidth="9.140625" defaultRowHeight="12.75"/>
  <cols>
    <col min="1" max="1" width="9.5703125" style="1" bestFit="1" customWidth="1"/>
    <col min="2" max="2" width="93.5703125" style="1" customWidth="1"/>
    <col min="3" max="4" width="12.7109375" style="1" customWidth="1"/>
    <col min="5" max="7" width="12.140625" style="9" customWidth="1"/>
    <col min="8" max="11" width="9.7109375" style="9" customWidth="1"/>
    <col min="12" max="16384" width="9.140625" style="9"/>
  </cols>
  <sheetData>
    <row r="1" spans="1:7" ht="15">
      <c r="A1" s="14" t="s">
        <v>188</v>
      </c>
      <c r="B1" s="13" t="str">
        <f>Info!C2</f>
        <v>ს.ს. "ტერაბანკი"</v>
      </c>
      <c r="C1" s="13"/>
    </row>
    <row r="2" spans="1:7" ht="15">
      <c r="A2" s="14" t="s">
        <v>189</v>
      </c>
      <c r="B2" s="419">
        <f>'1. key ratios'!B2</f>
        <v>44651</v>
      </c>
      <c r="C2" s="13"/>
    </row>
    <row r="3" spans="1:7" ht="15">
      <c r="A3" s="14"/>
      <c r="B3" s="13"/>
      <c r="C3" s="13"/>
    </row>
    <row r="4" spans="1:7" ht="15" customHeight="1" thickBot="1">
      <c r="A4" s="198" t="s">
        <v>332</v>
      </c>
      <c r="B4" s="199" t="s">
        <v>187</v>
      </c>
      <c r="C4" s="200" t="s">
        <v>93</v>
      </c>
    </row>
    <row r="5" spans="1:7" ht="15" customHeight="1">
      <c r="A5" s="196" t="s">
        <v>26</v>
      </c>
      <c r="B5" s="197"/>
      <c r="C5" s="420" t="str">
        <f>INT((MONTH($B$2))/3)&amp;"Q"&amp;"-"&amp;YEAR($B$2)</f>
        <v>1Q-2022</v>
      </c>
      <c r="D5" s="420" t="str">
        <f>IF(INT(MONTH($B$2))=3, "4"&amp;"Q"&amp;"-"&amp;YEAR($B$2)-1, IF(INT(MONTH($B$2))=6, "1"&amp;"Q"&amp;"-"&amp;YEAR($B$2), IF(INT(MONTH($B$2))=9, "2"&amp;"Q"&amp;"-"&amp;YEAR($B$2),IF(INT(MONTH($B$2))=12, "3"&amp;"Q"&amp;"-"&amp;YEAR($B$2), 0))))</f>
        <v>4Q-2021</v>
      </c>
      <c r="E5" s="420" t="str">
        <f>IF(INT(MONTH($B$2))=3, "3"&amp;"Q"&amp;"-"&amp;YEAR($B$2)-1, IF(INT(MONTH($B$2))=6, "4"&amp;"Q"&amp;"-"&amp;YEAR($B$2)-1, IF(INT(MONTH($B$2))=9, "1"&amp;"Q"&amp;"-"&amp;YEAR($B$2),IF(INT(MONTH($B$2))=12, "2"&amp;"Q"&amp;"-"&amp;YEAR($B$2), 0))))</f>
        <v>3Q-2021</v>
      </c>
      <c r="F5" s="420" t="str">
        <f>IF(INT(MONTH($B$2))=3, "2"&amp;"Q"&amp;"-"&amp;YEAR($B$2)-1, IF(INT(MONTH($B$2))=6, "3"&amp;"Q"&amp;"-"&amp;YEAR($B$2)-1, IF(INT(MONTH($B$2))=9, "4"&amp;"Q"&amp;"-"&amp;YEAR($B$2)-1,IF(INT(MONTH($B$2))=12, "1"&amp;"Q"&amp;"-"&amp;YEAR($B$2), 0))))</f>
        <v>2Q-2021</v>
      </c>
      <c r="G5" s="420" t="str">
        <f>IF(INT(MONTH($B$2))=3, "1"&amp;"Q"&amp;"-"&amp;YEAR($B$2)-1, IF(INT(MONTH($B$2))=6, "2"&amp;"Q"&amp;"-"&amp;YEAR($B$2)-1, IF(INT(MONTH($B$2))=9, "3"&amp;"Q"&amp;"-"&amp;YEAR($B$2)-1,IF(INT(MONTH($B$2))=12, "4"&amp;"Q"&amp;"-"&amp;YEAR($B$2)-1, 0))))</f>
        <v>1Q-2021</v>
      </c>
    </row>
    <row r="6" spans="1:7" ht="15" customHeight="1">
      <c r="A6" s="346">
        <v>1</v>
      </c>
      <c r="B6" s="404" t="s">
        <v>192</v>
      </c>
      <c r="C6" s="347">
        <f>C7+C9+C10</f>
        <v>1032420386.6617638</v>
      </c>
      <c r="D6" s="406">
        <f>D7+D9+D10</f>
        <v>1002728872.2713515</v>
      </c>
      <c r="E6" s="348">
        <f t="shared" ref="E6:G6" si="0">E7+E9+E10</f>
        <v>965651446.33749986</v>
      </c>
      <c r="F6" s="347">
        <f t="shared" si="0"/>
        <v>979824384.03484762</v>
      </c>
      <c r="G6" s="407">
        <f t="shared" si="0"/>
        <v>1008764060.0202504</v>
      </c>
    </row>
    <row r="7" spans="1:7" ht="15" customHeight="1">
      <c r="A7" s="346">
        <v>1.1000000000000001</v>
      </c>
      <c r="B7" s="349" t="s">
        <v>478</v>
      </c>
      <c r="C7" s="350">
        <v>995364395.34226382</v>
      </c>
      <c r="D7" s="408">
        <v>970101006.45685148</v>
      </c>
      <c r="E7" s="350">
        <v>937814523.81499982</v>
      </c>
      <c r="F7" s="350">
        <v>954145441.56349766</v>
      </c>
      <c r="G7" s="409">
        <v>984392231.6705004</v>
      </c>
    </row>
    <row r="8" spans="1:7" ht="25.5">
      <c r="A8" s="346" t="s">
        <v>252</v>
      </c>
      <c r="B8" s="351" t="s">
        <v>326</v>
      </c>
      <c r="C8" s="350">
        <v>0</v>
      </c>
      <c r="D8" s="408">
        <v>0</v>
      </c>
      <c r="E8" s="350">
        <v>0</v>
      </c>
      <c r="F8" s="350">
        <v>0</v>
      </c>
      <c r="G8" s="409">
        <v>0</v>
      </c>
    </row>
    <row r="9" spans="1:7" ht="15" customHeight="1">
      <c r="A9" s="346">
        <v>1.2</v>
      </c>
      <c r="B9" s="349" t="s">
        <v>22</v>
      </c>
      <c r="C9" s="350">
        <v>35860145.319500007</v>
      </c>
      <c r="D9" s="408">
        <v>31278533.144499991</v>
      </c>
      <c r="E9" s="350">
        <v>26111884.892499991</v>
      </c>
      <c r="F9" s="350">
        <v>24338154.86074999</v>
      </c>
      <c r="G9" s="409">
        <v>22815019.853749998</v>
      </c>
    </row>
    <row r="10" spans="1:7" ht="15" customHeight="1">
      <c r="A10" s="346">
        <v>1.3</v>
      </c>
      <c r="B10" s="405" t="s">
        <v>77</v>
      </c>
      <c r="C10" s="350">
        <v>1195846</v>
      </c>
      <c r="D10" s="408">
        <v>1349332.67</v>
      </c>
      <c r="E10" s="350">
        <v>1725037.6300000001</v>
      </c>
      <c r="F10" s="350">
        <v>1340787.6106</v>
      </c>
      <c r="G10" s="409">
        <v>1556808.496</v>
      </c>
    </row>
    <row r="11" spans="1:7" ht="15" customHeight="1">
      <c r="A11" s="346">
        <v>2</v>
      </c>
      <c r="B11" s="404" t="s">
        <v>193</v>
      </c>
      <c r="C11" s="350">
        <v>26979981.020000007</v>
      </c>
      <c r="D11" s="408">
        <v>29520683.129999924</v>
      </c>
      <c r="E11" s="350">
        <v>26498769.699999984</v>
      </c>
      <c r="F11" s="350">
        <v>26502380.349999961</v>
      </c>
      <c r="G11" s="409">
        <v>25453609.059999939</v>
      </c>
    </row>
    <row r="12" spans="1:7" ht="15" customHeight="1">
      <c r="A12" s="346">
        <v>3</v>
      </c>
      <c r="B12" s="404" t="s">
        <v>191</v>
      </c>
      <c r="C12" s="350">
        <v>100082740.24375002</v>
      </c>
      <c r="D12" s="408">
        <v>100082740.24375002</v>
      </c>
      <c r="E12" s="350">
        <v>99313156.550000012</v>
      </c>
      <c r="F12" s="350">
        <v>99313156.550000012</v>
      </c>
      <c r="G12" s="409">
        <v>99313156.550000012</v>
      </c>
    </row>
    <row r="13" spans="1:7" ht="15" customHeight="1" thickBot="1">
      <c r="A13" s="121">
        <v>4</v>
      </c>
      <c r="B13" s="412" t="s">
        <v>253</v>
      </c>
      <c r="C13" s="243">
        <f>C6+C11+C12</f>
        <v>1159483107.9255137</v>
      </c>
      <c r="D13" s="410">
        <f>D6+D11+D12</f>
        <v>1132332295.6451013</v>
      </c>
      <c r="E13" s="244">
        <f t="shared" ref="E13:G13" si="1">E6+E11+E12</f>
        <v>1091463372.5874999</v>
      </c>
      <c r="F13" s="243">
        <f t="shared" si="1"/>
        <v>1105639920.9348476</v>
      </c>
      <c r="G13" s="411">
        <f t="shared" si="1"/>
        <v>1133530825.6302505</v>
      </c>
    </row>
    <row r="14" spans="1:7">
      <c r="B14" s="18"/>
    </row>
    <row r="15" spans="1:7" ht="25.5">
      <c r="B15" s="18" t="s">
        <v>479</v>
      </c>
    </row>
    <row r="16" spans="1:7">
      <c r="B16" s="18"/>
    </row>
    <row r="17" spans="2:2">
      <c r="B17" s="18"/>
    </row>
    <row r="18" spans="2:2">
      <c r="B18"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43"/>
  <sheetViews>
    <sheetView showGridLines="0" zoomScaleNormal="100" workbookViewId="0">
      <pane xSplit="1" ySplit="4" topLeftCell="B5" activePane="bottomRight" state="frozen"/>
      <selection pane="topRight" activeCell="B1" sqref="B1"/>
      <selection pane="bottomLeft" activeCell="A4" sqref="A4"/>
      <selection pane="bottomRight" activeCell="B5" sqref="B5"/>
    </sheetView>
  </sheetViews>
  <sheetFormatPr defaultRowHeight="15"/>
  <cols>
    <col min="1" max="1" width="9.5703125" style="1" bestFit="1" customWidth="1"/>
    <col min="2" max="2" width="74.5703125" style="1" customWidth="1"/>
    <col min="3" max="3" width="34.28515625" style="1" customWidth="1"/>
  </cols>
  <sheetData>
    <row r="1" spans="1:8">
      <c r="A1" s="1" t="s">
        <v>188</v>
      </c>
      <c r="B1" s="1" t="str">
        <f>Info!C2</f>
        <v>ს.ს. "ტერაბანკი"</v>
      </c>
    </row>
    <row r="2" spans="1:8">
      <c r="A2" s="1" t="s">
        <v>189</v>
      </c>
      <c r="B2" s="436">
        <f>'1. key ratios'!B2</f>
        <v>44651</v>
      </c>
    </row>
    <row r="4" spans="1:8" ht="25.5" customHeight="1" thickBot="1">
      <c r="A4" s="209" t="s">
        <v>333</v>
      </c>
      <c r="B4" s="53" t="s">
        <v>149</v>
      </c>
      <c r="C4" s="10"/>
    </row>
    <row r="5" spans="1:8" ht="15.75">
      <c r="A5" s="8"/>
      <c r="B5" s="400" t="s">
        <v>150</v>
      </c>
      <c r="C5" s="417" t="s">
        <v>493</v>
      </c>
    </row>
    <row r="6" spans="1:8">
      <c r="A6" s="11">
        <v>1</v>
      </c>
      <c r="B6" s="54" t="s">
        <v>740</v>
      </c>
      <c r="C6" s="413" t="s">
        <v>744</v>
      </c>
    </row>
    <row r="7" spans="1:8">
      <c r="A7" s="11">
        <v>2</v>
      </c>
      <c r="B7" s="54" t="s">
        <v>745</v>
      </c>
      <c r="C7" s="413" t="s">
        <v>746</v>
      </c>
    </row>
    <row r="8" spans="1:8">
      <c r="A8" s="11">
        <v>3</v>
      </c>
      <c r="B8" s="54" t="s">
        <v>747</v>
      </c>
      <c r="C8" s="413" t="s">
        <v>746</v>
      </c>
    </row>
    <row r="9" spans="1:8">
      <c r="A9" s="11">
        <v>4</v>
      </c>
      <c r="B9" s="54" t="s">
        <v>748</v>
      </c>
      <c r="C9" s="413" t="s">
        <v>749</v>
      </c>
    </row>
    <row r="10" spans="1:8">
      <c r="A10" s="11">
        <v>5</v>
      </c>
      <c r="B10" s="54" t="s">
        <v>750</v>
      </c>
      <c r="C10" s="413" t="s">
        <v>749</v>
      </c>
    </row>
    <row r="11" spans="1:8">
      <c r="A11" s="11">
        <v>6</v>
      </c>
      <c r="B11" s="54" t="s">
        <v>751</v>
      </c>
      <c r="C11" s="413" t="s">
        <v>749</v>
      </c>
    </row>
    <row r="12" spans="1:8">
      <c r="A12" s="11">
        <v>7</v>
      </c>
      <c r="B12" s="54"/>
      <c r="C12" s="413"/>
      <c r="H12" s="2"/>
    </row>
    <row r="13" spans="1:8">
      <c r="A13" s="11">
        <v>8</v>
      </c>
      <c r="B13" s="54"/>
      <c r="C13" s="413"/>
    </row>
    <row r="14" spans="1:8">
      <c r="A14" s="11">
        <v>9</v>
      </c>
      <c r="B14" s="54"/>
      <c r="C14" s="413"/>
    </row>
    <row r="15" spans="1:8">
      <c r="A15" s="11">
        <v>10</v>
      </c>
      <c r="B15" s="54"/>
      <c r="C15" s="413"/>
    </row>
    <row r="16" spans="1:8">
      <c r="A16" s="11"/>
      <c r="B16" s="635"/>
      <c r="C16" s="636"/>
    </row>
    <row r="17" spans="1:3" ht="60">
      <c r="A17" s="11"/>
      <c r="B17" s="401" t="s">
        <v>151</v>
      </c>
      <c r="C17" s="418" t="s">
        <v>494</v>
      </c>
    </row>
    <row r="18" spans="1:3" ht="15.75">
      <c r="A18" s="11">
        <v>1</v>
      </c>
      <c r="B18" s="22" t="s">
        <v>752</v>
      </c>
      <c r="C18" s="415" t="s">
        <v>753</v>
      </c>
    </row>
    <row r="19" spans="1:3" ht="15.75">
      <c r="A19" s="11">
        <v>2</v>
      </c>
      <c r="B19" s="22" t="s">
        <v>754</v>
      </c>
      <c r="C19" s="415" t="s">
        <v>755</v>
      </c>
    </row>
    <row r="20" spans="1:3" ht="15.75">
      <c r="A20" s="11">
        <v>3</v>
      </c>
      <c r="B20" s="22" t="s">
        <v>756</v>
      </c>
      <c r="C20" s="415" t="s">
        <v>757</v>
      </c>
    </row>
    <row r="21" spans="1:3" ht="15.75">
      <c r="A21" s="11">
        <v>4</v>
      </c>
      <c r="B21" s="22" t="s">
        <v>758</v>
      </c>
      <c r="C21" s="415" t="s">
        <v>759</v>
      </c>
    </row>
    <row r="22" spans="1:3" ht="15.75">
      <c r="A22" s="11">
        <v>5</v>
      </c>
      <c r="B22" s="22" t="s">
        <v>760</v>
      </c>
      <c r="C22" s="415" t="s">
        <v>761</v>
      </c>
    </row>
    <row r="23" spans="1:3" ht="15.75">
      <c r="A23" s="11">
        <v>6</v>
      </c>
      <c r="B23" s="22"/>
      <c r="C23" s="415"/>
    </row>
    <row r="24" spans="1:3" ht="15.75">
      <c r="A24" s="11">
        <v>7</v>
      </c>
      <c r="B24" s="22"/>
      <c r="C24" s="415"/>
    </row>
    <row r="25" spans="1:3" ht="15.75">
      <c r="A25" s="11">
        <v>8</v>
      </c>
      <c r="B25" s="22"/>
      <c r="C25" s="415"/>
    </row>
    <row r="26" spans="1:3" ht="15.75">
      <c r="A26" s="11">
        <v>9</v>
      </c>
      <c r="B26" s="22"/>
      <c r="C26" s="415"/>
    </row>
    <row r="27" spans="1:3" ht="15.75" customHeight="1">
      <c r="A27" s="11">
        <v>10</v>
      </c>
      <c r="B27" s="22"/>
      <c r="C27" s="416"/>
    </row>
    <row r="28" spans="1:3" ht="15.75" customHeight="1">
      <c r="A28" s="11"/>
      <c r="B28" s="22"/>
      <c r="C28" s="23"/>
    </row>
    <row r="29" spans="1:3" ht="30" customHeight="1">
      <c r="A29" s="11"/>
      <c r="B29" s="637" t="s">
        <v>152</v>
      </c>
      <c r="C29" s="638"/>
    </row>
    <row r="30" spans="1:3">
      <c r="A30" s="11">
        <v>1</v>
      </c>
      <c r="B30" s="54" t="s">
        <v>740</v>
      </c>
      <c r="C30" s="545">
        <v>0.65</v>
      </c>
    </row>
    <row r="31" spans="1:3">
      <c r="A31" s="540">
        <v>2</v>
      </c>
      <c r="B31" s="541" t="s">
        <v>762</v>
      </c>
      <c r="C31" s="545">
        <v>0.15</v>
      </c>
    </row>
    <row r="32" spans="1:3">
      <c r="A32" s="540">
        <v>3</v>
      </c>
      <c r="B32" s="541" t="s">
        <v>763</v>
      </c>
      <c r="C32" s="545">
        <v>0.15</v>
      </c>
    </row>
    <row r="33" spans="1:3">
      <c r="A33" s="540">
        <v>4</v>
      </c>
      <c r="B33" s="541" t="s">
        <v>764</v>
      </c>
      <c r="C33" s="545">
        <v>0.05</v>
      </c>
    </row>
    <row r="34" spans="1:3">
      <c r="A34" s="540"/>
      <c r="B34" s="541"/>
      <c r="C34" s="55"/>
    </row>
    <row r="35" spans="1:3">
      <c r="A35" s="540"/>
      <c r="B35" s="541"/>
      <c r="C35" s="55"/>
    </row>
    <row r="36" spans="1:3" ht="15.75" customHeight="1">
      <c r="A36" s="11"/>
      <c r="B36" s="54"/>
      <c r="C36" s="55"/>
    </row>
    <row r="37" spans="1:3" ht="29.25" customHeight="1">
      <c r="A37" s="11"/>
      <c r="B37" s="637" t="s">
        <v>273</v>
      </c>
      <c r="C37" s="638"/>
    </row>
    <row r="38" spans="1:3">
      <c r="A38" s="11">
        <v>1</v>
      </c>
      <c r="B38" s="54" t="s">
        <v>740</v>
      </c>
      <c r="C38" s="546">
        <v>0.65</v>
      </c>
    </row>
    <row r="39" spans="1:3">
      <c r="A39" s="542">
        <v>2</v>
      </c>
      <c r="B39" s="543" t="s">
        <v>762</v>
      </c>
      <c r="C39" s="547">
        <v>0.15</v>
      </c>
    </row>
    <row r="40" spans="1:3">
      <c r="A40" s="542">
        <v>3</v>
      </c>
      <c r="B40" s="543" t="s">
        <v>763</v>
      </c>
      <c r="C40" s="547">
        <v>0.15</v>
      </c>
    </row>
    <row r="41" spans="1:3">
      <c r="A41" s="542">
        <v>4</v>
      </c>
      <c r="B41" s="543" t="s">
        <v>764</v>
      </c>
      <c r="C41" s="547">
        <v>0.05</v>
      </c>
    </row>
    <row r="42" spans="1:3">
      <c r="A42" s="542"/>
      <c r="B42" s="543"/>
      <c r="C42" s="544"/>
    </row>
    <row r="43" spans="1:3" ht="16.5" thickBot="1">
      <c r="A43" s="12"/>
      <c r="B43" s="56"/>
      <c r="C43" s="414"/>
    </row>
  </sheetData>
  <mergeCells count="3">
    <mergeCell ref="B16:C16"/>
    <mergeCell ref="B37:C37"/>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85" zoomScaleNormal="85"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5" ht="15.75">
      <c r="A1" s="14" t="s">
        <v>188</v>
      </c>
      <c r="B1" s="13" t="str">
        <f>Info!C2</f>
        <v>ს.ს. "ტერაბანკი"</v>
      </c>
    </row>
    <row r="2" spans="1:5" s="14" customFormat="1" ht="15.75" customHeight="1">
      <c r="A2" s="14" t="s">
        <v>189</v>
      </c>
      <c r="B2" s="436">
        <f>'1. key ratios'!B2</f>
        <v>44651</v>
      </c>
    </row>
    <row r="3" spans="1:5" s="14" customFormat="1" ht="15.75" customHeight="1"/>
    <row r="4" spans="1:5" s="14" customFormat="1" ht="15.75" customHeight="1" thickBot="1">
      <c r="A4" s="210" t="s">
        <v>334</v>
      </c>
      <c r="B4" s="211" t="s">
        <v>263</v>
      </c>
      <c r="C4" s="175"/>
      <c r="D4" s="175"/>
      <c r="E4" s="176" t="s">
        <v>93</v>
      </c>
    </row>
    <row r="5" spans="1:5" s="109" customFormat="1" ht="17.45" customHeight="1">
      <c r="A5" s="317"/>
      <c r="B5" s="318"/>
      <c r="C5" s="174" t="s">
        <v>0</v>
      </c>
      <c r="D5" s="174" t="s">
        <v>1</v>
      </c>
      <c r="E5" s="319" t="s">
        <v>2</v>
      </c>
    </row>
    <row r="6" spans="1:5" ht="14.45" customHeight="1">
      <c r="A6" s="320"/>
      <c r="B6" s="639" t="s">
        <v>231</v>
      </c>
      <c r="C6" s="639" t="s">
        <v>230</v>
      </c>
      <c r="D6" s="640" t="s">
        <v>229</v>
      </c>
      <c r="E6" s="641"/>
    </row>
    <row r="7" spans="1:5" ht="99.6" customHeight="1">
      <c r="A7" s="320"/>
      <c r="B7" s="639"/>
      <c r="C7" s="639"/>
      <c r="D7" s="315" t="s">
        <v>228</v>
      </c>
      <c r="E7" s="316" t="s">
        <v>396</v>
      </c>
    </row>
    <row r="8" spans="1:5">
      <c r="A8" s="321">
        <v>1</v>
      </c>
      <c r="B8" s="322" t="s">
        <v>154</v>
      </c>
      <c r="C8" s="323">
        <v>38869584.420000002</v>
      </c>
      <c r="D8" s="323">
        <v>0</v>
      </c>
      <c r="E8" s="324">
        <v>38869584.420000002</v>
      </c>
    </row>
    <row r="9" spans="1:5">
      <c r="A9" s="321">
        <v>2</v>
      </c>
      <c r="B9" s="322" t="s">
        <v>155</v>
      </c>
      <c r="C9" s="323">
        <v>144300012.23000002</v>
      </c>
      <c r="D9" s="323">
        <v>0</v>
      </c>
      <c r="E9" s="324">
        <v>144300012.23000002</v>
      </c>
    </row>
    <row r="10" spans="1:5">
      <c r="A10" s="321">
        <v>3</v>
      </c>
      <c r="B10" s="322" t="s">
        <v>227</v>
      </c>
      <c r="C10" s="323">
        <v>11157382.6</v>
      </c>
      <c r="D10" s="323">
        <v>0</v>
      </c>
      <c r="E10" s="324">
        <v>11157382.6</v>
      </c>
    </row>
    <row r="11" spans="1:5">
      <c r="A11" s="321">
        <v>4</v>
      </c>
      <c r="B11" s="322" t="s">
        <v>185</v>
      </c>
      <c r="C11" s="323">
        <v>0</v>
      </c>
      <c r="D11" s="323">
        <v>0</v>
      </c>
      <c r="E11" s="324">
        <v>0</v>
      </c>
    </row>
    <row r="12" spans="1:5">
      <c r="A12" s="321">
        <v>5</v>
      </c>
      <c r="B12" s="322" t="s">
        <v>157</v>
      </c>
      <c r="C12" s="323">
        <v>152627685.78</v>
      </c>
      <c r="D12" s="323">
        <v>0</v>
      </c>
      <c r="E12" s="324">
        <v>152627685.78</v>
      </c>
    </row>
    <row r="13" spans="1:5">
      <c r="A13" s="321">
        <v>6.1</v>
      </c>
      <c r="B13" s="322" t="s">
        <v>158</v>
      </c>
      <c r="C13" s="325">
        <v>1001625239.629997</v>
      </c>
      <c r="D13" s="323">
        <v>0</v>
      </c>
      <c r="E13" s="324">
        <v>1001625239.629997</v>
      </c>
    </row>
    <row r="14" spans="1:5">
      <c r="A14" s="321">
        <v>6.2</v>
      </c>
      <c r="B14" s="326" t="s">
        <v>159</v>
      </c>
      <c r="C14" s="325">
        <v>49138707.470000327</v>
      </c>
      <c r="D14" s="323">
        <v>0</v>
      </c>
      <c r="E14" s="324">
        <v>49138707.470000327</v>
      </c>
    </row>
    <row r="15" spans="1:5">
      <c r="A15" s="321">
        <v>6</v>
      </c>
      <c r="B15" s="322" t="s">
        <v>226</v>
      </c>
      <c r="C15" s="323">
        <v>952486532.15999675</v>
      </c>
      <c r="D15" s="323">
        <v>0</v>
      </c>
      <c r="E15" s="324">
        <v>952486532.15999675</v>
      </c>
    </row>
    <row r="16" spans="1:5">
      <c r="A16" s="321">
        <v>7</v>
      </c>
      <c r="B16" s="322" t="s">
        <v>161</v>
      </c>
      <c r="C16" s="323">
        <v>9784744.6700000353</v>
      </c>
      <c r="D16" s="323">
        <v>0</v>
      </c>
      <c r="E16" s="324">
        <v>9784744.6700000353</v>
      </c>
    </row>
    <row r="17" spans="1:7">
      <c r="A17" s="321">
        <v>8</v>
      </c>
      <c r="B17" s="322" t="s">
        <v>162</v>
      </c>
      <c r="C17" s="323">
        <v>3854055.8799999952</v>
      </c>
      <c r="D17" s="323">
        <v>0</v>
      </c>
      <c r="E17" s="324">
        <v>3854055.8799999952</v>
      </c>
      <c r="F17" s="3"/>
      <c r="G17" s="3"/>
    </row>
    <row r="18" spans="1:7">
      <c r="A18" s="321">
        <v>9</v>
      </c>
      <c r="B18" s="322" t="s">
        <v>163</v>
      </c>
      <c r="C18" s="323">
        <v>0</v>
      </c>
      <c r="D18" s="323">
        <v>0</v>
      </c>
      <c r="E18" s="324">
        <v>0</v>
      </c>
      <c r="G18" s="3"/>
    </row>
    <row r="19" spans="1:7" ht="25.5">
      <c r="A19" s="321">
        <v>10</v>
      </c>
      <c r="B19" s="322" t="s">
        <v>164</v>
      </c>
      <c r="C19" s="323">
        <v>45191619.210000031</v>
      </c>
      <c r="D19" s="323">
        <v>23083279</v>
      </c>
      <c r="E19" s="324">
        <v>22108340.210000031</v>
      </c>
      <c r="G19" s="3"/>
    </row>
    <row r="20" spans="1:7">
      <c r="A20" s="321">
        <v>11</v>
      </c>
      <c r="B20" s="322" t="s">
        <v>165</v>
      </c>
      <c r="C20" s="323">
        <v>13765497.494999999</v>
      </c>
      <c r="D20" s="323">
        <v>0</v>
      </c>
      <c r="E20" s="324">
        <v>13765497.494999999</v>
      </c>
    </row>
    <row r="21" spans="1:7" ht="39" thickBot="1">
      <c r="A21" s="327"/>
      <c r="B21" s="328" t="s">
        <v>369</v>
      </c>
      <c r="C21" s="281">
        <f>SUM(C8:C12, C15:C20)</f>
        <v>1372037114.4449968</v>
      </c>
      <c r="D21" s="281">
        <f>SUM(D8:D12, D15:D20)</f>
        <v>23083279</v>
      </c>
      <c r="E21" s="329">
        <f>SUM(E8:E12, E15:E20)</f>
        <v>1348953835.4449968</v>
      </c>
    </row>
    <row r="22" spans="1:7">
      <c r="A22"/>
      <c r="B22"/>
      <c r="C22"/>
      <c r="D22"/>
      <c r="E22"/>
    </row>
    <row r="23" spans="1:7">
      <c r="A23"/>
      <c r="B23"/>
      <c r="C23"/>
      <c r="D23"/>
      <c r="E23"/>
    </row>
    <row r="25" spans="1:7" s="1" customFormat="1">
      <c r="B25" s="58"/>
      <c r="F25"/>
      <c r="G25"/>
    </row>
    <row r="26" spans="1:7" s="1" customFormat="1">
      <c r="B26" s="59"/>
      <c r="F26"/>
      <c r="G26"/>
    </row>
    <row r="27" spans="1:7" s="1" customFormat="1">
      <c r="B27" s="58"/>
      <c r="F27"/>
      <c r="G27"/>
    </row>
    <row r="28" spans="1:7" s="1" customFormat="1">
      <c r="B28" s="58"/>
      <c r="F28"/>
      <c r="G28"/>
    </row>
    <row r="29" spans="1:7" s="1" customFormat="1">
      <c r="B29" s="58"/>
      <c r="F29"/>
      <c r="G29"/>
    </row>
    <row r="30" spans="1:7" s="1" customFormat="1">
      <c r="B30" s="58"/>
      <c r="F30"/>
      <c r="G30"/>
    </row>
    <row r="31" spans="1:7" s="1" customFormat="1">
      <c r="B31" s="58"/>
      <c r="F31"/>
      <c r="G31"/>
    </row>
    <row r="32" spans="1:7" s="1" customFormat="1">
      <c r="B32" s="59"/>
      <c r="F32"/>
      <c r="G32"/>
    </row>
    <row r="33" spans="2:7" s="1" customFormat="1">
      <c r="B33" s="59"/>
      <c r="F33"/>
      <c r="G33"/>
    </row>
    <row r="34" spans="2:7" s="1" customFormat="1">
      <c r="B34" s="59"/>
      <c r="F34"/>
      <c r="G34"/>
    </row>
    <row r="35" spans="2:7" s="1" customFormat="1">
      <c r="B35" s="59"/>
      <c r="F35"/>
      <c r="G35"/>
    </row>
    <row r="36" spans="2:7" s="1" customFormat="1">
      <c r="B36" s="59"/>
      <c r="F36"/>
      <c r="G36"/>
    </row>
    <row r="37" spans="2:7" s="1" customFormat="1">
      <c r="B37" s="5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tr">
        <f>Info!C2</f>
        <v>ს.ს. "ტერაბანკი"</v>
      </c>
    </row>
    <row r="2" spans="1:6" s="14" customFormat="1" ht="15.75" customHeight="1">
      <c r="A2" s="14" t="s">
        <v>189</v>
      </c>
      <c r="B2" s="436">
        <f>'1. key ratios'!B2</f>
        <v>44651</v>
      </c>
      <c r="C2"/>
      <c r="D2"/>
      <c r="E2"/>
      <c r="F2"/>
    </row>
    <row r="3" spans="1:6" s="14" customFormat="1" ht="15.75" customHeight="1">
      <c r="C3"/>
      <c r="D3"/>
      <c r="E3"/>
      <c r="F3"/>
    </row>
    <row r="4" spans="1:6" s="14" customFormat="1" ht="26.25" thickBot="1">
      <c r="A4" s="14" t="s">
        <v>335</v>
      </c>
      <c r="B4" s="182" t="s">
        <v>266</v>
      </c>
      <c r="C4" s="176" t="s">
        <v>93</v>
      </c>
      <c r="D4"/>
      <c r="E4"/>
      <c r="F4"/>
    </row>
    <row r="5" spans="1:6" ht="26.25">
      <c r="A5" s="177">
        <v>1</v>
      </c>
      <c r="B5" s="178" t="s">
        <v>342</v>
      </c>
      <c r="C5" s="245">
        <f>'7. LI1'!E21</f>
        <v>1348953835.4449968</v>
      </c>
    </row>
    <row r="6" spans="1:6">
      <c r="A6" s="108">
        <v>2.1</v>
      </c>
      <c r="B6" s="184" t="s">
        <v>267</v>
      </c>
      <c r="C6" s="246">
        <v>82499632.159999967</v>
      </c>
    </row>
    <row r="7" spans="1:6" s="2" customFormat="1" ht="25.5" outlineLevel="1">
      <c r="A7" s="183">
        <v>2.2000000000000002</v>
      </c>
      <c r="B7" s="179" t="s">
        <v>268</v>
      </c>
      <c r="C7" s="247">
        <v>86251881.5</v>
      </c>
    </row>
    <row r="8" spans="1:6" s="2" customFormat="1" ht="26.25">
      <c r="A8" s="183">
        <v>3</v>
      </c>
      <c r="B8" s="180" t="s">
        <v>343</v>
      </c>
      <c r="C8" s="248">
        <f>SUM(C5:C7)</f>
        <v>1517705349.1049967</v>
      </c>
    </row>
    <row r="9" spans="1:6">
      <c r="A9" s="108">
        <v>4</v>
      </c>
      <c r="B9" s="187" t="s">
        <v>264</v>
      </c>
      <c r="C9" s="246">
        <v>16776000.310000015</v>
      </c>
    </row>
    <row r="10" spans="1:6" s="2" customFormat="1" ht="25.5" outlineLevel="1">
      <c r="A10" s="183">
        <v>5.0999999999999996</v>
      </c>
      <c r="B10" s="179" t="s">
        <v>274</v>
      </c>
      <c r="C10" s="247">
        <v>-33423803.933000006</v>
      </c>
    </row>
    <row r="11" spans="1:6" s="2" customFormat="1" ht="25.5" outlineLevel="1">
      <c r="A11" s="183">
        <v>5.2</v>
      </c>
      <c r="B11" s="179" t="s">
        <v>275</v>
      </c>
      <c r="C11" s="247">
        <v>-85056035.5</v>
      </c>
    </row>
    <row r="12" spans="1:6" s="2" customFormat="1">
      <c r="A12" s="183">
        <v>6</v>
      </c>
      <c r="B12" s="185" t="s">
        <v>480</v>
      </c>
      <c r="C12" s="247">
        <v>0</v>
      </c>
    </row>
    <row r="13" spans="1:6" s="2" customFormat="1" ht="15.75" thickBot="1">
      <c r="A13" s="186">
        <v>7</v>
      </c>
      <c r="B13" s="181" t="s">
        <v>265</v>
      </c>
      <c r="C13" s="249">
        <f>SUM(C8:C12)</f>
        <v>1416001509.9819965</v>
      </c>
    </row>
    <row r="15" spans="1:6" ht="26.25">
      <c r="B15" s="18" t="s">
        <v>481</v>
      </c>
    </row>
    <row r="17" spans="2:9" s="1" customFormat="1">
      <c r="B17" s="60"/>
      <c r="C17"/>
      <c r="D17"/>
      <c r="E17"/>
      <c r="F17"/>
      <c r="G17"/>
      <c r="H17"/>
      <c r="I17"/>
    </row>
    <row r="18" spans="2:9" s="1" customFormat="1">
      <c r="B18" s="57"/>
      <c r="C18"/>
      <c r="D18"/>
      <c r="E18"/>
      <c r="F18"/>
      <c r="G18"/>
      <c r="H18"/>
      <c r="I18"/>
    </row>
    <row r="19" spans="2:9" s="1" customFormat="1">
      <c r="B19" s="57"/>
      <c r="C19"/>
      <c r="D19"/>
      <c r="E19"/>
      <c r="F19"/>
      <c r="G19"/>
      <c r="H19"/>
      <c r="I19"/>
    </row>
    <row r="20" spans="2:9" s="1" customFormat="1">
      <c r="B20" s="59"/>
      <c r="C20"/>
      <c r="D20"/>
      <c r="E20"/>
      <c r="F20"/>
      <c r="G20"/>
      <c r="H20"/>
      <c r="I20"/>
    </row>
    <row r="21" spans="2:9" s="1" customFormat="1">
      <c r="B21" s="58"/>
      <c r="C21"/>
      <c r="D21"/>
      <c r="E21"/>
      <c r="F21"/>
      <c r="G21"/>
      <c r="H21"/>
      <c r="I21"/>
    </row>
    <row r="22" spans="2:9" s="1" customFormat="1">
      <c r="B22" s="59"/>
      <c r="C22"/>
      <c r="D22"/>
      <c r="E22"/>
      <c r="F22"/>
      <c r="G22"/>
      <c r="H22"/>
      <c r="I22"/>
    </row>
    <row r="23" spans="2:9" s="1" customFormat="1">
      <c r="B23" s="58"/>
      <c r="C23"/>
      <c r="D23"/>
      <c r="E23"/>
      <c r="F23"/>
      <c r="G23"/>
      <c r="H23"/>
      <c r="I23"/>
    </row>
    <row r="24" spans="2:9" s="1" customFormat="1">
      <c r="B24" s="58"/>
      <c r="C24"/>
      <c r="D24"/>
      <c r="E24"/>
      <c r="F24"/>
      <c r="G24"/>
      <c r="H24"/>
      <c r="I24"/>
    </row>
    <row r="25" spans="2:9" s="1" customFormat="1">
      <c r="B25" s="58"/>
      <c r="C25"/>
      <c r="D25"/>
      <c r="E25"/>
      <c r="F25"/>
      <c r="G25"/>
      <c r="H25"/>
      <c r="I25"/>
    </row>
    <row r="26" spans="2:9" s="1" customFormat="1">
      <c r="B26" s="58"/>
      <c r="C26"/>
      <c r="D26"/>
      <c r="E26"/>
      <c r="F26"/>
      <c r="G26"/>
      <c r="H26"/>
      <c r="I26"/>
    </row>
    <row r="27" spans="2:9" s="1" customFormat="1">
      <c r="B27" s="58"/>
      <c r="C27"/>
      <c r="D27"/>
      <c r="E27"/>
      <c r="F27"/>
      <c r="G27"/>
      <c r="H27"/>
      <c r="I27"/>
    </row>
    <row r="28" spans="2:9" s="1" customFormat="1">
      <c r="B28" s="59"/>
      <c r="C28"/>
      <c r="D28"/>
      <c r="E28"/>
      <c r="F28"/>
      <c r="G28"/>
      <c r="H28"/>
      <c r="I28"/>
    </row>
    <row r="29" spans="2:9" s="1" customFormat="1">
      <c r="B29" s="59"/>
      <c r="C29"/>
      <c r="D29"/>
      <c r="E29"/>
      <c r="F29"/>
      <c r="G29"/>
      <c r="H29"/>
      <c r="I29"/>
    </row>
    <row r="30" spans="2:9" s="1" customFormat="1">
      <c r="B30" s="59"/>
      <c r="C30"/>
      <c r="D30"/>
      <c r="E30"/>
      <c r="F30"/>
      <c r="G30"/>
      <c r="H30"/>
      <c r="I30"/>
    </row>
    <row r="31" spans="2:9" s="1" customFormat="1">
      <c r="B31" s="59"/>
      <c r="C31"/>
      <c r="D31"/>
      <c r="E31"/>
      <c r="F31"/>
      <c r="G31"/>
      <c r="H31"/>
      <c r="I31"/>
    </row>
    <row r="32" spans="2:9" s="1" customFormat="1">
      <c r="B32" s="59"/>
      <c r="C32"/>
      <c r="D32"/>
      <c r="E32"/>
      <c r="F32"/>
      <c r="G32"/>
      <c r="H32"/>
      <c r="I32"/>
    </row>
    <row r="33" spans="2:9" s="1" customFormat="1">
      <c r="B33" s="5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R3rsAmlq/BdM4q3oNUOxck8yEJkvI62aNjS4jdIV+RI=</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87YLgA1xRi21xtkuuZkJLqYzBFKuCiOl9FNn91q+5Us=</DigestValue>
    </Reference>
  </SignedInfo>
  <SignatureValue>xMB3ymMFyTxvbC0BLmUvEoJv3UxibPkXZGL2CObSoZ3ebOYhmHHP8rdvS1FZNAgJ9xnT3LacdEjA
J8K1ShA3aK6IgNivdIthKreUR3yKSh60MKlwFZc+38w2xBIKJBZiwZpRJCZ2Q7atGEK/VG5NCocp
p4dZTXqcxDg0du/Mf7XvOfhqFs+U04SLCbIG9ALPynKXXzw6KHgGs7f1ZDE7BZZhCNQRuKL3vrsO
2uwO2rG/ah40aW7zPUHAtuP/OLA1/8qpDxLidLx1ctral1z+AV5esCJmuE1OVfFihIcRGI/pDQA6
7ZqttW4Ir8rCRC9S54FbTJtPTzC1oiQ+53YhTQ==</SignatureValue>
  <KeyInfo>
    <X509Data>
      <X509Certificate>MIIGOzCCBSOgAwIBAgIKI5XzjAADAAHzYTANBgkqhkiG9w0BAQsFADBKMRIwEAYKCZImiZPyLGQBGRYCZ2UxEzARBgoJkiaJk/IsZAEZFgNuYmcxHzAdBgNVBAMTFk5CRyBDbGFzcyAyIElOVCBTdWIgQ0EwHhcNMjExMDI5MDcyMzQ0WhcNMjMxMDI5MDcyMzQ0WjA5MRUwEwYDVQQKEwxKU0MgVEVSQUJBTksxIDAeBgNVBAMTF0JLUyAtIEFuYSBTaGFyYXNoZW5pZHplMIIBIjANBgkqhkiG9w0BAQEFAAOCAQ8AMIIBCgKCAQEA61co4iFyPv9K9F47eh7qX/+bcuwfudeg5dncGFmp7MtY6X2MA1c0a02sqUo2y4EFl9CwuniEFUTdKCUPYQYwYtN+y5Y9HaXADTe7CUAml4VaItXPkea58+h8DEaUCWJhjy8aKIzC8pPYPLjUJiC9/XAXwoT6tqNPKcfQJNdOdsuzkXqeZqVpKMAuZogapiNxRT89PYqPAUINSS+M40I5bOjoP0q7LuoWj3lBpb4x2wtBMgMh6TXplrU8i1I9EM0VTBWPtSr2q78j0QO5LR7B2JhfCVaB8WTtRvvCtSmMbx7vMvESOwjdicVZe1J4VCeUpnmOksc6qnzJ2obQlhfl3wIDAQABo4IDMjCCAy4wPAYJKwYBBAGCNxUHBC8wLQYlKwYBBAGCNxUI5rJgg431RIaBmQmDuKFKg76EcQSDxJEzhIOIXQIBZAIBIzAdBgNVHSUEFjAUBggrBgEFBQcDAgYIKwYBBQUHAwQwCwYDVR0PBAQDAgeAMCcGCSsGAQQBgjcVCgQaMBgwCgYIKwYBBQUHAwIwCgYIKwYBBQUHAwQwHQYDVR0OBBYEFDdq6fIfzsaEjQX7yL2FvwEFeTUM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IR+N3qfgi6y8i54Bal70rBx/MSX3RSbAyt8Up0o80qaTrk6oLUTNAWkTBopIO0mj5HwVj0yJiLFkxShP/IxFiHB8b5deT1JMjRUDAlNZxNAvwQbPq0QvX/tewmoRYoCA5wcpM59utkFdvPHbziEaI2JIo/pY1YvQ1TbECqeBEL7pdvZz4bR0AdPqX3sbDut5+h7X1PIf8eSNcVnDL8XDBcnKxJVWaY4eKi4zDEM3GcPeXWVXWX4GbhfONH+4pRuT/B7BttNVY5pWywfeLYlXvKvHk8bge6RqCXKSEZf6+lwzw7dNjYeowN7zqKbvfvcNa7/NU8SDXHwGSAHSxeO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k/F6HUAwqS8cqOFrc6W0vC4sU/ddZDMFjQy2Au/gru8=</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fczT5Q1s3tPfqoxXjepWsKyxZiMgU5EXU6mwBcB7678=</DigestValue>
      </Reference>
      <Reference URI="/xl/styles.xml?ContentType=application/vnd.openxmlformats-officedocument.spreadsheetml.styles+xml">
        <DigestMethod Algorithm="http://www.w3.org/2001/04/xmlenc#sha256"/>
        <DigestValue>JXamooE3qNpm1WIXDcfGpGFiK1stGc1jXpFFYDjeZgg=</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7N2BULtc/K7oNh2r+fhTjOLXc3Kf1F8PPQn+fC9vb4k=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LM31MAcerw9q2SrSNox8S7uAS7ZcTUtExBO356SHFMo=</DigestValue>
      </Reference>
      <Reference URI="/xl/worksheets/sheet10.xml?ContentType=application/vnd.openxmlformats-officedocument.spreadsheetml.worksheet+xml">
        <DigestMethod Algorithm="http://www.w3.org/2001/04/xmlenc#sha256"/>
        <DigestValue>NU8/wwYshlJoIQ82EAwEp7SIthoAqElgX534yabD6m0=</DigestValue>
      </Reference>
      <Reference URI="/xl/worksheets/sheet11.xml?ContentType=application/vnd.openxmlformats-officedocument.spreadsheetml.worksheet+xml">
        <DigestMethod Algorithm="http://www.w3.org/2001/04/xmlenc#sha256"/>
        <DigestValue>oTEbaIp99w0w/OmlYeoa1rAPgCK2URnXkFZ8j6PfB68=</DigestValue>
      </Reference>
      <Reference URI="/xl/worksheets/sheet12.xml?ContentType=application/vnd.openxmlformats-officedocument.spreadsheetml.worksheet+xml">
        <DigestMethod Algorithm="http://www.w3.org/2001/04/xmlenc#sha256"/>
        <DigestValue>wGDLMVsWKQlqLKg/SyJYF1WEg+FRIE0q0tUErF3zLMs=</DigestValue>
      </Reference>
      <Reference URI="/xl/worksheets/sheet13.xml?ContentType=application/vnd.openxmlformats-officedocument.spreadsheetml.worksheet+xml">
        <DigestMethod Algorithm="http://www.w3.org/2001/04/xmlenc#sha256"/>
        <DigestValue>4MIKdkavCnlbXij14Cw6Ply3JnkAw2XOJvbmXfyeRe0=</DigestValue>
      </Reference>
      <Reference URI="/xl/worksheets/sheet14.xml?ContentType=application/vnd.openxmlformats-officedocument.spreadsheetml.worksheet+xml">
        <DigestMethod Algorithm="http://www.w3.org/2001/04/xmlenc#sha256"/>
        <DigestValue>SH2D7nB0Zew/KO/5WE1l3vaU/WYKsFxY4Vw1dpSgago=</DigestValue>
      </Reference>
      <Reference URI="/xl/worksheets/sheet15.xml?ContentType=application/vnd.openxmlformats-officedocument.spreadsheetml.worksheet+xml">
        <DigestMethod Algorithm="http://www.w3.org/2001/04/xmlenc#sha256"/>
        <DigestValue>v4S7QxGrDCvDAu7kPtfj9fCrA9XvAbS2miQyVsa6k4E=</DigestValue>
      </Reference>
      <Reference URI="/xl/worksheets/sheet16.xml?ContentType=application/vnd.openxmlformats-officedocument.spreadsheetml.worksheet+xml">
        <DigestMethod Algorithm="http://www.w3.org/2001/04/xmlenc#sha256"/>
        <DigestValue>eTrXx/NCNCNrhb51jc2mfnBDzFK03xeFmOCsb15en7Q=</DigestValue>
      </Reference>
      <Reference URI="/xl/worksheets/sheet17.xml?ContentType=application/vnd.openxmlformats-officedocument.spreadsheetml.worksheet+xml">
        <DigestMethod Algorithm="http://www.w3.org/2001/04/xmlenc#sha256"/>
        <DigestValue>1rnyGNu/4M7akHqGZLd5NLKPeof3coMyGSntXf2yGXc=</DigestValue>
      </Reference>
      <Reference URI="/xl/worksheets/sheet18.xml?ContentType=application/vnd.openxmlformats-officedocument.spreadsheetml.worksheet+xml">
        <DigestMethod Algorithm="http://www.w3.org/2001/04/xmlenc#sha256"/>
        <DigestValue>ckMdW6997CPUV3xr+9g4S//zj4VSR+VJUUJbdV9Fwo4=</DigestValue>
      </Reference>
      <Reference URI="/xl/worksheets/sheet19.xml?ContentType=application/vnd.openxmlformats-officedocument.spreadsheetml.worksheet+xml">
        <DigestMethod Algorithm="http://www.w3.org/2001/04/xmlenc#sha256"/>
        <DigestValue>1layAC9/chileK3VC9nyc8uSzCPyxAkJRX8smGht4Lw=</DigestValue>
      </Reference>
      <Reference URI="/xl/worksheets/sheet2.xml?ContentType=application/vnd.openxmlformats-officedocument.spreadsheetml.worksheet+xml">
        <DigestMethod Algorithm="http://www.w3.org/2001/04/xmlenc#sha256"/>
        <DigestValue>qOjGGPwVHwtgZA9FT0lsdxAW1Cc2UaXZLglfHOZAW6s=</DigestValue>
      </Reference>
      <Reference URI="/xl/worksheets/sheet20.xml?ContentType=application/vnd.openxmlformats-officedocument.spreadsheetml.worksheet+xml">
        <DigestMethod Algorithm="http://www.w3.org/2001/04/xmlenc#sha256"/>
        <DigestValue>zQ5OuMMQE1paagYBSqulCcBF8Cd4evJKJti+5vbKwDk=</DigestValue>
      </Reference>
      <Reference URI="/xl/worksheets/sheet21.xml?ContentType=application/vnd.openxmlformats-officedocument.spreadsheetml.worksheet+xml">
        <DigestMethod Algorithm="http://www.w3.org/2001/04/xmlenc#sha256"/>
        <DigestValue>YJpjKaKvgSm+mHayY4Kezv4Sl1w2W8YtBEgc5eSnBYo=</DigestValue>
      </Reference>
      <Reference URI="/xl/worksheets/sheet22.xml?ContentType=application/vnd.openxmlformats-officedocument.spreadsheetml.worksheet+xml">
        <DigestMethod Algorithm="http://www.w3.org/2001/04/xmlenc#sha256"/>
        <DigestValue>I1PQ57PqXuDlSWDcF8ichycPoSp2fSfjlTC9KisgUp8=</DigestValue>
      </Reference>
      <Reference URI="/xl/worksheets/sheet23.xml?ContentType=application/vnd.openxmlformats-officedocument.spreadsheetml.worksheet+xml">
        <DigestMethod Algorithm="http://www.w3.org/2001/04/xmlenc#sha256"/>
        <DigestValue>bXuNJ6Qm8xyLycwXcbChrc/psqE8P6woKNwiksmPr+8=</DigestValue>
      </Reference>
      <Reference URI="/xl/worksheets/sheet24.xml?ContentType=application/vnd.openxmlformats-officedocument.spreadsheetml.worksheet+xml">
        <DigestMethod Algorithm="http://www.w3.org/2001/04/xmlenc#sha256"/>
        <DigestValue>TT1j3urOWzvzWqdvsE7mbOBNhTFsXFGizIMGm254Vvg=</DigestValue>
      </Reference>
      <Reference URI="/xl/worksheets/sheet25.xml?ContentType=application/vnd.openxmlformats-officedocument.spreadsheetml.worksheet+xml">
        <DigestMethod Algorithm="http://www.w3.org/2001/04/xmlenc#sha256"/>
        <DigestValue>UpOHyNIHIq/UsbZ1c2JfDL14VlpSeAjlkxN/sT+rZGI=</DigestValue>
      </Reference>
      <Reference URI="/xl/worksheets/sheet26.xml?ContentType=application/vnd.openxmlformats-officedocument.spreadsheetml.worksheet+xml">
        <DigestMethod Algorithm="http://www.w3.org/2001/04/xmlenc#sha256"/>
        <DigestValue>uSL7Hka1/P1M+lgoCVU38n6zlcV5+/WHCH59whwX5Iw=</DigestValue>
      </Reference>
      <Reference URI="/xl/worksheets/sheet27.xml?ContentType=application/vnd.openxmlformats-officedocument.spreadsheetml.worksheet+xml">
        <DigestMethod Algorithm="http://www.w3.org/2001/04/xmlenc#sha256"/>
        <DigestValue>ZizcUhvSS7iaGsPpE0OdXUrVUrZnCU0kn2yPiQP6F9A=</DigestValue>
      </Reference>
      <Reference URI="/xl/worksheets/sheet28.xml?ContentType=application/vnd.openxmlformats-officedocument.spreadsheetml.worksheet+xml">
        <DigestMethod Algorithm="http://www.w3.org/2001/04/xmlenc#sha256"/>
        <DigestValue>9lT/+3r2Ajuw0XpNnoLHUE61bmPI9YMWBSzBBrCzba0=</DigestValue>
      </Reference>
      <Reference URI="/xl/worksheets/sheet29.xml?ContentType=application/vnd.openxmlformats-officedocument.spreadsheetml.worksheet+xml">
        <DigestMethod Algorithm="http://www.w3.org/2001/04/xmlenc#sha256"/>
        <DigestValue>ejdk7Sxb6hDma57vjPQAyWJ8s1HNFxn/246bcsLdFUI=</DigestValue>
      </Reference>
      <Reference URI="/xl/worksheets/sheet3.xml?ContentType=application/vnd.openxmlformats-officedocument.spreadsheetml.worksheet+xml">
        <DigestMethod Algorithm="http://www.w3.org/2001/04/xmlenc#sha256"/>
        <DigestValue>+Adlt0E0pYVI5AdVDlj4NRpnJkKl+luWHHBP2KkKNDs=</DigestValue>
      </Reference>
      <Reference URI="/xl/worksheets/sheet4.xml?ContentType=application/vnd.openxmlformats-officedocument.spreadsheetml.worksheet+xml">
        <DigestMethod Algorithm="http://www.w3.org/2001/04/xmlenc#sha256"/>
        <DigestValue>WvbwHcJdxEkPNRIv6Sfy6uJN5vj+9bnDkO/pDROZQWM=</DigestValue>
      </Reference>
      <Reference URI="/xl/worksheets/sheet5.xml?ContentType=application/vnd.openxmlformats-officedocument.spreadsheetml.worksheet+xml">
        <DigestMethod Algorithm="http://www.w3.org/2001/04/xmlenc#sha256"/>
        <DigestValue>RbCKUtk6n8DLdd4ER8OtEDFtAayMD+dly3tq+wP2hpE=</DigestValue>
      </Reference>
      <Reference URI="/xl/worksheets/sheet6.xml?ContentType=application/vnd.openxmlformats-officedocument.spreadsheetml.worksheet+xml">
        <DigestMethod Algorithm="http://www.w3.org/2001/04/xmlenc#sha256"/>
        <DigestValue>gkzpvQKmhZJVsExLyKRfpo4myvsQHXo1UWvPqW2S9LI=</DigestValue>
      </Reference>
      <Reference URI="/xl/worksheets/sheet7.xml?ContentType=application/vnd.openxmlformats-officedocument.spreadsheetml.worksheet+xml">
        <DigestMethod Algorithm="http://www.w3.org/2001/04/xmlenc#sha256"/>
        <DigestValue>LLftr8eI7VfEVSlKATDJprbJTAqOrkwxv2wtijdRADg=</DigestValue>
      </Reference>
      <Reference URI="/xl/worksheets/sheet8.xml?ContentType=application/vnd.openxmlformats-officedocument.spreadsheetml.worksheet+xml">
        <DigestMethod Algorithm="http://www.w3.org/2001/04/xmlenc#sha256"/>
        <DigestValue>dUGYi5MLNacJcZ07DsIz7Tow0tzWdGTPgJ6tMuSGvM4=</DigestValue>
      </Reference>
      <Reference URI="/xl/worksheets/sheet9.xml?ContentType=application/vnd.openxmlformats-officedocument.spreadsheetml.worksheet+xml">
        <DigestMethod Algorithm="http://www.w3.org/2001/04/xmlenc#sha256"/>
        <DigestValue>xc73EbWVRa4l0S0e+8LjMbSOzNZleoq9gzKtDf1v8zU=</DigestValue>
      </Reference>
    </Manifest>
    <SignatureProperties>
      <SignatureProperty Id="idSignatureTime" Target="#idPackageSignature">
        <mdssi:SignatureTime xmlns:mdssi="http://schemas.openxmlformats.org/package/2006/digital-signature">
          <mdssi:Format>YYYY-MM-DDThh:mm:ssTZD</mdssi:Format>
          <mdssi:Value>2023-03-02T10:26:08Z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2023-03-02T10:26:08Z</xd:SigningTime>
          <xd:SigningCertificate>
            <xd:Cert>
              <xd:CertDigest>
                <DigestMethod Algorithm="http://www.w3.org/2001/04/xmlenc#sha256"/>
                <DigestValue>uuuQP/SYVM2teG/iSixlr+6to1ZSZcY2tllNL/DK81k=</DigestValue>
              </xd:CertDigest>
              <xd:IssuerSerial>
                <X509IssuerName>CN=NBG Class 2 INT Sub CA, DC=nbg, DC=ge</X509IssuerName>
                <X509SerialNumber>168048941169281146680161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wuPKpLcRRXmXOUVv4vfCQAGlnmSUEmuFwban5ydXCEk=</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3EO2IgTCy9DCT59dsm7ynx1Hey/VFCnZYCUJMqAKuJU=</DigestValue>
    </Reference>
  </SignedInfo>
  <SignatureValue>AOGEXlP7AZeFmyDtcrOxej9JghfWqHaeWQZtzBwQwya6sUOqgreob3D6uxIPfuWsCc23phcV5drz
QD4vcMUFh2qdMHC1NhRryx7GubpcdlRwiSy+zcwIv55eodJXaLtkffLbcZRJed6Rndd+ACsDqFxK
sJEurWJWzzpkGsiIL4+2tcCdSLG4+ZFKn3YI8rcWsVPwG5qDgPwelUNz3BViIQRjHhqTfB+Nvqzb
+5KwIPMAI2xgsmJbUTq0S4Fd6URaaX7nLapt/KfwS6PBjfZWegTIxihbOf0WmWa6eb12+jpOtqKH
w69Dz5/27DgDLU7w00hBy5KQSL7xJbCpBAAdMA==</SignatureValue>
  <KeyInfo>
    <X509Data>
      <X509Certificate>MIIGNzCCBR+gAwIBAgIKI4zLJQADAAHzYDANBgkqhkiG9w0BAQsFADBKMRIwEAYKCZImiZPyLGQBGRYCZ2UxEzARBgoJkiaJk/IsZAEZFgNuYmcxHzAdBgNVBAMTFk5CRyBDbGFzcyAyIElOVCBTdWIgQ0EwHhcNMjExMDI5MDcxMzQ0WhcNMjMxMDI5MDcxMzQ0WjA1MRUwEwYDVQQKEwxKU0MgVGVyYWJhbmsxHDAaBgNVBAMTE0JLUyAtIFNvcGhpZSBKdWdlbGkwggEiMA0GCSqGSIb3DQEBAQUAA4IBDwAwggEKAoIBAQDmj/Qilh4OuJQ2/agO7b7nS2sO/oUEXTcSkyRKPc6f8rXm9HGhungB/i94xLNgQ0QxKH7quXyGDGzVvUKA2yUtMsKOnE63FUkPgxUe6Q4eeSl85E3KYj7n7lqqEXSnHap7D6/2+aFU8yhHj3cDSa+uIHh4wcOpI4VRt/bmASG/x5yoeV9tWE5PZFVccjLOUgqCcH0qaa2EI+gcL5zUbsKIcs6Npai1xDw7lUJfiEU1xlyHrCSNDtzn5XyEB+7Gupa7m867V2ZWG1+0LbtKTxALu2DEfblk5b+D7g5gRvGzNcwVTuymjscrmReLfaYwTqd3Ztue0wWWk+l782Bh35GHAgMBAAGjggMyMIIDLjA8BgkrBgEEAYI3FQcELzAtBiUrBgEEAYI3FQjmsmCDjfVEhoGZCYO4oUqDvoRxBIPEkTOEg4hdAgFkAgEjMB0GA1UdJQQWMBQGCCsGAQUFBwMCBggrBgEFBQcDBDALBgNVHQ8EBAMCB4AwJwYJKwYBBAGCNxUKBBowGDAKBggrBgEFBQcDAjAKBggrBgEFBQcDBDAdBgNVHQ4EFgQUH9t5t2j+BI0Sn11Iktm9C6hpGv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z14mReC8jTNxelgoQIultuiItcN7m1DwnqDeC1+8yfL38pdeZEp124FzKQ7pQkLXoY91a4efeLM3R9t5yzcqR8xJwu1X2zoSGgXFtOoqMfoOPmcsSq3lDslL93lTcQoahBinojHpSBAY7PCex3kUxBFDGXIHyca0N66gyUWtRCPf/N2Br/ZD5vByY/0gqB8sBEQdhepMfRiVKZ6lFrPpthyV4dOZ5VtWerUCm/C0C+Qvt17m/zARSfTm/a2WW84Wp2QyQzBfJa4b/rTmIWSEeUgyFI+2nNZ9O54dlAYDppLdB+e7JFD48U+1KO+ZWBxqUCs9bif9dyWzUvQzMOUx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k/F6HUAwqS8cqOFrc6W0vC4sU/ddZDMFjQy2Au/gru8=</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fczT5Q1s3tPfqoxXjepWsKyxZiMgU5EXU6mwBcB7678=</DigestValue>
      </Reference>
      <Reference URI="/xl/styles.xml?ContentType=application/vnd.openxmlformats-officedocument.spreadsheetml.styles+xml">
        <DigestMethod Algorithm="http://www.w3.org/2001/04/xmlenc#sha256"/>
        <DigestValue>JXamooE3qNpm1WIXDcfGpGFiK1stGc1jXpFFYDjeZgg=</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7N2BULtc/K7oNh2r+fhTjOLXc3Kf1F8PPQn+fC9vb4k=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LM31MAcerw9q2SrSNox8S7uAS7ZcTUtExBO356SHFMo=</DigestValue>
      </Reference>
      <Reference URI="/xl/worksheets/sheet10.xml?ContentType=application/vnd.openxmlformats-officedocument.spreadsheetml.worksheet+xml">
        <DigestMethod Algorithm="http://www.w3.org/2001/04/xmlenc#sha256"/>
        <DigestValue>NU8/wwYshlJoIQ82EAwEp7SIthoAqElgX534yabD6m0=</DigestValue>
      </Reference>
      <Reference URI="/xl/worksheets/sheet11.xml?ContentType=application/vnd.openxmlformats-officedocument.spreadsheetml.worksheet+xml">
        <DigestMethod Algorithm="http://www.w3.org/2001/04/xmlenc#sha256"/>
        <DigestValue>oTEbaIp99w0w/OmlYeoa1rAPgCK2URnXkFZ8j6PfB68=</DigestValue>
      </Reference>
      <Reference URI="/xl/worksheets/sheet12.xml?ContentType=application/vnd.openxmlformats-officedocument.spreadsheetml.worksheet+xml">
        <DigestMethod Algorithm="http://www.w3.org/2001/04/xmlenc#sha256"/>
        <DigestValue>wGDLMVsWKQlqLKg/SyJYF1WEg+FRIE0q0tUErF3zLMs=</DigestValue>
      </Reference>
      <Reference URI="/xl/worksheets/sheet13.xml?ContentType=application/vnd.openxmlformats-officedocument.spreadsheetml.worksheet+xml">
        <DigestMethod Algorithm="http://www.w3.org/2001/04/xmlenc#sha256"/>
        <DigestValue>4MIKdkavCnlbXij14Cw6Ply3JnkAw2XOJvbmXfyeRe0=</DigestValue>
      </Reference>
      <Reference URI="/xl/worksheets/sheet14.xml?ContentType=application/vnd.openxmlformats-officedocument.spreadsheetml.worksheet+xml">
        <DigestMethod Algorithm="http://www.w3.org/2001/04/xmlenc#sha256"/>
        <DigestValue>SH2D7nB0Zew/KO/5WE1l3vaU/WYKsFxY4Vw1dpSgago=</DigestValue>
      </Reference>
      <Reference URI="/xl/worksheets/sheet15.xml?ContentType=application/vnd.openxmlformats-officedocument.spreadsheetml.worksheet+xml">
        <DigestMethod Algorithm="http://www.w3.org/2001/04/xmlenc#sha256"/>
        <DigestValue>v4S7QxGrDCvDAu7kPtfj9fCrA9XvAbS2miQyVsa6k4E=</DigestValue>
      </Reference>
      <Reference URI="/xl/worksheets/sheet16.xml?ContentType=application/vnd.openxmlformats-officedocument.spreadsheetml.worksheet+xml">
        <DigestMethod Algorithm="http://www.w3.org/2001/04/xmlenc#sha256"/>
        <DigestValue>eTrXx/NCNCNrhb51jc2mfnBDzFK03xeFmOCsb15en7Q=</DigestValue>
      </Reference>
      <Reference URI="/xl/worksheets/sheet17.xml?ContentType=application/vnd.openxmlformats-officedocument.spreadsheetml.worksheet+xml">
        <DigestMethod Algorithm="http://www.w3.org/2001/04/xmlenc#sha256"/>
        <DigestValue>1rnyGNu/4M7akHqGZLd5NLKPeof3coMyGSntXf2yGXc=</DigestValue>
      </Reference>
      <Reference URI="/xl/worksheets/sheet18.xml?ContentType=application/vnd.openxmlformats-officedocument.spreadsheetml.worksheet+xml">
        <DigestMethod Algorithm="http://www.w3.org/2001/04/xmlenc#sha256"/>
        <DigestValue>ckMdW6997CPUV3xr+9g4S//zj4VSR+VJUUJbdV9Fwo4=</DigestValue>
      </Reference>
      <Reference URI="/xl/worksheets/sheet19.xml?ContentType=application/vnd.openxmlformats-officedocument.spreadsheetml.worksheet+xml">
        <DigestMethod Algorithm="http://www.w3.org/2001/04/xmlenc#sha256"/>
        <DigestValue>1layAC9/chileK3VC9nyc8uSzCPyxAkJRX8smGht4Lw=</DigestValue>
      </Reference>
      <Reference URI="/xl/worksheets/sheet2.xml?ContentType=application/vnd.openxmlformats-officedocument.spreadsheetml.worksheet+xml">
        <DigestMethod Algorithm="http://www.w3.org/2001/04/xmlenc#sha256"/>
        <DigestValue>qOjGGPwVHwtgZA9FT0lsdxAW1Cc2UaXZLglfHOZAW6s=</DigestValue>
      </Reference>
      <Reference URI="/xl/worksheets/sheet20.xml?ContentType=application/vnd.openxmlformats-officedocument.spreadsheetml.worksheet+xml">
        <DigestMethod Algorithm="http://www.w3.org/2001/04/xmlenc#sha256"/>
        <DigestValue>zQ5OuMMQE1paagYBSqulCcBF8Cd4evJKJti+5vbKwDk=</DigestValue>
      </Reference>
      <Reference URI="/xl/worksheets/sheet21.xml?ContentType=application/vnd.openxmlformats-officedocument.spreadsheetml.worksheet+xml">
        <DigestMethod Algorithm="http://www.w3.org/2001/04/xmlenc#sha256"/>
        <DigestValue>YJpjKaKvgSm+mHayY4Kezv4Sl1w2W8YtBEgc5eSnBYo=</DigestValue>
      </Reference>
      <Reference URI="/xl/worksheets/sheet22.xml?ContentType=application/vnd.openxmlformats-officedocument.spreadsheetml.worksheet+xml">
        <DigestMethod Algorithm="http://www.w3.org/2001/04/xmlenc#sha256"/>
        <DigestValue>I1PQ57PqXuDlSWDcF8ichycPoSp2fSfjlTC9KisgUp8=</DigestValue>
      </Reference>
      <Reference URI="/xl/worksheets/sheet23.xml?ContentType=application/vnd.openxmlformats-officedocument.spreadsheetml.worksheet+xml">
        <DigestMethod Algorithm="http://www.w3.org/2001/04/xmlenc#sha256"/>
        <DigestValue>bXuNJ6Qm8xyLycwXcbChrc/psqE8P6woKNwiksmPr+8=</DigestValue>
      </Reference>
      <Reference URI="/xl/worksheets/sheet24.xml?ContentType=application/vnd.openxmlformats-officedocument.spreadsheetml.worksheet+xml">
        <DigestMethod Algorithm="http://www.w3.org/2001/04/xmlenc#sha256"/>
        <DigestValue>TT1j3urOWzvzWqdvsE7mbOBNhTFsXFGizIMGm254Vvg=</DigestValue>
      </Reference>
      <Reference URI="/xl/worksheets/sheet25.xml?ContentType=application/vnd.openxmlformats-officedocument.spreadsheetml.worksheet+xml">
        <DigestMethod Algorithm="http://www.w3.org/2001/04/xmlenc#sha256"/>
        <DigestValue>UpOHyNIHIq/UsbZ1c2JfDL14VlpSeAjlkxN/sT+rZGI=</DigestValue>
      </Reference>
      <Reference URI="/xl/worksheets/sheet26.xml?ContentType=application/vnd.openxmlformats-officedocument.spreadsheetml.worksheet+xml">
        <DigestMethod Algorithm="http://www.w3.org/2001/04/xmlenc#sha256"/>
        <DigestValue>uSL7Hka1/P1M+lgoCVU38n6zlcV5+/WHCH59whwX5Iw=</DigestValue>
      </Reference>
      <Reference URI="/xl/worksheets/sheet27.xml?ContentType=application/vnd.openxmlformats-officedocument.spreadsheetml.worksheet+xml">
        <DigestMethod Algorithm="http://www.w3.org/2001/04/xmlenc#sha256"/>
        <DigestValue>ZizcUhvSS7iaGsPpE0OdXUrVUrZnCU0kn2yPiQP6F9A=</DigestValue>
      </Reference>
      <Reference URI="/xl/worksheets/sheet28.xml?ContentType=application/vnd.openxmlformats-officedocument.spreadsheetml.worksheet+xml">
        <DigestMethod Algorithm="http://www.w3.org/2001/04/xmlenc#sha256"/>
        <DigestValue>9lT/+3r2Ajuw0XpNnoLHUE61bmPI9YMWBSzBBrCzba0=</DigestValue>
      </Reference>
      <Reference URI="/xl/worksheets/sheet29.xml?ContentType=application/vnd.openxmlformats-officedocument.spreadsheetml.worksheet+xml">
        <DigestMethod Algorithm="http://www.w3.org/2001/04/xmlenc#sha256"/>
        <DigestValue>ejdk7Sxb6hDma57vjPQAyWJ8s1HNFxn/246bcsLdFUI=</DigestValue>
      </Reference>
      <Reference URI="/xl/worksheets/sheet3.xml?ContentType=application/vnd.openxmlformats-officedocument.spreadsheetml.worksheet+xml">
        <DigestMethod Algorithm="http://www.w3.org/2001/04/xmlenc#sha256"/>
        <DigestValue>+Adlt0E0pYVI5AdVDlj4NRpnJkKl+luWHHBP2KkKNDs=</DigestValue>
      </Reference>
      <Reference URI="/xl/worksheets/sheet4.xml?ContentType=application/vnd.openxmlformats-officedocument.spreadsheetml.worksheet+xml">
        <DigestMethod Algorithm="http://www.w3.org/2001/04/xmlenc#sha256"/>
        <DigestValue>WvbwHcJdxEkPNRIv6Sfy6uJN5vj+9bnDkO/pDROZQWM=</DigestValue>
      </Reference>
      <Reference URI="/xl/worksheets/sheet5.xml?ContentType=application/vnd.openxmlformats-officedocument.spreadsheetml.worksheet+xml">
        <DigestMethod Algorithm="http://www.w3.org/2001/04/xmlenc#sha256"/>
        <DigestValue>RbCKUtk6n8DLdd4ER8OtEDFtAayMD+dly3tq+wP2hpE=</DigestValue>
      </Reference>
      <Reference URI="/xl/worksheets/sheet6.xml?ContentType=application/vnd.openxmlformats-officedocument.spreadsheetml.worksheet+xml">
        <DigestMethod Algorithm="http://www.w3.org/2001/04/xmlenc#sha256"/>
        <DigestValue>gkzpvQKmhZJVsExLyKRfpo4myvsQHXo1UWvPqW2S9LI=</DigestValue>
      </Reference>
      <Reference URI="/xl/worksheets/sheet7.xml?ContentType=application/vnd.openxmlformats-officedocument.spreadsheetml.worksheet+xml">
        <DigestMethod Algorithm="http://www.w3.org/2001/04/xmlenc#sha256"/>
        <DigestValue>LLftr8eI7VfEVSlKATDJprbJTAqOrkwxv2wtijdRADg=</DigestValue>
      </Reference>
      <Reference URI="/xl/worksheets/sheet8.xml?ContentType=application/vnd.openxmlformats-officedocument.spreadsheetml.worksheet+xml">
        <DigestMethod Algorithm="http://www.w3.org/2001/04/xmlenc#sha256"/>
        <DigestValue>dUGYi5MLNacJcZ07DsIz7Tow0tzWdGTPgJ6tMuSGvM4=</DigestValue>
      </Reference>
      <Reference URI="/xl/worksheets/sheet9.xml?ContentType=application/vnd.openxmlformats-officedocument.spreadsheetml.worksheet+xml">
        <DigestMethod Algorithm="http://www.w3.org/2001/04/xmlenc#sha256"/>
        <DigestValue>xc73EbWVRa4l0S0e+8LjMbSOzNZleoq9gzKtDf1v8zU=</DigestValue>
      </Reference>
    </Manifest>
    <SignatureProperties>
      <SignatureProperty Id="idSignatureTime" Target="#idPackageSignature">
        <mdssi:SignatureTime xmlns:mdssi="http://schemas.openxmlformats.org/package/2006/digital-signature">
          <mdssi:Format>YYYY-MM-DDThh:mm:ssTZD</mdssi:Format>
          <mdssi:Value>2023-03-02T10:26:40Z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2023-03-02T10:26:40Z</xd:SigningTime>
          <xd:SigningCertificate>
            <xd:Cert>
              <xd:CertDigest>
                <DigestMethod Algorithm="http://www.w3.org/2001/04/xmlenc#sha256"/>
                <DigestValue>83RKjVrOk8NbI+Ftoh6cXqc1Zl+x8Qa15tRhF072K8I=</DigestValue>
              </xd:CertDigest>
              <xd:IssuerSerial>
                <X509IssuerName>CN=NBG Class 2 INT Sub CA, DC=nbg, DC=ge</X509IssuerName>
                <X509SerialNumber>167880009176933642400608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2023-02-28T12:22:27Z</dcterms:modified>
</cp:coreProperties>
</file>