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201_{C51A9793-8190-4315-95EC-EEDD7A1EC76D}" xr6:coauthVersionLast="47" xr6:coauthVersionMax="47" xr10:uidLastSave="{00000000-0000-0000-0000-000000000000}"/>
  <bookViews>
    <workbookView xWindow="-120" yWindow="-120" windowWidth="29040" windowHeight="15840" tabRatio="910" firstSheet="15"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83" l="1"/>
  <c r="G21" i="82" l="1"/>
  <c r="B2" i="71" l="1"/>
  <c r="B2" i="91"/>
  <c r="B1" i="52" l="1"/>
  <c r="B3" i="89" l="1"/>
  <c r="B3" i="88"/>
  <c r="B3" i="87"/>
  <c r="B3" i="86"/>
  <c r="B3" i="85"/>
  <c r="B3" i="84"/>
  <c r="B3" i="83"/>
  <c r="B3" i="82"/>
  <c r="B3" i="81"/>
  <c r="C10" i="85" l="1"/>
  <c r="D12" i="84"/>
  <c r="D7" i="84"/>
  <c r="I19" i="82"/>
  <c r="I18" i="82"/>
  <c r="I11" i="82"/>
  <c r="I10" i="82"/>
  <c r="I9" i="82"/>
  <c r="I8" i="82"/>
  <c r="H20" i="81"/>
  <c r="H19" i="81"/>
  <c r="H12" i="81"/>
  <c r="H11" i="81"/>
  <c r="H10" i="81"/>
  <c r="H9" i="81"/>
  <c r="B2" i="80" l="1"/>
  <c r="B1" i="80"/>
  <c r="G33" i="80"/>
  <c r="F33" i="80"/>
  <c r="E33" i="80"/>
  <c r="D33" i="80"/>
  <c r="C33"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B2" i="79"/>
  <c r="B2" i="37"/>
  <c r="B2" i="36"/>
  <c r="B2" i="74"/>
  <c r="B2" i="64"/>
  <c r="B2" i="35"/>
  <c r="B2" i="69"/>
  <c r="B2" i="77"/>
  <c r="B2" i="28"/>
  <c r="B2" i="73"/>
  <c r="B2" i="72"/>
  <c r="B2" i="52"/>
  <c r="B2" i="75"/>
  <c r="B2" i="53"/>
  <c r="B2" i="62"/>
  <c r="C5" i="6" l="1"/>
  <c r="G5" i="6"/>
  <c r="F5" i="6"/>
  <c r="E5" i="6"/>
  <c r="D5" i="6"/>
  <c r="G5" i="71"/>
  <c r="F5" i="71"/>
  <c r="E5" i="71"/>
  <c r="D5" i="71"/>
  <c r="C5" i="71"/>
  <c r="B1" i="79" l="1"/>
  <c r="B1" i="37"/>
  <c r="B1" i="36"/>
  <c r="B1" i="74"/>
  <c r="B1" i="64"/>
  <c r="B1" i="35"/>
  <c r="B1" i="69"/>
  <c r="B1" i="77"/>
  <c r="B1" i="28"/>
  <c r="B1" i="73"/>
  <c r="B1" i="72"/>
  <c r="B1" i="71"/>
  <c r="B1" i="75"/>
  <c r="B1" i="53"/>
  <c r="B1" i="62"/>
  <c r="B1" i="6"/>
  <c r="B1" i="91" l="1"/>
  <c r="B1" i="85"/>
  <c r="B1" i="86"/>
  <c r="B1" i="87"/>
  <c r="B1" i="88"/>
  <c r="B1" i="89"/>
  <c r="B1" i="81"/>
  <c r="B1" i="82"/>
  <c r="B1" i="83"/>
  <c r="B1" i="84"/>
  <c r="C26" i="79"/>
  <c r="D22" i="35" l="1"/>
  <c r="F22" i="35"/>
  <c r="J22" i="35"/>
  <c r="P22" i="35"/>
  <c r="R22" i="35"/>
  <c r="E53" i="75" l="1"/>
  <c r="E52" i="75"/>
  <c r="E51" i="75"/>
  <c r="E50" i="75"/>
  <c r="E49" i="75"/>
  <c r="E48" i="75"/>
  <c r="E47" i="75"/>
  <c r="E46" i="75"/>
  <c r="E45" i="75"/>
  <c r="E44" i="75"/>
  <c r="E42" i="75"/>
  <c r="E41" i="75"/>
  <c r="E40" i="75"/>
  <c r="E39" i="75"/>
  <c r="E38" i="75"/>
  <c r="E37" i="75"/>
  <c r="E36" i="75"/>
  <c r="E15" i="75"/>
  <c r="M21" i="64" l="1"/>
  <c r="N21" i="64"/>
  <c r="O21" i="64"/>
  <c r="P21" i="64"/>
  <c r="Q21" i="64"/>
  <c r="R21" i="64"/>
  <c r="S21" i="64"/>
  <c r="H13" i="62" l="1"/>
  <c r="I23" i="82" l="1"/>
  <c r="I15" i="82"/>
  <c r="F21" i="82" l="1"/>
  <c r="I14" i="82"/>
  <c r="I13" i="82"/>
  <c r="I17" i="82"/>
  <c r="C21" i="82"/>
  <c r="E21" i="82"/>
  <c r="I7" i="82"/>
  <c r="I20" i="82"/>
  <c r="H16" i="81"/>
  <c r="H15" i="81" l="1"/>
  <c r="I12" i="82"/>
  <c r="D21" i="82"/>
  <c r="I21" i="82" s="1"/>
  <c r="H17" i="81"/>
  <c r="H18" i="81"/>
  <c r="E22" i="81" l="1"/>
  <c r="H14" i="81" l="1"/>
  <c r="D22" i="81" l="1"/>
  <c r="H8" i="81"/>
  <c r="F22" i="81"/>
  <c r="G22" i="81" l="1"/>
  <c r="H21" i="81" l="1"/>
  <c r="H13" i="81" l="1"/>
  <c r="H22" i="81" s="1"/>
  <c r="C22" i="81"/>
  <c r="D6" i="71" l="1"/>
  <c r="D13" i="71" s="1"/>
  <c r="H15" i="75"/>
  <c r="H9" i="75"/>
  <c r="H13" i="75" l="1"/>
  <c r="H8" i="75"/>
  <c r="H7" i="75" l="1"/>
  <c r="H14" i="75"/>
  <c r="E9" i="75" l="1"/>
  <c r="E29" i="75" l="1"/>
  <c r="H10" i="75"/>
  <c r="H12" i="75"/>
  <c r="H17" i="75"/>
  <c r="H19" i="75"/>
  <c r="H21" i="75"/>
  <c r="H23" i="75"/>
  <c r="H25" i="75"/>
  <c r="H27" i="75"/>
  <c r="H29" i="75"/>
  <c r="H31" i="75"/>
  <c r="H33" i="75"/>
  <c r="H35" i="75"/>
  <c r="H37" i="75"/>
  <c r="H39" i="75"/>
  <c r="H41" i="75"/>
  <c r="H43" i="75"/>
  <c r="H45" i="75"/>
  <c r="H47" i="75"/>
  <c r="H49" i="75"/>
  <c r="H51" i="75"/>
  <c r="H53" i="75"/>
  <c r="H22" i="75" l="1"/>
  <c r="H20" i="75"/>
  <c r="H18" i="75"/>
  <c r="H16" i="75"/>
  <c r="H11" i="75"/>
  <c r="H52" i="75"/>
  <c r="H46" i="75"/>
  <c r="H38" i="75"/>
  <c r="H50" i="75"/>
  <c r="H44" i="75"/>
  <c r="H40" i="75"/>
  <c r="H34" i="75"/>
  <c r="H30" i="75"/>
  <c r="H26" i="75"/>
  <c r="E35" i="75"/>
  <c r="H48" i="75"/>
  <c r="H42" i="75"/>
  <c r="H36" i="75"/>
  <c r="H32" i="75"/>
  <c r="H28" i="75"/>
  <c r="H24" i="75"/>
  <c r="H19" i="62" l="1"/>
  <c r="H17" i="62"/>
  <c r="H15" i="62"/>
  <c r="H11" i="62"/>
  <c r="H9" i="62"/>
  <c r="H7" i="62"/>
  <c r="G14" i="62" l="1"/>
  <c r="G20" i="62" s="1"/>
  <c r="H8" i="62"/>
  <c r="H10" i="62"/>
  <c r="H16" i="62"/>
  <c r="H18" i="62"/>
  <c r="C19" i="85"/>
  <c r="F14" i="62" l="1"/>
  <c r="H12" i="62"/>
  <c r="D19" i="84"/>
  <c r="F20" i="62" l="1"/>
  <c r="H20" i="62" s="1"/>
  <c r="H14" i="62"/>
  <c r="I16" i="82" l="1"/>
  <c r="E19" i="37" l="1"/>
  <c r="E18" i="37"/>
  <c r="E17" i="37"/>
  <c r="E16" i="37"/>
  <c r="E12" i="37"/>
  <c r="E11" i="37"/>
  <c r="E10" i="37"/>
  <c r="E9" i="37"/>
  <c r="E6" i="71" l="1"/>
  <c r="J7" i="37"/>
  <c r="N9" i="37"/>
  <c r="N13" i="37"/>
  <c r="I14" i="37"/>
  <c r="M14" i="37"/>
  <c r="N18" i="37"/>
  <c r="C31" i="28"/>
  <c r="C30" i="28" s="1"/>
  <c r="E13" i="71"/>
  <c r="F7" i="37"/>
  <c r="E15" i="37"/>
  <c r="E14" i="37" s="1"/>
  <c r="C14" i="37"/>
  <c r="G7" i="37"/>
  <c r="L7" i="37"/>
  <c r="N10" i="37"/>
  <c r="N15" i="37"/>
  <c r="F14" i="37"/>
  <c r="J14" i="37"/>
  <c r="J21" i="37" s="1"/>
  <c r="N19" i="37"/>
  <c r="G6" i="71"/>
  <c r="G13" i="71" s="1"/>
  <c r="H7" i="37"/>
  <c r="M7" i="37"/>
  <c r="M21" i="37" s="1"/>
  <c r="N11" i="37"/>
  <c r="G14" i="37"/>
  <c r="K14" i="37"/>
  <c r="N16" i="37"/>
  <c r="N20" i="37"/>
  <c r="F6" i="71"/>
  <c r="F13" i="71" s="1"/>
  <c r="S9" i="35"/>
  <c r="S10" i="35"/>
  <c r="S11" i="35"/>
  <c r="S12" i="35"/>
  <c r="S19" i="35"/>
  <c r="S20" i="35"/>
  <c r="I7" i="37"/>
  <c r="I21" i="37" s="1"/>
  <c r="N12" i="37"/>
  <c r="H14" i="37"/>
  <c r="L14" i="37"/>
  <c r="N17" i="37"/>
  <c r="E10" i="75" l="1"/>
  <c r="H21" i="37"/>
  <c r="G21" i="37"/>
  <c r="N14" i="37"/>
  <c r="F21" i="37"/>
  <c r="L21" i="37"/>
  <c r="H66" i="53"/>
  <c r="H64" i="53"/>
  <c r="H52" i="53"/>
  <c r="H50" i="53"/>
  <c r="H48" i="53"/>
  <c r="H44" i="53"/>
  <c r="H42" i="53"/>
  <c r="H40" i="53"/>
  <c r="H38" i="53"/>
  <c r="H36" i="53"/>
  <c r="H29" i="53"/>
  <c r="H27" i="53"/>
  <c r="H25" i="53"/>
  <c r="H21" i="53"/>
  <c r="H20" i="53"/>
  <c r="H19" i="53"/>
  <c r="H18" i="53"/>
  <c r="H17" i="53"/>
  <c r="H16" i="53"/>
  <c r="H15" i="53"/>
  <c r="H14" i="53"/>
  <c r="H13" i="53"/>
  <c r="H11" i="53"/>
  <c r="H8" i="53"/>
  <c r="E66" i="53"/>
  <c r="H40" i="62"/>
  <c r="H39" i="62"/>
  <c r="H38" i="62"/>
  <c r="H37" i="62"/>
  <c r="H36" i="62"/>
  <c r="H35" i="62"/>
  <c r="H34" i="62"/>
  <c r="H33" i="62"/>
  <c r="H26" i="53" l="1"/>
  <c r="H28" i="53"/>
  <c r="H37" i="53"/>
  <c r="H39" i="53"/>
  <c r="H41" i="53"/>
  <c r="H43" i="53"/>
  <c r="H49" i="53"/>
  <c r="H51" i="53"/>
  <c r="G31" i="62"/>
  <c r="G41" i="62" s="1"/>
  <c r="H12" i="53"/>
  <c r="E26" i="62"/>
  <c r="H23" i="62"/>
  <c r="H25" i="62"/>
  <c r="H27" i="62"/>
  <c r="H29" i="62"/>
  <c r="E27" i="53"/>
  <c r="E37" i="53"/>
  <c r="E39" i="53"/>
  <c r="F9" i="53"/>
  <c r="H10" i="53"/>
  <c r="F30" i="53"/>
  <c r="H24" i="53"/>
  <c r="F34" i="53"/>
  <c r="H35" i="53"/>
  <c r="F53" i="53"/>
  <c r="H47" i="53"/>
  <c r="F61" i="53"/>
  <c r="H61" i="53" s="1"/>
  <c r="F31" i="62"/>
  <c r="H22" i="62"/>
  <c r="H24" i="62"/>
  <c r="H26" i="62"/>
  <c r="H28" i="62"/>
  <c r="H30" i="62"/>
  <c r="E29" i="53"/>
  <c r="E38" i="53"/>
  <c r="G9" i="53"/>
  <c r="G22" i="53" s="1"/>
  <c r="G30" i="53"/>
  <c r="G34" i="53"/>
  <c r="G45" i="53" s="1"/>
  <c r="G53" i="53"/>
  <c r="G54" i="53" l="1"/>
  <c r="H53" i="53"/>
  <c r="H30" i="53"/>
  <c r="G31" i="53"/>
  <c r="G56" i="53" s="1"/>
  <c r="G63" i="53" s="1"/>
  <c r="G65" i="53" s="1"/>
  <c r="G67" i="53" s="1"/>
  <c r="F41" i="62"/>
  <c r="H41" i="62" s="1"/>
  <c r="H31" i="62"/>
  <c r="F45" i="53"/>
  <c r="H34" i="53"/>
  <c r="F22" i="53"/>
  <c r="H9" i="53"/>
  <c r="H22" i="53" l="1"/>
  <c r="F31" i="53"/>
  <c r="F54" i="53"/>
  <c r="H54" i="53" s="1"/>
  <c r="H45" i="53"/>
  <c r="S8" i="35" l="1"/>
  <c r="F56" i="53"/>
  <c r="H31" i="53"/>
  <c r="S13" i="35"/>
  <c r="F63" i="53" l="1"/>
  <c r="H56" i="53"/>
  <c r="E22" i="35"/>
  <c r="Q22" i="35"/>
  <c r="S21" i="35" l="1"/>
  <c r="C22" i="35"/>
  <c r="F65" i="53"/>
  <c r="H63" i="53"/>
  <c r="F67" i="53" l="1"/>
  <c r="H67" i="53" s="1"/>
  <c r="H65" i="53"/>
  <c r="C6" i="28" l="1"/>
  <c r="E51" i="53"/>
  <c r="E49" i="53"/>
  <c r="E43" i="53"/>
  <c r="E18" i="53"/>
  <c r="E16" i="53"/>
  <c r="E14" i="53"/>
  <c r="E12" i="53"/>
  <c r="D30" i="53" l="1"/>
  <c r="D34" i="53"/>
  <c r="D45" i="53" s="1"/>
  <c r="D53" i="53"/>
  <c r="C35" i="28"/>
  <c r="C41" i="28" s="1"/>
  <c r="D9" i="53"/>
  <c r="D22" i="53" s="1"/>
  <c r="D31" i="53" s="1"/>
  <c r="E11" i="53"/>
  <c r="E13" i="53"/>
  <c r="E15" i="53"/>
  <c r="E17" i="53"/>
  <c r="E19" i="53"/>
  <c r="E21" i="53"/>
  <c r="E25" i="53"/>
  <c r="E28" i="53"/>
  <c r="E36" i="53"/>
  <c r="E44" i="53"/>
  <c r="E48" i="53"/>
  <c r="E50" i="53"/>
  <c r="E52" i="53"/>
  <c r="C47" i="28"/>
  <c r="E20" i="53"/>
  <c r="C30" i="53"/>
  <c r="E30" i="53" s="1"/>
  <c r="E24" i="53"/>
  <c r="E26" i="53"/>
  <c r="C34" i="53"/>
  <c r="E35" i="53"/>
  <c r="C53" i="53"/>
  <c r="E47" i="53"/>
  <c r="C9" i="53"/>
  <c r="E9" i="53" s="1"/>
  <c r="E10" i="53"/>
  <c r="E8" i="53"/>
  <c r="E18" i="62"/>
  <c r="E40" i="53"/>
  <c r="E41" i="53"/>
  <c r="E42" i="53"/>
  <c r="E64" i="53"/>
  <c r="E34" i="62"/>
  <c r="E39" i="62"/>
  <c r="E21" i="64"/>
  <c r="F21" i="64"/>
  <c r="G21" i="64"/>
  <c r="H21" i="64"/>
  <c r="I21" i="64"/>
  <c r="J21" i="64"/>
  <c r="K21" i="64"/>
  <c r="L21" i="64"/>
  <c r="C61" i="53" l="1"/>
  <c r="E61" i="53" s="1"/>
  <c r="C22" i="53"/>
  <c r="E53" i="53"/>
  <c r="D54" i="53"/>
  <c r="D56" i="53" s="1"/>
  <c r="D63" i="53" s="1"/>
  <c r="D65" i="53" s="1"/>
  <c r="D67" i="53" s="1"/>
  <c r="C21" i="64"/>
  <c r="C31" i="53"/>
  <c r="E22" i="53"/>
  <c r="E34" i="53"/>
  <c r="C45" i="53"/>
  <c r="E37" i="62"/>
  <c r="E35" i="62"/>
  <c r="E36" i="62"/>
  <c r="E17" i="62"/>
  <c r="E28" i="62" l="1"/>
  <c r="E8" i="62"/>
  <c r="C54" i="53"/>
  <c r="E54" i="53" s="1"/>
  <c r="E45" i="53"/>
  <c r="E15" i="62"/>
  <c r="E31" i="53"/>
  <c r="E19" i="62"/>
  <c r="E16" i="62"/>
  <c r="E30" i="62"/>
  <c r="C56" i="53" l="1"/>
  <c r="C63" i="53"/>
  <c r="E56" i="53"/>
  <c r="E7" i="62"/>
  <c r="E23" i="62"/>
  <c r="E24" i="62"/>
  <c r="E10" i="62"/>
  <c r="E25" i="62"/>
  <c r="E22" i="62" l="1"/>
  <c r="C65" i="53"/>
  <c r="E63" i="53"/>
  <c r="E11" i="62"/>
  <c r="C12" i="28"/>
  <c r="C28" i="28" s="1"/>
  <c r="C67" i="53" l="1"/>
  <c r="E67" i="53" s="1"/>
  <c r="E65" i="53"/>
  <c r="C35" i="79" l="1"/>
  <c r="E27" i="62" l="1"/>
  <c r="I22" i="82" l="1"/>
  <c r="U21" i="64" l="1"/>
  <c r="D21" i="72" l="1"/>
  <c r="V18" i="64" l="1"/>
  <c r="V8" i="64"/>
  <c r="V19" i="64"/>
  <c r="V12" i="64"/>
  <c r="V11" i="64"/>
  <c r="V10" i="64"/>
  <c r="V15" i="64"/>
  <c r="V9" i="64"/>
  <c r="V7" i="64" l="1"/>
  <c r="H13" i="74"/>
  <c r="V20" i="64"/>
  <c r="H21" i="74" l="1"/>
  <c r="H8" i="74" l="1"/>
  <c r="E33" i="75" l="1"/>
  <c r="E34" i="75"/>
  <c r="E32" i="75" l="1"/>
  <c r="E13" i="75" l="1"/>
  <c r="E8" i="75" l="1"/>
  <c r="E21" i="75"/>
  <c r="E27" i="75"/>
  <c r="E30" i="75"/>
  <c r="E20" i="75"/>
  <c r="E23" i="75"/>
  <c r="E25" i="75"/>
  <c r="E24" i="75"/>
  <c r="E28" i="75"/>
  <c r="E31" i="75"/>
  <c r="E11" i="75" l="1"/>
  <c r="E14" i="75"/>
  <c r="E12" i="75"/>
  <c r="E8" i="37"/>
  <c r="E7" i="37" s="1"/>
  <c r="E21" i="37" s="1"/>
  <c r="C12" i="79" s="1"/>
  <c r="C18" i="79" s="1"/>
  <c r="C7" i="37"/>
  <c r="C21" i="37" s="1"/>
  <c r="E7" i="75" l="1"/>
  <c r="K7" i="37"/>
  <c r="K21" i="37" s="1"/>
  <c r="N8" i="37"/>
  <c r="N7" i="37" s="1"/>
  <c r="N21" i="37" s="1"/>
  <c r="E22" i="75" l="1"/>
  <c r="E26" i="75"/>
  <c r="E19" i="75"/>
  <c r="E18" i="75" l="1"/>
  <c r="E17" i="75" l="1"/>
  <c r="I22" i="35" l="1"/>
  <c r="K22" i="35"/>
  <c r="G22" i="35"/>
  <c r="S17" i="35" l="1"/>
  <c r="D22" i="74"/>
  <c r="N22" i="35"/>
  <c r="L22" i="35" l="1"/>
  <c r="S15" i="35"/>
  <c r="O22" i="35"/>
  <c r="S18" i="35"/>
  <c r="H22" i="35"/>
  <c r="S16" i="35"/>
  <c r="C30" i="79" l="1"/>
  <c r="H16" i="74"/>
  <c r="E22" i="74" l="1"/>
  <c r="T21" i="64" l="1"/>
  <c r="V16" i="64"/>
  <c r="V14" i="64"/>
  <c r="V17" i="64"/>
  <c r="V13" i="64" l="1"/>
  <c r="V21" i="64" s="1"/>
  <c r="D21" i="64"/>
  <c r="H18" i="74"/>
  <c r="H15" i="74"/>
  <c r="H17" i="74"/>
  <c r="E9" i="62" l="1"/>
  <c r="E16" i="75" l="1"/>
  <c r="D31" i="62" l="1"/>
  <c r="D41" i="62" s="1"/>
  <c r="E12" i="62" l="1"/>
  <c r="E29" i="62"/>
  <c r="C31" i="62"/>
  <c r="C37" i="69"/>
  <c r="E31" i="62" l="1"/>
  <c r="D14" i="62"/>
  <c r="D20" i="62" s="1"/>
  <c r="S14" i="35" l="1"/>
  <c r="S22" i="35" s="1"/>
  <c r="M22" i="35"/>
  <c r="E13" i="62" l="1"/>
  <c r="C14" i="62"/>
  <c r="C22" i="74"/>
  <c r="F22" i="74"/>
  <c r="C8" i="79"/>
  <c r="C36" i="79" s="1"/>
  <c r="C38" i="79" s="1"/>
  <c r="H14" i="74" l="1"/>
  <c r="G22" i="74"/>
  <c r="H22" i="74" s="1"/>
  <c r="E14" i="62"/>
  <c r="C20" i="62"/>
  <c r="E20" i="62" s="1"/>
  <c r="C21" i="72"/>
  <c r="C6" i="71"/>
  <c r="E21" i="72" l="1"/>
  <c r="C5" i="73" s="1"/>
  <c r="C8" i="73" s="1"/>
  <c r="C13" i="73" s="1"/>
  <c r="C25" i="69" l="1"/>
  <c r="C43" i="28"/>
  <c r="C52" i="28" s="1"/>
  <c r="C13" i="71" l="1"/>
  <c r="D7" i="77" l="1"/>
  <c r="D13" i="77"/>
  <c r="D11" i="77"/>
  <c r="D12" i="77"/>
  <c r="D9" i="77"/>
  <c r="D8" i="77"/>
  <c r="C21" i="77" l="1"/>
  <c r="D21" i="77" s="1"/>
  <c r="D17" i="77"/>
  <c r="D15" i="77" l="1"/>
  <c r="C19" i="77"/>
  <c r="D19" i="77" s="1"/>
  <c r="C20" i="77"/>
  <c r="D20" i="77" s="1"/>
  <c r="D16" i="77"/>
  <c r="G24" i="80" l="1"/>
  <c r="G37" i="80" s="1"/>
  <c r="G39" i="80" s="1"/>
  <c r="C12" i="84" l="1"/>
  <c r="H21" i="82" l="1"/>
  <c r="E43" i="75"/>
  <c r="H34" i="83" l="1"/>
  <c r="E38" i="62" l="1"/>
  <c r="E33" i="62" l="1"/>
  <c r="C45" i="69" l="1"/>
  <c r="E40" i="62" l="1"/>
  <c r="C41" i="62"/>
  <c r="E41" i="62" s="1"/>
  <c r="C7" i="84" l="1"/>
  <c r="C19" i="84" s="1"/>
  <c r="I12" i="83" l="1"/>
  <c r="I8" i="83"/>
  <c r="I33" i="83"/>
  <c r="I14" i="83"/>
  <c r="I27" i="83"/>
  <c r="I23" i="83"/>
  <c r="I9" i="83"/>
  <c r="I26" i="83"/>
  <c r="I25" i="83"/>
  <c r="I18" i="83"/>
  <c r="I20" i="83"/>
  <c r="I32" i="83"/>
  <c r="I17" i="83"/>
  <c r="I19" i="83"/>
  <c r="I30" i="83"/>
  <c r="I31" i="83"/>
  <c r="I7" i="83"/>
  <c r="I11" i="83"/>
  <c r="I24" i="83"/>
  <c r="I16" i="83"/>
  <c r="I13" i="83"/>
  <c r="I10" i="83"/>
  <c r="I21" i="83"/>
  <c r="E34" i="83"/>
  <c r="I28" i="83"/>
  <c r="F34" i="83"/>
  <c r="D34" i="83"/>
  <c r="C34" i="83"/>
  <c r="I34" i="83" s="1"/>
  <c r="I22" i="83"/>
  <c r="I29" i="83"/>
  <c r="I15" i="83"/>
</calcChain>
</file>

<file path=xl/sharedStrings.xml><?xml version="1.0" encoding="utf-8"?>
<sst xmlns="http://schemas.openxmlformats.org/spreadsheetml/2006/main" count="1172" uniqueCount="767">
  <si>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</si>
  <si>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</si>
  <si>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</si>
  <si>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</si>
  <si>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</si>
  <si>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</si>
  <si>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</si>
  <si>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</si>
  <si>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</si>
  <si>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</si>
  <si>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</si>
  <si>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</si>
  <si>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</si>
  <si>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</si>
  <si>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</si>
  <si>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</si>
  <si>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</si>
  <si>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</si>
  <si>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</si>
  <si>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</si>
  <si>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</si>
  <si>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</si>
  <si>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</si>
  <si>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</si>
  <si>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</si>
  <si>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</si>
  <si>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</si>
  <si>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</si>
  <si>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</si>
  <si>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</si>
  <si>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</si>
  <si>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</si>
  <si>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</si>
  <si>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</si>
  <si>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</si>
  <si>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</si>
  <si>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</si>
  <si>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</si>
  <si>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</si>
  <si>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</si>
  <si>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</si>
  <si>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</si>
  <si>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</si>
  <si>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</si>
  <si>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</si>
  <si>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</si>
  <si>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</si>
  <si>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</si>
  <si>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</si>
  <si>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</si>
  <si>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</si>
  <si>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</si>
  <si>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</si>
  <si>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</si>
  <si>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</si>
  <si>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</si>
  <si>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</si>
  <si>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</si>
  <si>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</si>
  <si>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</si>
  <si>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</si>
  <si>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</si>
  <si>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</si>
  <si>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</si>
  <si>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</si>
  <si>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</si>
  <si>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</si>
  <si>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</si>
  <si>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</si>
  <si>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</si>
  <si>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</si>
  <si>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</si>
  <si>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</si>
  <si>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</si>
  <si>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</si>
  <si>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</si>
  <si>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</si>
  <si>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</si>
  <si>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</si>
  <si>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</si>
  <si>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</si>
  <si>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</si>
  <si>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</si>
  <si>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</si>
  <si>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</si>
  <si>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</si>
  <si>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</si>
  <si>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</si>
  <si>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</si>
  <si>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</si>
  <si>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</si>
  <si>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</si>
  <si>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</si>
  <si>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</si>
  <si>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</si>
  <si>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</si>
  <si>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</si>
  <si>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</si>
  <si>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</si>
  <si>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</si>
  <si>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</si>
  <si>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</si>
  <si>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</si>
  <si>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</si>
  <si>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</si>
  <si>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</si>
  <si>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</si>
  <si>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</si>
  <si>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</si>
  <si>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</si>
  <si>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</si>
  <si>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</si>
  <si>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</si>
  <si>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</si>
  <si>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</si>
  <si>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</si>
  <si>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</si>
  <si>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</si>
  <si>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</si>
  <si>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</si>
  <si>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</si>
  <si>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</si>
  <si>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</si>
  <si>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</si>
  <si>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</si>
  <si>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</si>
  <si>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</si>
  <si>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</si>
  <si>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</si>
  <si>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</si>
  <si>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</si>
  <si>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</si>
  <si>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</si>
  <si>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</si>
  <si>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</si>
  <si>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</si>
  <si>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</si>
  <si>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</si>
  <si>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</si>
  <si>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</si>
  <si>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</si>
  <si>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</si>
  <si>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</si>
  <si>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</si>
  <si>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</si>
  <si>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</si>
  <si>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</si>
  <si>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</si>
  <si>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</si>
  <si>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</si>
  <si>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</si>
  <si>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</si>
  <si>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</si>
  <si>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</si>
  <si>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</si>
  <si>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</si>
  <si>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</si>
  <si>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</si>
  <si>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</si>
  <si>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</si>
  <si>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</si>
  <si>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</si>
  <si>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</si>
  <si>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</si>
  <si>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</si>
  <si>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</si>
  <si>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</si>
  <si>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</si>
  <si>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</si>
  <si>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</si>
  <si>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</si>
  <si>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</si>
  <si>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</si>
  <si>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</si>
  <si>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</si>
  <si>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</si>
  <si>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</si>
  <si>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</si>
  <si>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</si>
  <si>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</si>
  <si>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</si>
  <si>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</si>
  <si>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</si>
  <si>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</si>
  <si>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</si>
  <si>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</si>
  <si>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</si>
  <si>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</si>
  <si>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</si>
  <si>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</si>
  <si>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</si>
  <si>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</si>
  <si>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</si>
  <si>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</si>
  <si>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</si>
  <si>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</si>
  <si>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</si>
  <si>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</si>
  <si>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</si>
  <si>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</si>
  <si>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</si>
  <si>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</si>
  <si>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</si>
  <si>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</si>
  <si>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</si>
  <si>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</si>
  <si>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</si>
  <si>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</si>
  <si>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</si>
  <si>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</si>
  <si>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</si>
  <si>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</si>
  <si>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</si>
  <si>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</si>
  <si>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</si>
  <si>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</si>
  <si>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</si>
  <si>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</si>
  <si>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</si>
  <si>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</si>
  <si>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</si>
  <si>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</si>
  <si>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</si>
  <si>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</si>
  <si>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</si>
  <si>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</si>
  <si>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</si>
  <si>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</si>
  <si>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</si>
  <si>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</si>
  <si>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</si>
  <si>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</si>
  <si>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</si>
  <si>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</si>
  <si>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</si>
  <si>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</si>
  <si>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</si>
  <si>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</si>
  <si>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</si>
  <si>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</si>
  <si>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</si>
  <si>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</si>
  <si>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</si>
  <si>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</si>
  <si>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</si>
  <si>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</si>
  <si>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</si>
  <si>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</si>
  <si>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</si>
  <si>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</si>
  <si>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</si>
  <si>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</si>
  <si>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</si>
  <si>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</si>
  <si>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</si>
  <si>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</si>
  <si>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</si>
  <si>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</si>
  <si>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</si>
  <si>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</si>
  <si>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</si>
  <si>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</si>
  <si>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</si>
  <si>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</si>
  <si>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</si>
  <si>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</si>
  <si>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</si>
  <si>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</si>
  <si>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</si>
  <si>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</si>
  <si>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</si>
  <si>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</si>
  <si>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</si>
  <si>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</si>
  <si>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</si>
  <si>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</si>
  <si>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</si>
  <si>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</si>
  <si>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</si>
  <si>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</si>
  <si>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</si>
  <si>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</si>
  <si>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</si>
  <si>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</si>
  <si>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</si>
  <si>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</si>
  <si>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</si>
  <si>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</si>
  <si>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</si>
  <si>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</si>
  <si>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</si>
  <si>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</si>
  <si>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</si>
  <si>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</si>
  <si>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</si>
  <si>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</si>
  <si>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</si>
  <si>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</si>
  <si>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</si>
  <si>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</si>
  <si>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</si>
  <si>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</si>
  <si>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</si>
  <si>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</si>
  <si>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</si>
  <si>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</si>
  <si>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</si>
  <si>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</si>
  <si>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</si>
  <si>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</si>
  <si>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</si>
  <si>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</si>
  <si>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</si>
  <si>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</si>
  <si>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</si>
  <si>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</si>
  <si>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</si>
  <si>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</si>
  <si>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</si>
  <si>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</si>
  <si>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</si>
  <si>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</si>
  <si>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</si>
  <si>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</si>
  <si>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</si>
  <si>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</si>
  <si>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</si>
  <si>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</si>
  <si>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</si>
  <si>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</si>
  <si>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</si>
  <si>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</si>
  <si>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</si>
  <si>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</si>
  <si>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</si>
  <si>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</si>
  <si>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</si>
  <si>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</si>
  <si>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</si>
  <si>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</si>
  <si>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</si>
  <si>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</si>
  <si>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</si>
  <si>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</si>
  <si>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</si>
  <si>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</si>
  <si>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</si>
  <si>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</si>
  <si>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</si>
  <si>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</si>
  <si>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</si>
  <si>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</si>
  <si>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</si>
  <si>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</si>
  <si>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</si>
  <si>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</si>
  <si>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</si>
  <si>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</si>
  <si>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</si>
  <si>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</si>
  <si>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</si>
  <si>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</si>
  <si>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</si>
  <si>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</si>
  <si>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</si>
  <si>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</si>
  <si>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</si>
  <si>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</si>
  <si>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</si>
  <si>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</si>
  <si>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</si>
  <si>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</si>
  <si>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</si>
  <si>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</si>
  <si>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</si>
  <si>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</si>
  <si>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</si>
  <si>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</si>
  <si>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</si>
  <si>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</si>
  <si>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</si>
  <si>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</si>
  <si>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</si>
  <si>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</si>
  <si>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</si>
  <si>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</si>
  <si>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</si>
  <si>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</si>
  <si>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</si>
  <si>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</si>
  <si>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</si>
  <si>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</si>
  <si>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</si>
  <si>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</si>
  <si>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</si>
  <si>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</si>
  <si>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</si>
  <si>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</si>
  <si>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</si>
  <si>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</si>
  <si>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</si>
  <si>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</si>
  <si>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</si>
  <si>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</si>
  <si>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</si>
  <si>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</si>
  <si>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</si>
  <si>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</si>
  <si>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</si>
  <si>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</si>
  <si>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</si>
  <si>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</si>
  <si>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</si>
  <si>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</si>
  <si>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</si>
  <si>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</si>
  <si>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</si>
  <si>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</si>
  <si>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</si>
  <si>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</si>
  <si>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</si>
  <si>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</si>
  <si>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</si>
  <si>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</si>
  <si>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</si>
  <si>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</si>
  <si>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</si>
  <si>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</si>
  <si>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</si>
  <si>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</si>
  <si>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</si>
  <si>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</si>
  <si>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</si>
  <si>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</si>
  <si>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</si>
  <si>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</si>
  <si>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</si>
  <si>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</si>
  <si>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</si>
  <si>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</si>
  <si>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</si>
  <si>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</si>
  <si>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</si>
  <si>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</si>
  <si>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</si>
  <si>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</si>
  <si>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</si>
  <si>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</si>
  <si>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</si>
  <si>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</si>
  <si>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</si>
  <si>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</si>
  <si>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</si>
  <si>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</si>
  <si>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</si>
  <si>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</si>
  <si>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</si>
  <si>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</si>
  <si>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</si>
  <si>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</si>
  <si>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</si>
  <si>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</si>
  <si>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</si>
  <si>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</si>
  <si>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</si>
  <si>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</si>
  <si>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</si>
  <si>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</si>
  <si>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</si>
  <si>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</si>
  <si>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</si>
  <si>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</si>
  <si>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</si>
  <si>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</si>
  <si>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</si>
  <si>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</si>
  <si>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</si>
  <si>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</si>
  <si>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</si>
  <si>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</si>
  <si>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</si>
  <si>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</si>
  <si>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</si>
  <si>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</si>
  <si>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</si>
  <si>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</si>
  <si>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</si>
  <si>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</si>
  <si>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</si>
  <si>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</si>
  <si>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</si>
  <si>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</si>
  <si>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</si>
  <si>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</si>
  <si>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</si>
  <si>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</si>
  <si>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</si>
  <si>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</si>
  <si>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</si>
  <si>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</si>
  <si>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</si>
  <si>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</si>
  <si>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</si>
  <si>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</si>
  <si>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</si>
  <si>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</si>
  <si>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</si>
  <si>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</si>
  <si>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</si>
  <si>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</si>
  <si>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</si>
  <si>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</si>
  <si>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</si>
  <si>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</si>
  <si>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</si>
  <si>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</si>
  <si>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</si>
  <si>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</si>
  <si>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</si>
  <si>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</si>
  <si>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</si>
  <si>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</si>
  <si>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</si>
  <si>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</si>
  <si>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</si>
  <si>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</si>
  <si>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</si>
  <si>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</si>
  <si>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</si>
  <si>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</si>
  <si>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</si>
  <si>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</si>
  <si>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</si>
  <si>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</si>
  <si>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</si>
  <si>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</si>
  <si>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</si>
  <si>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</si>
  <si>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</si>
  <si>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</si>
  <si>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</si>
  <si>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</si>
  <si>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</si>
  <si>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</si>
  <si>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</si>
  <si>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</si>
  <si>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</si>
  <si>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</si>
  <si>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</si>
  <si>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</si>
  <si>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</si>
  <si>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</si>
  <si>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</si>
  <si>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</si>
  <si>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</si>
  <si>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</si>
  <si>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</si>
  <si>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</si>
  <si>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</si>
  <si>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</si>
  <si>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</si>
  <si>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</si>
  <si>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</si>
  <si>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</si>
  <si>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</si>
  <si>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</si>
  <si>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</si>
  <si>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</si>
  <si>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</si>
  <si>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</si>
  <si>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</si>
  <si>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</si>
  <si>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</si>
  <si>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</si>
  <si>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</si>
  <si>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</si>
  <si>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</si>
  <si>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</si>
  <si>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</si>
  <si>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</si>
  <si>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</si>
  <si>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</si>
  <si>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</si>
  <si>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</si>
  <si>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</si>
  <si>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</si>
  <si>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</si>
  <si>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</si>
  <si>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</si>
  <si>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</si>
  <si>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</si>
  <si>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</si>
  <si>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</si>
  <si>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</si>
  <si>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</si>
  <si>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</si>
  <si>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</si>
  <si>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</si>
  <si>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</si>
  <si>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</si>
  <si>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</si>
  <si>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</si>
  <si>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</si>
  <si>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</si>
  <si>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</si>
  <si>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</si>
  <si>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</si>
  <si>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</si>
  <si>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</si>
  <si>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</si>
  <si>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</si>
  <si>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</si>
  <si>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</si>
  <si>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</si>
  <si>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</si>
  <si>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</si>
  <si>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</si>
  <si>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</si>
  <si>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</si>
  <si>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</si>
  <si>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</si>
  <si>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</si>
  <si>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</si>
  <si>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</si>
  <si>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</si>
  <si>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</si>
  <si>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</si>
  <si>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</si>
  <si>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</si>
  <si>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</si>
  <si>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</si>
  <si>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</si>
  <si>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</si>
  <si>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</si>
  <si>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</si>
  <si>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</si>
  <si>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</si>
  <si>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</si>
  <si>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</si>
  <si>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</si>
  <si>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</si>
  <si>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</si>
  <si>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</si>
  <si>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</si>
  <si>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</si>
  <si>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</si>
  <si>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</si>
  <si>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</si>
  <si>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</si>
  <si>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</si>
  <si>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</si>
  <si>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</si>
  <si>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</si>
  <si>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</si>
  <si>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</si>
  <si>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</si>
  <si>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</si>
  <si>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</si>
  <si>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</si>
  <si>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</si>
  <si>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</si>
  <si>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</si>
  <si>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</si>
  <si>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</si>
  <si>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</si>
  <si>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</si>
  <si>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</si>
  <si>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</si>
  <si>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</si>
  <si>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</si>
  <si>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</si>
  <si>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</si>
  <si>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</si>
  <si>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</si>
  <si>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</si>
  <si>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</si>
  <si>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</si>
  <si>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</si>
  <si>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</si>
  <si>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</si>
  <si>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</si>
  <si>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</si>
  <si>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</si>
  <si>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</si>
  <si>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</si>
  <si>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</si>
  <si>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</si>
  <si>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</si>
  <si>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</si>
  <si>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</si>
  <si>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</si>
  <si>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</si>
  <si>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</si>
  <si>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</si>
  <si>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</si>
  <si>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</si>
  <si>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</si>
  <si>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</si>
  <si>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</si>
  <si>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</si>
  <si>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</si>
  <si>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</si>
  <si>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</si>
  <si>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</si>
  <si>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</si>
  <si>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</si>
  <si>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</si>
  <si>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</si>
  <si>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</si>
  <si>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</si>
  <si>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</si>
  <si>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</si>
  <si>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</si>
  <si>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</si>
  <si>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</si>
  <si>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</si>
  <si>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</si>
  <si>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</si>
  <si>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</si>
  <si>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</si>
  <si>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</si>
  <si>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</si>
  <si>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</si>
  <si>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</si>
  <si>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</si>
  <si>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</si>
  <si>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</si>
  <si>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</si>
  <si>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</si>
  <si>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</si>
  <si>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</si>
  <si>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</si>
  <si>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</si>
  <si>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</si>
  <si>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</si>
  <si>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</si>
  <si>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</si>
  <si>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</si>
  <si>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</si>
  <si>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ს.ს. "ტერაბანკი"</t>
  </si>
  <si>
    <t>შეიხი ნაჰაიან მაბარაკ ალ ნაჰაიანი</t>
  </si>
  <si>
    <t>თეა ლორთქიფანიძე</t>
  </si>
  <si>
    <t>www.terabank.ge</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</si>
  <si>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</si>
  <si>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</si>
  <si>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</si>
  <si>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</si>
  <si>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სემი ედვარდ ადამ ხალილ</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</si>
  <si>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</si>
  <si>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</si>
  <si>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</si>
  <si>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</si>
  <si>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</si>
  <si>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</si>
  <si>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</si>
  <si>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</si>
  <si>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</si>
  <si>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</si>
  <si>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</si>
  <si>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</si>
  <si>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</si>
  <si>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</si>
  <si>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</si>
  <si>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</si>
  <si>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</si>
  <si>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</si>
  <si>
    <t>ზოგადი ინფორმაცია საცალო პროდუქტებზე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</si>
</sst>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9"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88" fontId="2" fillId="70" borderId="88" applyFont="0">
      <alignment horizontal="right" vertical="center"/>
    </xf>
    <xf numFmtId="3" fontId="2" fillId="70" borderId="88" applyFont="0">
      <alignment horizontal="right" vertical="center"/>
    </xf>
    <xf numFmtId="0" fontId="85"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9"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3" fontId="2" fillId="72" borderId="88" applyFont="0">
      <alignment horizontal="right" vertical="center"/>
      <protection locked="0"/>
    </xf>
    <xf numFmtId="0" fontId="68"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9"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4" fillId="70" borderId="89" applyFont="0" applyBorder="0">
      <alignment horizontal="center" wrapText="1"/>
    </xf>
    <xf numFmtId="168" fontId="56" fillId="0" borderId="86">
      <alignment horizontal="left" vertical="center"/>
    </xf>
    <xf numFmtId="0" fontId="56" fillId="0" borderId="86">
      <alignment horizontal="left" vertical="center"/>
    </xf>
    <xf numFmtId="0" fontId="56" fillId="0" borderId="86">
      <alignment horizontal="left" vertical="center"/>
    </xf>
    <xf numFmtId="0" fontId="2" fillId="69" borderId="88" applyNumberFormat="0" applyFont="0" applyBorder="0" applyProtection="0">
      <alignment horizontal="center" vertical="center"/>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40"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9"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27">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1" xfId="20" applyBorder="1"/>
    <xf numFmtId="0" fontId="4" fillId="0" borderId="7" xfId="0" applyFont="1" applyBorder="1" applyAlignment="1">
      <alignment vertical="center"/>
    </xf>
    <xf numFmtId="0" fontId="4" fillId="0" borderId="88" xfId="0" applyFont="1" applyBorder="1" applyAlignment="1">
      <alignment vertical="center"/>
    </xf>
    <xf numFmtId="0" fontId="6" fillId="0" borderId="88"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96" xfId="0" applyFont="1" applyBorder="1" applyAlignment="1">
      <alignment horizontal="center" vertical="center"/>
    </xf>
    <xf numFmtId="0" fontId="4" fillId="0" borderId="97" xfId="0" applyFont="1" applyBorder="1" applyAlignment="1">
      <alignment vertical="center"/>
    </xf>
    <xf numFmtId="0" fontId="4" fillId="0" borderId="98" xfId="0" applyFont="1" applyBorder="1" applyAlignment="1">
      <alignment horizontal="center" vertical="center"/>
    </xf>
    <xf numFmtId="169" fontId="28" fillId="37" borderId="34" xfId="20" applyBorder="1"/>
    <xf numFmtId="169" fontId="28" fillId="37" borderId="100" xfId="20" applyBorder="1"/>
    <xf numFmtId="169" fontId="28" fillId="37" borderId="9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Alignment="1">
      <alignment vertical="center"/>
    </xf>
    <xf numFmtId="0" fontId="4" fillId="0" borderId="78" xfId="0" applyFont="1" applyBorder="1" applyAlignment="1">
      <alignment horizontal="center" vertical="center"/>
    </xf>
    <xf numFmtId="0" fontId="4" fillId="3" borderId="86" xfId="0" applyFont="1" applyFill="1" applyBorder="1" applyAlignment="1">
      <alignment vertical="center"/>
    </xf>
    <xf numFmtId="0" fontId="14" fillId="3" borderId="101" xfId="0" applyFont="1" applyFill="1" applyBorder="1" applyAlignment="1">
      <alignment horizontal="left"/>
    </xf>
    <xf numFmtId="0" fontId="14" fillId="3" borderId="102" xfId="0" applyFont="1" applyFill="1" applyBorder="1" applyAlignment="1">
      <alignment horizontal="left"/>
    </xf>
    <xf numFmtId="0" fontId="4" fillId="0" borderId="88" xfId="0" applyFont="1" applyBorder="1" applyAlignment="1">
      <alignment horizontal="center" vertical="center" wrapText="1"/>
    </xf>
    <xf numFmtId="0" fontId="4" fillId="0" borderId="103" xfId="0" applyFont="1" applyBorder="1" applyAlignment="1">
      <alignment horizontal="center" vertical="center" wrapText="1"/>
    </xf>
    <xf numFmtId="0" fontId="6" fillId="3" borderId="104" xfId="0" applyFont="1" applyFill="1" applyBorder="1" applyAlignment="1">
      <alignment vertical="center"/>
    </xf>
    <xf numFmtId="0" fontId="4" fillId="0" borderId="105"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67" fontId="4" fillId="0" borderId="88" xfId="0" applyNumberFormat="1" applyFont="1" applyBorder="1" applyAlignment="1">
      <alignment horizontal="center" vertical="center"/>
    </xf>
    <xf numFmtId="167" fontId="4" fillId="0" borderId="103" xfId="0" applyNumberFormat="1" applyFont="1" applyBorder="1" applyAlignment="1">
      <alignment horizontal="center" vertical="center"/>
    </xf>
    <xf numFmtId="167" fontId="14" fillId="0" borderId="88" xfId="0" applyNumberFormat="1" applyFont="1" applyBorder="1" applyAlignment="1">
      <alignment horizontal="center" vertical="center"/>
    </xf>
    <xf numFmtId="0" fontId="14" fillId="0" borderId="87" xfId="0" applyFont="1" applyBorder="1" applyAlignment="1">
      <alignment vertical="center" wrapText="1"/>
    </xf>
    <xf numFmtId="0" fontId="0" fillId="0" borderId="25" xfId="0" applyBorder="1"/>
    <xf numFmtId="0" fontId="6" fillId="36" borderId="10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5" xfId="0" applyFont="1" applyFill="1" applyBorder="1" applyAlignment="1">
      <alignment horizontal="left" vertical="center" wrapText="1"/>
    </xf>
    <xf numFmtId="0" fontId="6" fillId="36" borderId="8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4" fillId="0" borderId="105" xfId="0" applyFont="1" applyBorder="1" applyAlignment="1">
      <alignment horizontal="right" vertical="center" wrapText="1"/>
    </xf>
    <xf numFmtId="0" fontId="4" fillId="0" borderId="88" xfId="0" applyFont="1" applyBorder="1" applyAlignment="1">
      <alignment horizontal="left" vertical="center" wrapText="1"/>
    </xf>
    <xf numFmtId="0" fontId="108" fillId="0" borderId="105" xfId="0" applyFont="1" applyBorder="1" applyAlignment="1">
      <alignment horizontal="right" vertical="center" wrapText="1"/>
    </xf>
    <xf numFmtId="0" fontId="108" fillId="0" borderId="88" xfId="0" applyFont="1" applyBorder="1" applyAlignment="1">
      <alignment horizontal="left" vertical="center" wrapText="1"/>
    </xf>
    <xf numFmtId="0" fontId="6" fillId="0" borderId="10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5" xfId="0" applyFont="1" applyBorder="1" applyAlignment="1">
      <alignment horizontal="center" vertical="center" wrapText="1"/>
    </xf>
    <xf numFmtId="3" fontId="23" fillId="36" borderId="88" xfId="0" applyNumberFormat="1" applyFont="1" applyFill="1" applyBorder="1" applyAlignment="1">
      <alignment vertical="center" wrapText="1"/>
    </xf>
    <xf numFmtId="3" fontId="23" fillId="36" borderId="103" xfId="0" applyNumberFormat="1" applyFont="1" applyFill="1" applyBorder="1" applyAlignment="1">
      <alignment vertical="center" wrapText="1"/>
    </xf>
    <xf numFmtId="14" fontId="7" fillId="3" borderId="88" xfId="8" quotePrefix="1" applyNumberFormat="1" applyFont="1" applyFill="1" applyBorder="1" applyAlignment="1" applyProtection="1">
      <alignment horizontal="left" vertical="center" wrapText="1" indent="2"/>
      <protection locked="0"/>
    </xf>
    <xf numFmtId="3" fontId="23" fillId="0" borderId="88" xfId="0" applyNumberFormat="1" applyFont="1" applyBorder="1" applyAlignment="1">
      <alignment vertical="center" wrapText="1"/>
    </xf>
    <xf numFmtId="14" fontId="7" fillId="3" borderId="88" xfId="8" quotePrefix="1" applyNumberFormat="1" applyFont="1" applyFill="1" applyBorder="1" applyAlignment="1" applyProtection="1">
      <alignment horizontal="left" vertical="center" wrapText="1" indent="3"/>
      <protection locked="0"/>
    </xf>
    <xf numFmtId="0" fontId="11" fillId="0" borderId="88" xfId="17" applyFill="1" applyBorder="1" applyAlignment="1" applyProtection="1"/>
    <xf numFmtId="49" fontId="108" fillId="0" borderId="105" xfId="0" applyNumberFormat="1" applyFont="1" applyBorder="1" applyAlignment="1">
      <alignment horizontal="right" vertical="center" wrapText="1"/>
    </xf>
    <xf numFmtId="0" fontId="7" fillId="3" borderId="88" xfId="20960" applyFont="1" applyFill="1" applyBorder="1"/>
    <xf numFmtId="0" fontId="105" fillId="0" borderId="88" xfId="20960" applyFont="1" applyBorder="1" applyAlignment="1">
      <alignment horizontal="center" vertical="center"/>
    </xf>
    <xf numFmtId="0" fontId="4" fillId="0" borderId="88" xfId="0" applyFont="1" applyBorder="1"/>
    <xf numFmtId="0" fontId="11" fillId="0" borderId="88" xfId="17" applyFill="1" applyBorder="1" applyAlignment="1" applyProtection="1">
      <alignment horizontal="left" vertical="center" wrapText="1"/>
    </xf>
    <xf numFmtId="49" fontId="108" fillId="0" borderId="88" xfId="0" applyNumberFormat="1" applyFont="1" applyBorder="1" applyAlignment="1">
      <alignment horizontal="right" vertical="center" wrapText="1"/>
    </xf>
    <xf numFmtId="0" fontId="11" fillId="0" borderId="88" xfId="17" applyFill="1" applyBorder="1" applyAlignment="1" applyProtection="1">
      <alignment horizontal="left" vertical="center"/>
    </xf>
    <xf numFmtId="0" fontId="11" fillId="0" borderId="88" xfId="17" applyBorder="1" applyAlignment="1" applyProtection="1"/>
    <xf numFmtId="0" fontId="111" fillId="77" borderId="89" xfId="21412" applyFont="1" applyFill="1" applyBorder="1" applyAlignment="1" applyProtection="1">
      <alignment vertical="center" wrapText="1"/>
      <protection locked="0"/>
    </xf>
    <xf numFmtId="0" fontId="112" fillId="70" borderId="83" xfId="21412" applyFont="1" applyFill="1" applyBorder="1" applyAlignment="1" applyProtection="1">
      <alignment horizontal="center" vertical="center"/>
      <protection locked="0"/>
    </xf>
    <xf numFmtId="0" fontId="111" fillId="78" borderId="88" xfId="21412" applyFont="1" applyFill="1" applyBorder="1" applyAlignment="1" applyProtection="1">
      <alignment horizontal="center" vertical="center"/>
      <protection locked="0"/>
    </xf>
    <xf numFmtId="0" fontId="111" fillId="77" borderId="89" xfId="21412" applyFont="1" applyFill="1" applyBorder="1" applyProtection="1">
      <alignment vertical="center"/>
      <protection locked="0"/>
    </xf>
    <xf numFmtId="0" fontId="113" fillId="70" borderId="83" xfId="21412" applyFont="1" applyFill="1" applyBorder="1" applyAlignment="1" applyProtection="1">
      <alignment horizontal="center" vertical="center"/>
      <protection locked="0"/>
    </xf>
    <xf numFmtId="0" fontId="113" fillId="3" borderId="83" xfId="21412" applyFont="1" applyFill="1" applyBorder="1" applyAlignment="1" applyProtection="1">
      <alignment horizontal="center" vertical="center"/>
      <protection locked="0"/>
    </xf>
    <xf numFmtId="0" fontId="113" fillId="0" borderId="83" xfId="21412" applyFont="1" applyBorder="1" applyAlignment="1" applyProtection="1">
      <alignment horizontal="center" vertical="center"/>
      <protection locked="0"/>
    </xf>
    <xf numFmtId="0" fontId="114"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horizontal="center" vertical="center"/>
      <protection locked="0"/>
    </xf>
    <xf numFmtId="0" fontId="64" fillId="77" borderId="89"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38" fillId="70" borderId="88" xfId="21412" applyFont="1" applyFill="1" applyBorder="1" applyAlignment="1" applyProtection="1">
      <alignment horizontal="center" vertical="center"/>
      <protection locked="0"/>
    </xf>
    <xf numFmtId="0" fontId="64" fillId="77" borderId="87" xfId="21412" applyFont="1" applyFill="1" applyBorder="1" applyProtection="1">
      <alignment vertical="center"/>
      <protection locked="0"/>
    </xf>
    <xf numFmtId="0" fontId="112" fillId="0" borderId="87" xfId="21412" applyFont="1" applyBorder="1" applyAlignment="1" applyProtection="1">
      <alignment horizontal="left" vertical="center" wrapText="1"/>
      <protection locked="0"/>
    </xf>
    <xf numFmtId="164" fontId="112" fillId="0" borderId="88" xfId="948" applyNumberFormat="1" applyFont="1" applyFill="1" applyBorder="1" applyAlignment="1" applyProtection="1">
      <alignment horizontal="right" vertical="center"/>
      <protection locked="0"/>
    </xf>
    <xf numFmtId="0" fontId="111" fillId="78" borderId="87" xfId="21412" applyFont="1" applyFill="1" applyBorder="1" applyAlignment="1" applyProtection="1">
      <alignment vertical="top" wrapText="1"/>
      <protection locked="0"/>
    </xf>
    <xf numFmtId="164" fontId="112" fillId="78" borderId="88" xfId="948" applyNumberFormat="1" applyFont="1" applyFill="1" applyBorder="1" applyAlignment="1" applyProtection="1">
      <alignment horizontal="right" vertical="center"/>
    </xf>
    <xf numFmtId="164" fontId="64" fillId="77" borderId="87" xfId="948" applyNumberFormat="1" applyFont="1" applyFill="1" applyBorder="1" applyAlignment="1" applyProtection="1">
      <alignment horizontal="right" vertical="center"/>
      <protection locked="0"/>
    </xf>
    <xf numFmtId="0" fontId="112" fillId="70" borderId="87" xfId="21412" applyFont="1" applyFill="1" applyBorder="1" applyAlignment="1" applyProtection="1">
      <alignment vertical="center" wrapText="1"/>
      <protection locked="0"/>
    </xf>
    <xf numFmtId="0" fontId="112" fillId="70" borderId="87" xfId="21412" applyFont="1" applyFill="1" applyBorder="1" applyAlignment="1" applyProtection="1">
      <alignment horizontal="left" vertical="center" wrapText="1"/>
      <protection locked="0"/>
    </xf>
    <xf numFmtId="0" fontId="112" fillId="0" borderId="87" xfId="21412" applyFont="1" applyBorder="1" applyAlignment="1" applyProtection="1">
      <alignment vertical="center" wrapText="1"/>
      <protection locked="0"/>
    </xf>
    <xf numFmtId="0" fontId="112" fillId="3" borderId="87" xfId="21412" applyFont="1" applyFill="1" applyBorder="1" applyAlignment="1" applyProtection="1">
      <alignment horizontal="left" vertical="center" wrapText="1"/>
      <protection locked="0"/>
    </xf>
    <xf numFmtId="0" fontId="111" fillId="78" borderId="87" xfId="21412" applyFont="1" applyFill="1" applyBorder="1" applyAlignment="1" applyProtection="1">
      <alignment vertical="center" wrapText="1"/>
      <protection locked="0"/>
    </xf>
    <xf numFmtId="164" fontId="111" fillId="77" borderId="87" xfId="948" applyNumberFormat="1" applyFont="1" applyFill="1" applyBorder="1" applyAlignment="1" applyProtection="1">
      <alignment horizontal="right" vertical="center"/>
      <protection locked="0"/>
    </xf>
    <xf numFmtId="164" fontId="112" fillId="3" borderId="88" xfId="948" applyNumberFormat="1" applyFont="1" applyFill="1" applyBorder="1" applyAlignment="1" applyProtection="1">
      <alignment horizontal="right" vertical="center"/>
      <protection locked="0"/>
    </xf>
    <xf numFmtId="1" fontId="4" fillId="0" borderId="103" xfId="0" applyNumberFormat="1" applyFont="1" applyBorder="1" applyAlignment="1">
      <alignment horizontal="right" vertical="center" wrapText="1"/>
    </xf>
    <xf numFmtId="1" fontId="6" fillId="36" borderId="103" xfId="0" applyNumberFormat="1" applyFont="1" applyFill="1" applyBorder="1" applyAlignment="1">
      <alignment horizontal="right" vertical="center" wrapText="1"/>
    </xf>
    <xf numFmtId="1" fontId="108" fillId="0" borderId="103" xfId="0" applyNumberFormat="1" applyFont="1" applyBorder="1" applyAlignment="1">
      <alignment horizontal="right" vertical="center" wrapText="1"/>
    </xf>
    <xf numFmtId="1" fontId="6" fillId="36" borderId="10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left" vertical="center" wrapText="1"/>
    </xf>
    <xf numFmtId="10" fontId="108" fillId="0" borderId="88" xfId="20961" applyNumberFormat="1" applyFont="1" applyFill="1" applyBorder="1" applyAlignment="1">
      <alignment horizontal="left" vertical="center" wrapText="1"/>
    </xf>
    <xf numFmtId="10" fontId="6" fillId="36"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5" xfId="0" applyFont="1" applyBorder="1" applyAlignment="1">
      <alignment horizontal="right" vertical="center" wrapText="1"/>
    </xf>
    <xf numFmtId="0" fontId="7" fillId="0" borderId="88"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left" vertical="center" wrapText="1" indent="2"/>
    </xf>
    <xf numFmtId="3" fontId="23" fillId="36" borderId="8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9"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3" xfId="0" applyFont="1" applyBorder="1"/>
    <xf numFmtId="0" fontId="4" fillId="0" borderId="27" xfId="0" applyFont="1" applyBorder="1"/>
    <xf numFmtId="0" fontId="9" fillId="0" borderId="103" xfId="0" applyFont="1" applyBorder="1"/>
    <xf numFmtId="0" fontId="9" fillId="0" borderId="103" xfId="0" applyFont="1" applyBorder="1" applyAlignment="1">
      <alignment wrapText="1"/>
    </xf>
    <xf numFmtId="0" fontId="10" fillId="0" borderId="21" xfId="0" applyFont="1" applyBorder="1" applyAlignment="1">
      <alignment horizontal="center"/>
    </xf>
    <xf numFmtId="0" fontId="10" fillId="0" borderId="103"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5" xfId="0" applyFont="1" applyBorder="1" applyAlignment="1">
      <alignment horizontal="center" vertical="center" wrapText="1"/>
    </xf>
    <xf numFmtId="0" fontId="15" fillId="0" borderId="88" xfId="0" applyFont="1" applyBorder="1" applyAlignment="1">
      <alignment horizontal="center" vertical="center" wrapText="1"/>
    </xf>
    <xf numFmtId="0" fontId="16" fillId="0" borderId="88" xfId="0" applyFont="1" applyBorder="1" applyAlignment="1">
      <alignment horizontal="left" vertical="center" wrapText="1"/>
    </xf>
    <xf numFmtId="193" fontId="7" fillId="0" borderId="88" xfId="0" applyNumberFormat="1" applyFont="1" applyBorder="1" applyAlignment="1" applyProtection="1">
      <alignment vertical="center" wrapText="1"/>
      <protection locked="0"/>
    </xf>
    <xf numFmtId="193" fontId="4" fillId="0" borderId="88" xfId="0" applyNumberFormat="1" applyFont="1" applyBorder="1" applyAlignment="1" applyProtection="1">
      <alignment vertical="center" wrapText="1"/>
      <protection locked="0"/>
    </xf>
    <xf numFmtId="193" fontId="4" fillId="0" borderId="103" xfId="0" applyNumberFormat="1" applyFont="1" applyBorder="1" applyAlignment="1" applyProtection="1">
      <alignment vertical="center" wrapText="1"/>
      <protection locked="0"/>
    </xf>
    <xf numFmtId="193" fontId="7" fillId="0" borderId="88" xfId="0" applyNumberFormat="1" applyFont="1" applyBorder="1" applyAlignment="1" applyProtection="1">
      <alignment horizontal="right" vertical="center" wrapText="1"/>
      <protection locked="0"/>
    </xf>
    <xf numFmtId="0" fontId="9" fillId="2" borderId="105"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193" fontId="17" fillId="2" borderId="88"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9" fillId="2" borderId="103" xfId="0" applyNumberFormat="1" applyFont="1" applyFill="1" applyBorder="1" applyAlignment="1" applyProtection="1">
      <alignment vertical="center"/>
      <protection locked="0"/>
    </xf>
    <xf numFmtId="0" fontId="15" fillId="0" borderId="105" xfId="0" applyFont="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10" fontId="4" fillId="0" borderId="88" xfId="20961" applyNumberFormat="1" applyFont="1" applyBorder="1" applyAlignment="1" applyProtection="1">
      <alignment vertical="center" wrapText="1"/>
      <protection locked="0"/>
    </xf>
    <xf numFmtId="10" fontId="4" fillId="0" borderId="103" xfId="20961" applyNumberFormat="1" applyFont="1" applyBorder="1" applyAlignment="1" applyProtection="1">
      <alignment vertical="center" wrapText="1"/>
      <protection locked="0"/>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6" fillId="3" borderId="11" xfId="0" applyFont="1" applyFill="1" applyBorder="1" applyAlignment="1">
      <alignment horizontal="center" wrapText="1"/>
    </xf>
    <xf numFmtId="0" fontId="4" fillId="0" borderId="88" xfId="0" applyFont="1" applyBorder="1" applyAlignment="1">
      <alignment horizontal="center"/>
    </xf>
    <xf numFmtId="0" fontId="4" fillId="3" borderId="7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4" fontId="4" fillId="0" borderId="88" xfId="7" applyNumberFormat="1" applyFont="1" applyBorder="1"/>
    <xf numFmtId="164" fontId="4" fillId="0" borderId="103" xfId="7" applyNumberFormat="1" applyFont="1" applyBorder="1"/>
    <xf numFmtId="0" fontId="14" fillId="0" borderId="88" xfId="0" applyFont="1" applyBorder="1" applyAlignment="1">
      <alignment horizontal="left" wrapText="1" indent="2"/>
    </xf>
    <xf numFmtId="169" fontId="28" fillId="37" borderId="88" xfId="20" applyBorder="1"/>
    <xf numFmtId="164" fontId="4" fillId="0" borderId="88" xfId="7" applyNumberFormat="1" applyFont="1" applyBorder="1" applyAlignment="1">
      <alignment vertical="center"/>
    </xf>
    <xf numFmtId="0" fontId="6" fillId="0" borderId="105" xfId="0" applyFont="1" applyBorder="1"/>
    <xf numFmtId="0" fontId="6" fillId="0" borderId="88" xfId="0" applyFont="1" applyBorder="1" applyAlignment="1">
      <alignment wrapText="1"/>
    </xf>
    <xf numFmtId="164" fontId="6" fillId="0" borderId="10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1" xfId="7" applyNumberFormat="1" applyFont="1" applyFill="1" applyBorder="1"/>
    <xf numFmtId="164" fontId="4" fillId="0" borderId="88" xfId="7" applyNumberFormat="1" applyFont="1" applyFill="1" applyBorder="1"/>
    <xf numFmtId="164" fontId="4" fillId="0" borderId="88" xfId="7" applyNumberFormat="1" applyFont="1" applyFill="1" applyBorder="1" applyAlignment="1">
      <alignment vertical="center"/>
    </xf>
    <xf numFmtId="0" fontId="14" fillId="0" borderId="8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1" xfId="0" applyFont="1" applyFill="1" applyBorder="1"/>
    <xf numFmtId="0" fontId="6" fillId="0" borderId="25" xfId="0" applyFont="1" applyBorder="1"/>
    <xf numFmtId="0" fontId="6" fillId="0" borderId="26" xfId="0" applyFont="1" applyBorder="1" applyAlignment="1">
      <alignment wrapText="1"/>
    </xf>
    <xf numFmtId="169" fontId="28" fillId="37" borderId="106" xfId="20" applyBorder="1"/>
    <xf numFmtId="10" fontId="6" fillId="0" borderId="27" xfId="20961" applyNumberFormat="1" applyFont="1" applyBorder="1"/>
    <xf numFmtId="0" fontId="9" fillId="2" borderId="96" xfId="0" applyFont="1" applyFill="1" applyBorder="1" applyAlignment="1">
      <alignment horizontal="right" vertical="center"/>
    </xf>
    <xf numFmtId="0" fontId="9" fillId="2" borderId="83" xfId="0" applyFont="1" applyFill="1" applyBorder="1" applyAlignment="1">
      <alignment vertical="center"/>
    </xf>
    <xf numFmtId="193" fontId="9" fillId="2" borderId="83" xfId="0" applyNumberFormat="1" applyFont="1" applyFill="1" applyBorder="1" applyAlignment="1" applyProtection="1">
      <alignment vertical="center"/>
      <protection locked="0"/>
    </xf>
    <xf numFmtId="193" fontId="17" fillId="2" borderId="83"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0" fontId="9" fillId="0" borderId="88"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8" xfId="0" applyFont="1" applyBorder="1" applyAlignment="1">
      <alignment horizontal="center" vertical="center" wrapText="1"/>
    </xf>
    <xf numFmtId="0" fontId="120" fillId="3" borderId="88" xfId="13" applyFont="1" applyFill="1" applyBorder="1" applyAlignment="1" applyProtection="1">
      <alignment horizontal="left" vertical="center" wrapText="1"/>
      <protection locked="0"/>
    </xf>
    <xf numFmtId="0" fontId="119" fillId="0" borderId="88" xfId="0" applyFont="1" applyBorder="1"/>
    <xf numFmtId="0" fontId="120" fillId="0" borderId="88" xfId="13" applyFont="1" applyBorder="1" applyAlignment="1" applyProtection="1">
      <alignment horizontal="left" vertical="center" wrapText="1"/>
      <protection locked="0"/>
    </xf>
    <xf numFmtId="49" fontId="120" fillId="0" borderId="88" xfId="5" applyNumberFormat="1" applyFont="1" applyBorder="1" applyAlignment="1" applyProtection="1">
      <alignment horizontal="right" vertical="center"/>
      <protection locked="0"/>
    </xf>
    <xf numFmtId="49" fontId="121" fillId="0" borderId="88"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8" xfId="0" applyFont="1" applyBorder="1" applyAlignment="1">
      <alignment horizontal="center" vertical="center"/>
    </xf>
    <xf numFmtId="0" fontId="116"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wrapText="1"/>
      <protection locked="0"/>
    </xf>
    <xf numFmtId="0" fontId="116" fillId="0" borderId="88" xfId="0" applyFont="1" applyBorder="1"/>
    <xf numFmtId="166" fontId="115" fillId="36" borderId="88" xfId="21413" applyFont="1" applyFill="1" applyBorder="1"/>
    <xf numFmtId="49" fontId="120" fillId="0" borderId="88" xfId="5" applyNumberFormat="1" applyFont="1" applyBorder="1" applyAlignment="1" applyProtection="1">
      <alignment horizontal="right" vertical="center" wrapText="1"/>
      <protection locked="0"/>
    </xf>
    <xf numFmtId="49" fontId="121" fillId="0" borderId="88" xfId="5" applyNumberFormat="1" applyFont="1" applyBorder="1" applyAlignment="1" applyProtection="1">
      <alignment horizontal="right" vertical="center" wrapText="1"/>
      <protection locked="0"/>
    </xf>
    <xf numFmtId="0" fontId="119" fillId="0" borderId="0" xfId="0" applyFont="1"/>
    <xf numFmtId="0" fontId="116" fillId="0" borderId="88" xfId="0" applyFont="1" applyBorder="1" applyAlignment="1">
      <alignment wrapText="1"/>
    </xf>
    <xf numFmtId="0" fontId="116" fillId="0" borderId="88" xfId="0" applyFont="1" applyBorder="1" applyAlignment="1">
      <alignment horizontal="left" indent="8"/>
    </xf>
    <xf numFmtId="0" fontId="115" fillId="0" borderId="88" xfId="0" applyFont="1" applyBorder="1" applyAlignment="1">
      <alignment horizontal="left" vertical="center" wrapText="1"/>
    </xf>
    <xf numFmtId="0" fontId="116" fillId="0" borderId="0" xfId="0" applyFont="1" applyAlignment="1">
      <alignment horizontal="left"/>
    </xf>
    <xf numFmtId="0" fontId="118" fillId="0" borderId="88" xfId="0" applyFont="1" applyBorder="1" applyAlignment="1">
      <alignment horizontal="left" indent="1"/>
    </xf>
    <xf numFmtId="0" fontId="118" fillId="0" borderId="88" xfId="0" applyFont="1" applyBorder="1" applyAlignment="1">
      <alignment horizontal="left" wrapText="1" indent="1"/>
    </xf>
    <xf numFmtId="0" fontId="115" fillId="0" borderId="88" xfId="0" applyFont="1" applyBorder="1" applyAlignment="1">
      <alignment horizontal="left" indent="1"/>
    </xf>
    <xf numFmtId="0" fontId="115" fillId="0" borderId="88" xfId="0" applyFont="1" applyBorder="1" applyAlignment="1">
      <alignment horizontal="left" wrapText="1" indent="2"/>
    </xf>
    <xf numFmtId="0" fontId="118" fillId="0" borderId="88" xfId="0" applyFont="1" applyBorder="1" applyAlignment="1">
      <alignment horizontal="left" vertical="center" indent="1"/>
    </xf>
    <xf numFmtId="0" fontId="116" fillId="79" borderId="88" xfId="0" applyFont="1" applyFill="1" applyBorder="1"/>
    <xf numFmtId="0" fontId="116" fillId="0" borderId="88" xfId="0" applyFont="1" applyBorder="1" applyAlignment="1">
      <alignment horizontal="left" wrapText="1"/>
    </xf>
    <xf numFmtId="0" fontId="116" fillId="0" borderId="88" xfId="0" applyFont="1" applyBorder="1" applyAlignment="1">
      <alignment horizontal="left" wrapText="1" indent="2"/>
    </xf>
    <xf numFmtId="0" fontId="119" fillId="0" borderId="7" xfId="0" applyFont="1" applyBorder="1"/>
    <xf numFmtId="0" fontId="119" fillId="79" borderId="88"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88" xfId="0" applyFont="1" applyBorder="1" applyAlignment="1">
      <alignment horizontal="center"/>
    </xf>
    <xf numFmtId="0" fontId="116" fillId="0" borderId="88" xfId="0" applyFont="1" applyBorder="1" applyAlignment="1">
      <alignment horizontal="left" indent="1"/>
    </xf>
    <xf numFmtId="0" fontId="116" fillId="0" borderId="7" xfId="0" applyFont="1" applyBorder="1"/>
    <xf numFmtId="0" fontId="116" fillId="0" borderId="88" xfId="0" applyFont="1" applyBorder="1" applyAlignment="1">
      <alignment horizontal="left" indent="2"/>
    </xf>
    <xf numFmtId="49" fontId="116" fillId="0" borderId="88" xfId="0" applyNumberFormat="1" applyFont="1" applyBorder="1" applyAlignment="1">
      <alignment horizontal="left" indent="3"/>
    </xf>
    <xf numFmtId="49" fontId="116" fillId="0" borderId="88" xfId="0" applyNumberFormat="1" applyFont="1" applyBorder="1" applyAlignment="1">
      <alignment horizontal="left" indent="1"/>
    </xf>
    <xf numFmtId="49" fontId="116" fillId="0" borderId="88" xfId="0" applyNumberFormat="1" applyFont="1" applyBorder="1" applyAlignment="1">
      <alignment horizontal="left" wrapText="1" indent="2"/>
    </xf>
    <xf numFmtId="49" fontId="116" fillId="0" borderId="88" xfId="0" applyNumberFormat="1" applyFont="1" applyBorder="1" applyAlignment="1">
      <alignment horizontal="left" vertical="top" wrapText="1" indent="2"/>
    </xf>
    <xf numFmtId="49" fontId="116" fillId="0" borderId="88" xfId="0" applyNumberFormat="1" applyFont="1" applyBorder="1" applyAlignment="1">
      <alignment horizontal="left" wrapText="1" indent="3"/>
    </xf>
    <xf numFmtId="0" fontId="116" fillId="0" borderId="88" xfId="0" applyFont="1" applyBorder="1" applyAlignment="1">
      <alignment horizontal="left" wrapText="1" indent="1"/>
    </xf>
    <xf numFmtId="0" fontId="118" fillId="0" borderId="119" xfId="0" applyFont="1" applyBorder="1" applyAlignment="1">
      <alignment horizontal="left"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8" fillId="0" borderId="88"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8" xfId="17" applyFill="1" applyBorder="1" applyAlignment="1" applyProtection="1">
      <alignment wrapText="1"/>
    </xf>
    <xf numFmtId="49" fontId="116" fillId="0" borderId="88" xfId="0" applyNumberFormat="1" applyFont="1" applyBorder="1" applyAlignment="1">
      <alignment horizontal="left" wrapText="1" indent="1"/>
    </xf>
    <xf numFmtId="10" fontId="9" fillId="2" borderId="88" xfId="20961" applyNumberFormat="1" applyFont="1" applyFill="1" applyBorder="1" applyAlignment="1" applyProtection="1">
      <alignment vertical="center"/>
      <protection locked="0"/>
    </xf>
    <xf numFmtId="10" fontId="17" fillId="2" borderId="88" xfId="20961" applyNumberFormat="1" applyFont="1" applyFill="1" applyBorder="1" applyAlignment="1" applyProtection="1">
      <alignment vertical="center"/>
      <protection locked="0"/>
    </xf>
    <xf numFmtId="10" fontId="17" fillId="2" borderId="103" xfId="20961" applyNumberFormat="1" applyFont="1" applyFill="1" applyBorder="1" applyAlignment="1" applyProtection="1">
      <alignment vertical="center"/>
      <protection locked="0"/>
    </xf>
    <xf numFmtId="10" fontId="9" fillId="2" borderId="10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0" fontId="9" fillId="0" borderId="105" xfId="0" applyFont="1" applyBorder="1" applyAlignment="1">
      <alignment vertical="center"/>
    </xf>
    <xf numFmtId="0" fontId="13" fillId="0" borderId="89" xfId="0" applyFont="1" applyBorder="1" applyAlignment="1">
      <alignment wrapText="1"/>
    </xf>
    <xf numFmtId="0" fontId="9" fillId="0" borderId="96" xfId="0" applyFont="1" applyBorder="1" applyAlignment="1">
      <alignment vertical="center"/>
    </xf>
    <xf numFmtId="0" fontId="13" fillId="0" borderId="84" xfId="0" applyFont="1" applyBorder="1" applyAlignment="1">
      <alignment wrapText="1"/>
    </xf>
    <xf numFmtId="0" fontId="4" fillId="0" borderId="97" xfId="0" applyFont="1" applyBorder="1"/>
    <xf numFmtId="9" fontId="4" fillId="0" borderId="24" xfId="20961" applyFont="1" applyBorder="1" applyAlignment="1"/>
    <xf numFmtId="9" fontId="4" fillId="0" borderId="103" xfId="20961" applyFont="1" applyBorder="1" applyAlignment="1"/>
    <xf numFmtId="9" fontId="4" fillId="0" borderId="97" xfId="20961" applyFont="1" applyBorder="1" applyAlignment="1"/>
    <xf numFmtId="43" fontId="108" fillId="0" borderId="103" xfId="7" applyFont="1" applyFill="1" applyBorder="1" applyAlignment="1">
      <alignment horizontal="right" vertical="center" wrapText="1"/>
    </xf>
    <xf numFmtId="43" fontId="4" fillId="0" borderId="3" xfId="7" applyFont="1" applyBorder="1" applyAlignment="1"/>
    <xf numFmtId="164" fontId="4" fillId="0" borderId="3" xfId="7" applyNumberFormat="1" applyFont="1" applyBorder="1" applyAlignment="1"/>
    <xf numFmtId="164" fontId="4" fillId="0" borderId="8" xfId="7" applyNumberFormat="1" applyFont="1" applyBorder="1" applyAlignment="1"/>
    <xf numFmtId="43" fontId="4" fillId="0" borderId="22" xfId="7" applyFont="1" applyBorder="1" applyAlignment="1"/>
    <xf numFmtId="43" fontId="4" fillId="0" borderId="23" xfId="7" applyFont="1" applyBorder="1" applyAlignment="1"/>
    <xf numFmtId="43" fontId="4" fillId="0" borderId="24" xfId="7" applyFont="1" applyBorder="1" applyAlignment="1">
      <alignment wrapText="1"/>
    </xf>
    <xf numFmtId="43" fontId="4" fillId="0" borderId="24" xfId="7"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36" borderId="26" xfId="7" applyNumberFormat="1" applyFont="1" applyFill="1" applyBorder="1"/>
    <xf numFmtId="164" fontId="4" fillId="3" borderId="86" xfId="7" applyNumberFormat="1" applyFont="1" applyFill="1" applyBorder="1" applyAlignment="1">
      <alignment vertical="center"/>
    </xf>
    <xf numFmtId="164" fontId="4" fillId="3" borderId="24"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89"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4" fillId="0" borderId="82" xfId="20961" applyNumberFormat="1" applyFont="1" applyFill="1" applyBorder="1" applyAlignment="1">
      <alignmen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43" fontId="9" fillId="36" borderId="3" xfId="7" applyFont="1" applyFill="1" applyBorder="1" applyProtection="1">
      <protection locked="0"/>
    </xf>
    <xf numFmtId="43" fontId="9" fillId="3" borderId="3" xfId="7" applyFont="1" applyFill="1" applyBorder="1" applyProtection="1">
      <protection locked="0"/>
    </xf>
    <xf numFmtId="164" fontId="9" fillId="36" borderId="3" xfId="7" applyNumberFormat="1" applyFont="1" applyFill="1" applyBorder="1" applyProtection="1">
      <protection locked="0"/>
    </xf>
    <xf numFmtId="164" fontId="9" fillId="36" borderId="23" xfId="7" applyNumberFormat="1" applyFont="1" applyFill="1" applyBorder="1" applyProtection="1">
      <protection locked="0"/>
    </xf>
    <xf numFmtId="164" fontId="9" fillId="3" borderId="3" xfId="7" applyNumberFormat="1" applyFont="1" applyFill="1" applyBorder="1" applyProtection="1">
      <protection locked="0"/>
    </xf>
    <xf numFmtId="164" fontId="9" fillId="0"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10" fillId="36" borderId="27" xfId="7" applyNumberFormat="1" applyFont="1" applyFill="1" applyBorder="1" applyAlignment="1" applyProtection="1">
      <protection locked="0"/>
    </xf>
    <xf numFmtId="10" fontId="112" fillId="78" borderId="88" xfId="20961" applyNumberFormat="1" applyFont="1" applyFill="1" applyBorder="1" applyAlignment="1" applyProtection="1">
      <alignment horizontal="right" vertical="center"/>
    </xf>
    <xf numFmtId="164" fontId="4" fillId="0" borderId="23" xfId="7" applyNumberFormat="1" applyFont="1" applyBorder="1" applyAlignment="1"/>
    <xf numFmtId="164" fontId="4" fillId="36" borderId="27" xfId="7" applyNumberFormat="1" applyFont="1" applyFill="1" applyBorder="1"/>
    <xf numFmtId="164" fontId="119" fillId="0" borderId="88" xfId="7" applyNumberFormat="1" applyFont="1" applyBorder="1"/>
    <xf numFmtId="164" fontId="116" fillId="0" borderId="88" xfId="7" applyNumberFormat="1" applyFont="1" applyBorder="1"/>
    <xf numFmtId="164" fontId="116" fillId="0" borderId="88" xfId="7" applyNumberFormat="1" applyFont="1" applyFill="1" applyBorder="1"/>
    <xf numFmtId="164" fontId="116" fillId="0" borderId="88" xfId="7" applyNumberFormat="1" applyFont="1" applyBorder="1" applyAlignment="1">
      <alignment horizontal="left" indent="1"/>
    </xf>
    <xf numFmtId="164" fontId="116" fillId="80" borderId="88" xfId="7" applyNumberFormat="1" applyFont="1" applyFill="1" applyBorder="1"/>
    <xf numFmtId="164" fontId="119" fillId="0" borderId="7" xfId="7" applyNumberFormat="1" applyFont="1" applyBorder="1"/>
    <xf numFmtId="164" fontId="116" fillId="0" borderId="88" xfId="7" applyNumberFormat="1" applyFont="1" applyBorder="1" applyAlignment="1">
      <alignment horizontal="left" indent="2"/>
    </xf>
    <xf numFmtId="164" fontId="116" fillId="0" borderId="88" xfId="7" applyNumberFormat="1" applyFont="1" applyFill="1" applyBorder="1" applyAlignment="1">
      <alignment horizontal="left" indent="3"/>
    </xf>
    <xf numFmtId="164" fontId="116" fillId="0" borderId="88" xfId="7" applyNumberFormat="1" applyFont="1" applyFill="1" applyBorder="1" applyAlignment="1">
      <alignment horizontal="left" indent="1"/>
    </xf>
    <xf numFmtId="164" fontId="116" fillId="81" borderId="88" xfId="7" applyNumberFormat="1" applyFont="1" applyFill="1" applyBorder="1"/>
    <xf numFmtId="164" fontId="116" fillId="0" borderId="88" xfId="7" applyNumberFormat="1" applyFont="1" applyFill="1" applyBorder="1" applyAlignment="1">
      <alignment horizontal="left" vertical="top" wrapText="1" indent="2"/>
    </xf>
    <xf numFmtId="164" fontId="116" fillId="0" borderId="88" xfId="7" applyNumberFormat="1" applyFont="1" applyFill="1" applyBorder="1" applyAlignment="1">
      <alignment horizontal="left" wrapText="1" indent="3"/>
    </xf>
    <xf numFmtId="164" fontId="116" fillId="0" borderId="88" xfId="7" applyNumberFormat="1" applyFont="1" applyFill="1" applyBorder="1" applyAlignment="1">
      <alignment horizontal="left" wrapText="1" indent="2"/>
    </xf>
    <xf numFmtId="164" fontId="116" fillId="0" borderId="88" xfId="7" applyNumberFormat="1" applyFont="1" applyFill="1" applyBorder="1" applyAlignment="1">
      <alignment horizontal="left" wrapText="1" indent="1"/>
    </xf>
    <xf numFmtId="49" fontId="116" fillId="0" borderId="88" xfId="0" applyNumberFormat="1" applyFont="1" applyBorder="1" applyAlignment="1">
      <alignment horizontal="center" vertical="center" wrapText="1"/>
    </xf>
    <xf numFmtId="0" fontId="116" fillId="0" borderId="7" xfId="0" applyFont="1" applyBorder="1" applyAlignment="1">
      <alignment wrapText="1"/>
    </xf>
    <xf numFmtId="0" fontId="122" fillId="0" borderId="88" xfId="13" applyFont="1" applyBorder="1" applyAlignment="1" applyProtection="1">
      <alignment horizontal="left" vertical="center" wrapText="1"/>
      <protection locked="0"/>
    </xf>
    <xf numFmtId="0" fontId="116" fillId="0" borderId="0" xfId="0" applyFont="1" applyAlignment="1">
      <alignment horizontal="left" vertical="top" wrapText="1"/>
    </xf>
    <xf numFmtId="164" fontId="115" fillId="0" borderId="88" xfId="7" applyNumberFormat="1" applyFont="1" applyFill="1" applyBorder="1" applyAlignment="1">
      <alignment horizontal="left" vertical="center" wrapText="1"/>
    </xf>
    <xf numFmtId="164" fontId="116" fillId="0" borderId="88" xfId="7" applyNumberFormat="1" applyFont="1" applyBorder="1" applyAlignment="1">
      <alignment horizontal="center" vertical="center" wrapText="1"/>
    </xf>
    <xf numFmtId="164" fontId="116" fillId="0" borderId="88" xfId="7" applyNumberFormat="1" applyFont="1" applyBorder="1" applyAlignment="1">
      <alignment horizontal="center" vertical="center"/>
    </xf>
    <xf numFmtId="164" fontId="118" fillId="0" borderId="88" xfId="7" applyNumberFormat="1" applyFont="1" applyFill="1" applyBorder="1" applyAlignment="1">
      <alignment horizontal="left" vertical="center" wrapText="1"/>
    </xf>
    <xf numFmtId="0" fontId="0" fillId="0" borderId="7" xfId="0" applyBorder="1"/>
    <xf numFmtId="0" fontId="124" fillId="0" borderId="88" xfId="0" applyFont="1" applyBorder="1" applyAlignment="1">
      <alignment horizontal="left" indent="2"/>
    </xf>
    <xf numFmtId="0" fontId="126" fillId="0" borderId="123" xfId="0" applyFont="1" applyBorder="1" applyAlignment="1">
      <alignment vertical="center" wrapText="1" readingOrder="1"/>
    </xf>
    <xf numFmtId="0" fontId="126" fillId="0" borderId="124" xfId="0" applyFont="1" applyBorder="1" applyAlignment="1">
      <alignment vertical="center" wrapText="1" readingOrder="1"/>
    </xf>
    <xf numFmtId="0" fontId="126" fillId="0" borderId="124" xfId="0" applyFont="1" applyBorder="1" applyAlignment="1">
      <alignment horizontal="left" vertical="center" wrapText="1" indent="1" readingOrder="1"/>
    </xf>
    <xf numFmtId="0" fontId="124" fillId="0" borderId="83" xfId="0" applyFont="1" applyBorder="1" applyAlignment="1">
      <alignment horizontal="left" indent="2"/>
    </xf>
    <xf numFmtId="0" fontId="126" fillId="0" borderId="125" xfId="0" applyFont="1" applyBorder="1" applyAlignment="1">
      <alignment vertical="center" wrapText="1" readingOrder="1"/>
    </xf>
    <xf numFmtId="0" fontId="127" fillId="0" borderId="88" xfId="0" applyFont="1" applyBorder="1" applyAlignment="1">
      <alignment vertical="center" wrapText="1" readingOrder="1"/>
    </xf>
    <xf numFmtId="0" fontId="124" fillId="0" borderId="88" xfId="0" applyFont="1" applyBorder="1" applyAlignment="1">
      <alignment horizontal="left" indent="3"/>
    </xf>
    <xf numFmtId="164" fontId="124" fillId="0" borderId="88" xfId="7" applyNumberFormat="1" applyFont="1" applyBorder="1"/>
    <xf numFmtId="164" fontId="128" fillId="0" borderId="88" xfId="7" applyNumberFormat="1" applyFont="1" applyBorder="1"/>
    <xf numFmtId="165" fontId="124" fillId="0" borderId="88" xfId="20961" applyNumberFormat="1" applyFont="1" applyBorder="1"/>
    <xf numFmtId="165" fontId="128" fillId="0" borderId="88" xfId="20961" applyNumberFormat="1" applyFont="1" applyBorder="1"/>
    <xf numFmtId="43" fontId="116" fillId="0" borderId="0" xfId="0" applyNumberFormat="1" applyFont="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xf>
    <xf numFmtId="0" fontId="4" fillId="0" borderId="24" xfId="0" applyFont="1" applyBorder="1" applyAlignment="1">
      <alignment horizontal="center"/>
    </xf>
    <xf numFmtId="0" fontId="6" fillId="36" borderId="10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8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9" xfId="1" applyNumberFormat="1" applyFont="1" applyFill="1" applyBorder="1" applyAlignment="1" applyProtection="1">
      <alignment horizontal="center" vertical="center" wrapText="1"/>
      <protection locked="0"/>
    </xf>
    <xf numFmtId="164" fontId="15" fillId="0" borderId="80" xfId="1" applyNumberFormat="1" applyFont="1" applyFill="1" applyBorder="1" applyAlignment="1" applyProtection="1">
      <alignment horizontal="center" vertical="center" wrapText="1"/>
      <protection locked="0"/>
    </xf>
    <xf numFmtId="0" fontId="4" fillId="0" borderId="7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5"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7" xfId="0" applyFont="1" applyBorder="1" applyAlignment="1">
      <alignment horizontal="left" vertical="center" wrapText="1"/>
    </xf>
    <xf numFmtId="0" fontId="119" fillId="0" borderId="84"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8" xfId="0" applyFont="1" applyBorder="1" applyAlignment="1">
      <alignment horizontal="center" vertical="center" wrapText="1"/>
    </xf>
    <xf numFmtId="0" fontId="123" fillId="0" borderId="88" xfId="0" applyFont="1" applyBorder="1" applyAlignment="1">
      <alignment horizontal="center" vertical="center"/>
    </xf>
    <xf numFmtId="0" fontId="123" fillId="0" borderId="84" xfId="0" applyFont="1" applyBorder="1" applyAlignment="1">
      <alignment horizontal="center" vertical="center"/>
    </xf>
    <xf numFmtId="0" fontId="123" fillId="0" borderId="112"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8"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19" xfId="0" applyFont="1" applyBorder="1" applyAlignment="1">
      <alignment horizontal="center" vertical="center" wrapText="1"/>
    </xf>
    <xf numFmtId="0" fontId="116" fillId="0" borderId="89" xfId="0" applyFont="1" applyBorder="1" applyAlignment="1">
      <alignment horizontal="center" vertical="center" wrapText="1"/>
    </xf>
    <xf numFmtId="0" fontId="116" fillId="0" borderId="86" xfId="0" applyFont="1" applyBorder="1" applyAlignment="1">
      <alignment horizontal="center" vertical="center" wrapText="1"/>
    </xf>
    <xf numFmtId="0" fontId="116" fillId="0" borderId="87"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0" xfId="0" applyFont="1" applyBorder="1" applyAlignment="1">
      <alignment horizontal="center" vertical="center" wrapText="1"/>
    </xf>
    <xf numFmtId="0" fontId="116" fillId="0" borderId="118" xfId="0" applyFont="1" applyBorder="1" applyAlignment="1">
      <alignment horizontal="center" vertical="center" wrapText="1"/>
    </xf>
    <xf numFmtId="0" fontId="116" fillId="0" borderId="0" xfId="0" applyFont="1" applyAlignment="1">
      <alignment horizontal="center" vertical="center" wrapText="1"/>
    </xf>
    <xf numFmtId="0" fontId="116" fillId="0" borderId="119"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4" xfId="0" applyFont="1" applyBorder="1" applyAlignment="1">
      <alignment horizontal="left" vertical="top" wrapText="1"/>
    </xf>
    <xf numFmtId="0" fontId="118" fillId="0" borderId="112" xfId="0" applyFont="1" applyBorder="1" applyAlignment="1">
      <alignment horizontal="left"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4" xfId="0" applyFont="1" applyBorder="1" applyAlignment="1">
      <alignment horizontal="center" vertical="center"/>
    </xf>
    <xf numFmtId="0" fontId="116" fillId="0" borderId="102" xfId="0" applyFont="1" applyBorder="1" applyAlignment="1">
      <alignment horizontal="center" vertical="center"/>
    </xf>
    <xf numFmtId="0" fontId="116" fillId="0" borderId="112" xfId="0" applyFont="1" applyBorder="1" applyAlignment="1">
      <alignment horizontal="center" vertical="center"/>
    </xf>
    <xf numFmtId="0" fontId="116" fillId="0" borderId="84"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84" xfId="0" applyFont="1" applyBorder="1" applyAlignment="1">
      <alignment horizontal="center" vertical="top" wrapText="1"/>
    </xf>
    <xf numFmtId="0" fontId="116" fillId="0" borderId="102" xfId="0" applyFont="1" applyBorder="1" applyAlignment="1">
      <alignment horizontal="center" vertical="top" wrapText="1"/>
    </xf>
    <xf numFmtId="0" fontId="116" fillId="0" borderId="112" xfId="0" applyFont="1" applyBorder="1" applyAlignment="1">
      <alignment horizontal="center" vertical="top" wrapText="1"/>
    </xf>
    <xf numFmtId="0" fontId="116" fillId="0" borderId="86" xfId="0" applyFont="1" applyBorder="1" applyAlignment="1">
      <alignment horizontal="center" vertical="top" wrapText="1"/>
    </xf>
    <xf numFmtId="0" fontId="116" fillId="0" borderId="87" xfId="0" applyFont="1" applyBorder="1" applyAlignment="1">
      <alignment horizontal="center" vertical="top" wrapText="1"/>
    </xf>
    <xf numFmtId="0" fontId="116" fillId="0" borderId="83" xfId="0" applyFont="1" applyBorder="1" applyAlignment="1">
      <alignment horizontal="center" vertical="top" wrapText="1"/>
    </xf>
    <xf numFmtId="0" fontId="116" fillId="0" borderId="7" xfId="0" applyFont="1" applyBorder="1" applyAlignment="1">
      <alignment horizontal="center" vertical="top" wrapText="1"/>
    </xf>
    <xf numFmtId="0" fontId="118" fillId="0" borderId="121" xfId="0" applyFont="1" applyBorder="1" applyAlignment="1">
      <alignment horizontal="left" vertical="top" wrapText="1"/>
    </xf>
    <xf numFmtId="0" fontId="118" fillId="0" borderId="122" xfId="0" applyFont="1" applyBorder="1" applyAlignment="1">
      <alignment horizontal="left" vertical="top" wrapText="1"/>
    </xf>
    <xf numFmtId="0" fontId="124" fillId="0" borderId="88" xfId="0" applyFont="1" applyBorder="1" applyAlignment="1">
      <alignment horizontal="center" vertical="center" wrapText="1"/>
    </xf>
    <xf numFmtId="0" fontId="125" fillId="0" borderId="88" xfId="0" applyFont="1" applyBorder="1" applyAlignment="1">
      <alignment horizontal="center" vertical="center"/>
    </xf>
    <xf numFmtId="0" fontId="124" fillId="0" borderId="83"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10" sqref="C10"/>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71" t="s">
        <v>254</v>
      </c>
      <c r="C1" s="84"/>
    </row>
    <row r="2" spans="1:3" s="168" customFormat="1" ht="15.75">
      <c r="A2" s="212">
        <v>1</v>
      </c>
      <c r="B2" s="169" t="s">
        <v>255</v>
      </c>
      <c r="C2" s="167" t="s">
        <v>739</v>
      </c>
    </row>
    <row r="3" spans="1:3" s="168" customFormat="1" ht="15.75">
      <c r="A3" s="212">
        <v>2</v>
      </c>
      <c r="B3" s="170" t="s">
        <v>256</v>
      </c>
      <c r="C3" s="167" t="s">
        <v>740</v>
      </c>
    </row>
    <row r="4" spans="1:3" s="168" customFormat="1" ht="15.75">
      <c r="A4" s="212">
        <v>3</v>
      </c>
      <c r="B4" s="170" t="s">
        <v>257</v>
      </c>
      <c r="C4" s="167" t="s">
        <v>741</v>
      </c>
    </row>
    <row r="5" spans="1:3" s="168" customFormat="1" ht="15.75">
      <c r="A5" s="213">
        <v>4</v>
      </c>
      <c r="B5" s="173" t="s">
        <v>258</v>
      </c>
      <c r="C5" s="360" t="s">
        <v>742</v>
      </c>
    </row>
    <row r="6" spans="1:3" s="172" customFormat="1" ht="65.25" customHeight="1">
      <c r="A6" s="622" t="s">
        <v>373</v>
      </c>
      <c r="B6" s="623"/>
      <c r="C6" s="623"/>
    </row>
    <row r="7" spans="1:3">
      <c r="A7" s="354" t="s">
        <v>327</v>
      </c>
      <c r="B7" s="355" t="s">
        <v>259</v>
      </c>
    </row>
    <row r="8" spans="1:3">
      <c r="A8" s="356">
        <v>1</v>
      </c>
      <c r="B8" s="352" t="s">
        <v>223</v>
      </c>
    </row>
    <row r="9" spans="1:3">
      <c r="A9" s="356">
        <v>2</v>
      </c>
      <c r="B9" s="352" t="s">
        <v>260</v>
      </c>
    </row>
    <row r="10" spans="1:3">
      <c r="A10" s="356">
        <v>3</v>
      </c>
      <c r="B10" s="352" t="s">
        <v>261</v>
      </c>
    </row>
    <row r="11" spans="1:3">
      <c r="A11" s="356">
        <v>4</v>
      </c>
      <c r="B11" s="352" t="s">
        <v>262</v>
      </c>
    </row>
    <row r="12" spans="1:3">
      <c r="A12" s="356">
        <v>5</v>
      </c>
      <c r="B12" s="352" t="s">
        <v>187</v>
      </c>
    </row>
    <row r="13" spans="1:3">
      <c r="A13" s="356">
        <v>6</v>
      </c>
      <c r="B13" s="357" t="s">
        <v>149</v>
      </c>
    </row>
    <row r="14" spans="1:3">
      <c r="A14" s="356">
        <v>7</v>
      </c>
      <c r="B14" s="352" t="s">
        <v>263</v>
      </c>
    </row>
    <row r="15" spans="1:3">
      <c r="A15" s="356">
        <v>8</v>
      </c>
      <c r="B15" s="352" t="s">
        <v>266</v>
      </c>
    </row>
    <row r="16" spans="1:3">
      <c r="A16" s="356">
        <v>9</v>
      </c>
      <c r="B16" s="352" t="s">
        <v>88</v>
      </c>
    </row>
    <row r="17" spans="1:2">
      <c r="A17" s="358" t="s">
        <v>420</v>
      </c>
      <c r="B17" s="352" t="s">
        <v>400</v>
      </c>
    </row>
    <row r="18" spans="1:2">
      <c r="A18" s="356">
        <v>10</v>
      </c>
      <c r="B18" s="352" t="s">
        <v>269</v>
      </c>
    </row>
    <row r="19" spans="1:2">
      <c r="A19" s="356">
        <v>11</v>
      </c>
      <c r="B19" s="357" t="s">
        <v>250</v>
      </c>
    </row>
    <row r="20" spans="1:2">
      <c r="A20" s="356">
        <v>12</v>
      </c>
      <c r="B20" s="357" t="s">
        <v>247</v>
      </c>
    </row>
    <row r="21" spans="1:2">
      <c r="A21" s="356">
        <v>13</v>
      </c>
      <c r="B21" s="359" t="s">
        <v>363</v>
      </c>
    </row>
    <row r="22" spans="1:2">
      <c r="A22" s="356">
        <v>14</v>
      </c>
      <c r="B22" s="360" t="s">
        <v>394</v>
      </c>
    </row>
    <row r="23" spans="1:2">
      <c r="A23" s="356">
        <v>15</v>
      </c>
      <c r="B23" s="357" t="s">
        <v>77</v>
      </c>
    </row>
    <row r="24" spans="1:2">
      <c r="A24" s="356">
        <v>15.1</v>
      </c>
      <c r="B24" s="352" t="s">
        <v>429</v>
      </c>
    </row>
    <row r="25" spans="1:2">
      <c r="A25" s="356">
        <v>16</v>
      </c>
      <c r="B25" s="352" t="s">
        <v>497</v>
      </c>
    </row>
    <row r="26" spans="1:2">
      <c r="A26" s="356">
        <v>17</v>
      </c>
      <c r="B26" s="352" t="s">
        <v>706</v>
      </c>
    </row>
    <row r="27" spans="1:2">
      <c r="A27" s="356">
        <v>18</v>
      </c>
      <c r="B27" s="352" t="s">
        <v>707</v>
      </c>
    </row>
    <row r="28" spans="1:2">
      <c r="A28" s="356">
        <v>19</v>
      </c>
      <c r="B28" s="352" t="s">
        <v>708</v>
      </c>
    </row>
    <row r="29" spans="1:2">
      <c r="A29" s="356">
        <v>20</v>
      </c>
      <c r="B29" s="360" t="s">
        <v>592</v>
      </c>
    </row>
    <row r="30" spans="1:2">
      <c r="A30" s="356">
        <v>21</v>
      </c>
      <c r="B30" s="352" t="s">
        <v>610</v>
      </c>
    </row>
    <row r="31" spans="1:2">
      <c r="A31" s="356">
        <v>22</v>
      </c>
      <c r="B31" s="531" t="s">
        <v>627</v>
      </c>
    </row>
    <row r="32" spans="1:2" ht="26.25">
      <c r="A32" s="356">
        <v>23</v>
      </c>
      <c r="B32" s="531" t="s">
        <v>709</v>
      </c>
    </row>
    <row r="33" spans="1:2">
      <c r="A33" s="356">
        <v>24</v>
      </c>
      <c r="B33" s="352" t="s">
        <v>710</v>
      </c>
    </row>
    <row r="34" spans="1:2">
      <c r="A34" s="356">
        <v>25</v>
      </c>
      <c r="B34" s="352" t="s">
        <v>711</v>
      </c>
    </row>
    <row r="35" spans="1:2">
      <c r="A35" s="356">
        <v>26</v>
      </c>
      <c r="B35" s="360" t="s">
        <v>766</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"ტერაბანკი"</v>
      </c>
      <c r="D1" s="1"/>
      <c r="E1" s="1"/>
      <c r="F1" s="1"/>
    </row>
    <row r="2" spans="1:6" s="14" customFormat="1" ht="15.75" customHeight="1">
      <c r="A2" s="14" t="s">
        <v>189</v>
      </c>
      <c r="B2" s="436">
        <f>'1. key ratios'!B2</f>
        <v>44469</v>
      </c>
    </row>
    <row r="3" spans="1:6" s="14" customFormat="1" ht="15.75" customHeight="1"/>
    <row r="4" spans="1:6" ht="15.75" thickBot="1">
      <c r="A4" s="1" t="s">
        <v>336</v>
      </c>
      <c r="B4" s="52" t="s">
        <v>88</v>
      </c>
    </row>
    <row r="5" spans="1:6">
      <c r="A5" s="123" t="s">
        <v>26</v>
      </c>
      <c r="B5" s="124"/>
      <c r="C5" s="125" t="s">
        <v>27</v>
      </c>
    </row>
    <row r="6" spans="1:6">
      <c r="A6" s="126">
        <v>1</v>
      </c>
      <c r="B6" s="73" t="s">
        <v>28</v>
      </c>
      <c r="C6" s="250">
        <f>SUM(C7:C11)</f>
        <v>149296636.7900002</v>
      </c>
    </row>
    <row r="7" spans="1:6">
      <c r="A7" s="126">
        <v>2</v>
      </c>
      <c r="B7" s="70" t="s">
        <v>29</v>
      </c>
      <c r="C7" s="251">
        <v>121372000.00000001</v>
      </c>
    </row>
    <row r="8" spans="1:6">
      <c r="A8" s="126">
        <v>3</v>
      </c>
      <c r="B8" s="65" t="s">
        <v>30</v>
      </c>
      <c r="C8" s="251">
        <v>0</v>
      </c>
    </row>
    <row r="9" spans="1:6">
      <c r="A9" s="126">
        <v>4</v>
      </c>
      <c r="B9" s="65" t="s">
        <v>31</v>
      </c>
      <c r="C9" s="251">
        <v>0</v>
      </c>
    </row>
    <row r="10" spans="1:6">
      <c r="A10" s="126">
        <v>5</v>
      </c>
      <c r="B10" s="65" t="s">
        <v>32</v>
      </c>
      <c r="C10" s="251">
        <v>0</v>
      </c>
    </row>
    <row r="11" spans="1:6">
      <c r="A11" s="126">
        <v>6</v>
      </c>
      <c r="B11" s="71" t="s">
        <v>33</v>
      </c>
      <c r="C11" s="251">
        <v>27924636.790000182</v>
      </c>
    </row>
    <row r="12" spans="1:6" s="2" customFormat="1">
      <c r="A12" s="126">
        <v>7</v>
      </c>
      <c r="B12" s="73" t="s">
        <v>34</v>
      </c>
      <c r="C12" s="252">
        <f>SUM(C13:C27)</f>
        <v>23235267</v>
      </c>
    </row>
    <row r="13" spans="1:6" s="2" customFormat="1">
      <c r="A13" s="126">
        <v>8</v>
      </c>
      <c r="B13" s="72" t="s">
        <v>35</v>
      </c>
      <c r="C13" s="253">
        <v>0</v>
      </c>
    </row>
    <row r="14" spans="1:6" s="2" customFormat="1" ht="25.5">
      <c r="A14" s="126">
        <v>9</v>
      </c>
      <c r="B14" s="66" t="s">
        <v>36</v>
      </c>
      <c r="C14" s="253">
        <v>0</v>
      </c>
    </row>
    <row r="15" spans="1:6" s="2" customFormat="1">
      <c r="A15" s="126">
        <v>10</v>
      </c>
      <c r="B15" s="67" t="s">
        <v>37</v>
      </c>
      <c r="C15" s="253">
        <v>23235267</v>
      </c>
    </row>
    <row r="16" spans="1:6" s="2" customFormat="1">
      <c r="A16" s="126">
        <v>11</v>
      </c>
      <c r="B16" s="68" t="s">
        <v>38</v>
      </c>
      <c r="C16" s="253">
        <v>0</v>
      </c>
    </row>
    <row r="17" spans="1:3" s="2" customFormat="1">
      <c r="A17" s="126">
        <v>12</v>
      </c>
      <c r="B17" s="67" t="s">
        <v>39</v>
      </c>
      <c r="C17" s="253">
        <v>0</v>
      </c>
    </row>
    <row r="18" spans="1:3" s="2" customFormat="1">
      <c r="A18" s="126">
        <v>13</v>
      </c>
      <c r="B18" s="67" t="s">
        <v>40</v>
      </c>
      <c r="C18" s="253">
        <v>0</v>
      </c>
    </row>
    <row r="19" spans="1:3" s="2" customFormat="1">
      <c r="A19" s="126">
        <v>14</v>
      </c>
      <c r="B19" s="67" t="s">
        <v>41</v>
      </c>
      <c r="C19" s="253">
        <v>0</v>
      </c>
    </row>
    <row r="20" spans="1:3" s="2" customFormat="1" ht="25.5">
      <c r="A20" s="126">
        <v>15</v>
      </c>
      <c r="B20" s="67" t="s">
        <v>42</v>
      </c>
      <c r="C20" s="253">
        <v>0</v>
      </c>
    </row>
    <row r="21" spans="1:3" s="2" customFormat="1" ht="25.5">
      <c r="A21" s="126">
        <v>16</v>
      </c>
      <c r="B21" s="66" t="s">
        <v>43</v>
      </c>
      <c r="C21" s="253">
        <v>0</v>
      </c>
    </row>
    <row r="22" spans="1:3" s="2" customFormat="1">
      <c r="A22" s="126">
        <v>17</v>
      </c>
      <c r="B22" s="127" t="s">
        <v>44</v>
      </c>
      <c r="C22" s="253">
        <v>0</v>
      </c>
    </row>
    <row r="23" spans="1:3" s="2" customFormat="1" ht="25.5">
      <c r="A23" s="126">
        <v>18</v>
      </c>
      <c r="B23" s="66" t="s">
        <v>45</v>
      </c>
      <c r="C23" s="253">
        <v>0</v>
      </c>
    </row>
    <row r="24" spans="1:3" s="2" customFormat="1" ht="25.5">
      <c r="A24" s="126">
        <v>19</v>
      </c>
      <c r="B24" s="66" t="s">
        <v>46</v>
      </c>
      <c r="C24" s="253">
        <v>0</v>
      </c>
    </row>
    <row r="25" spans="1:3" s="2" customFormat="1" ht="25.5">
      <c r="A25" s="126">
        <v>20</v>
      </c>
      <c r="B25" s="68" t="s">
        <v>47</v>
      </c>
      <c r="C25" s="253">
        <v>0</v>
      </c>
    </row>
    <row r="26" spans="1:3" s="2" customFormat="1">
      <c r="A26" s="126">
        <v>21</v>
      </c>
      <c r="B26" s="68" t="s">
        <v>48</v>
      </c>
      <c r="C26" s="253">
        <v>0</v>
      </c>
    </row>
    <row r="27" spans="1:3" s="2" customFormat="1" ht="25.5">
      <c r="A27" s="126">
        <v>22</v>
      </c>
      <c r="B27" s="68" t="s">
        <v>49</v>
      </c>
      <c r="C27" s="253">
        <v>0</v>
      </c>
    </row>
    <row r="28" spans="1:3" s="2" customFormat="1">
      <c r="A28" s="126">
        <v>23</v>
      </c>
      <c r="B28" s="74" t="s">
        <v>23</v>
      </c>
      <c r="C28" s="252">
        <f>C6-C12</f>
        <v>126061369.7900002</v>
      </c>
    </row>
    <row r="29" spans="1:3" s="2" customFormat="1">
      <c r="A29" s="128"/>
      <c r="B29" s="69"/>
      <c r="C29" s="253"/>
    </row>
    <row r="30" spans="1:3" s="2" customFormat="1">
      <c r="A30" s="128">
        <v>24</v>
      </c>
      <c r="B30" s="74" t="s">
        <v>50</v>
      </c>
      <c r="C30" s="252">
        <f>C31+C34</f>
        <v>0</v>
      </c>
    </row>
    <row r="31" spans="1:3" s="2" customFormat="1">
      <c r="A31" s="128">
        <v>25</v>
      </c>
      <c r="B31" s="65" t="s">
        <v>51</v>
      </c>
      <c r="C31" s="254">
        <f>C32+C33</f>
        <v>0</v>
      </c>
    </row>
    <row r="32" spans="1:3" s="2" customFormat="1">
      <c r="A32" s="128">
        <v>26</v>
      </c>
      <c r="B32" s="165" t="s">
        <v>52</v>
      </c>
      <c r="C32" s="253">
        <v>0</v>
      </c>
    </row>
    <row r="33" spans="1:3" s="2" customFormat="1">
      <c r="A33" s="128">
        <v>27</v>
      </c>
      <c r="B33" s="165" t="s">
        <v>53</v>
      </c>
      <c r="C33" s="253">
        <v>0</v>
      </c>
    </row>
    <row r="34" spans="1:3" s="2" customFormat="1">
      <c r="A34" s="128">
        <v>28</v>
      </c>
      <c r="B34" s="65" t="s">
        <v>54</v>
      </c>
      <c r="C34" s="253">
        <v>0</v>
      </c>
    </row>
    <row r="35" spans="1:3" s="2" customFormat="1">
      <c r="A35" s="128">
        <v>29</v>
      </c>
      <c r="B35" s="74" t="s">
        <v>55</v>
      </c>
      <c r="C35" s="252">
        <f>SUM(C36:C40)</f>
        <v>0</v>
      </c>
    </row>
    <row r="36" spans="1:3" s="2" customFormat="1">
      <c r="A36" s="128">
        <v>30</v>
      </c>
      <c r="B36" s="66" t="s">
        <v>56</v>
      </c>
      <c r="C36" s="253">
        <v>0</v>
      </c>
    </row>
    <row r="37" spans="1:3" s="2" customFormat="1">
      <c r="A37" s="128">
        <v>31</v>
      </c>
      <c r="B37" s="67" t="s">
        <v>57</v>
      </c>
      <c r="C37" s="253">
        <v>0</v>
      </c>
    </row>
    <row r="38" spans="1:3" s="2" customFormat="1" ht="25.5">
      <c r="A38" s="128">
        <v>32</v>
      </c>
      <c r="B38" s="66" t="s">
        <v>58</v>
      </c>
      <c r="C38" s="253">
        <v>0</v>
      </c>
    </row>
    <row r="39" spans="1:3" s="2" customFormat="1" ht="25.5">
      <c r="A39" s="128">
        <v>33</v>
      </c>
      <c r="B39" s="66" t="s">
        <v>46</v>
      </c>
      <c r="C39" s="253">
        <v>0</v>
      </c>
    </row>
    <row r="40" spans="1:3" s="2" customFormat="1" ht="25.5">
      <c r="A40" s="128">
        <v>34</v>
      </c>
      <c r="B40" s="68" t="s">
        <v>59</v>
      </c>
      <c r="C40" s="253">
        <v>0</v>
      </c>
    </row>
    <row r="41" spans="1:3" s="2" customFormat="1">
      <c r="A41" s="128">
        <v>35</v>
      </c>
      <c r="B41" s="74" t="s">
        <v>24</v>
      </c>
      <c r="C41" s="252">
        <f>C30-C35</f>
        <v>0</v>
      </c>
    </row>
    <row r="42" spans="1:3" s="2" customFormat="1">
      <c r="A42" s="128"/>
      <c r="B42" s="69"/>
      <c r="C42" s="253"/>
    </row>
    <row r="43" spans="1:3" s="2" customFormat="1">
      <c r="A43" s="128">
        <v>36</v>
      </c>
      <c r="B43" s="75" t="s">
        <v>60</v>
      </c>
      <c r="C43" s="252">
        <f>SUM(C44:C46)</f>
        <v>50091687.139218748</v>
      </c>
    </row>
    <row r="44" spans="1:3" s="2" customFormat="1">
      <c r="A44" s="128">
        <v>37</v>
      </c>
      <c r="B44" s="65" t="s">
        <v>61</v>
      </c>
      <c r="C44" s="253">
        <v>38021044.060000002</v>
      </c>
    </row>
    <row r="45" spans="1:3" s="2" customFormat="1">
      <c r="A45" s="128">
        <v>38</v>
      </c>
      <c r="B45" s="65" t="s">
        <v>62</v>
      </c>
      <c r="C45" s="253">
        <v>0</v>
      </c>
    </row>
    <row r="46" spans="1:3" s="2" customFormat="1">
      <c r="A46" s="128">
        <v>39</v>
      </c>
      <c r="B46" s="65" t="s">
        <v>63</v>
      </c>
      <c r="C46" s="253">
        <v>12070643.079218749</v>
      </c>
    </row>
    <row r="47" spans="1:3" s="2" customFormat="1">
      <c r="A47" s="128">
        <v>40</v>
      </c>
      <c r="B47" s="75" t="s">
        <v>64</v>
      </c>
      <c r="C47" s="252">
        <f>SUM(C48:C51)</f>
        <v>0</v>
      </c>
    </row>
    <row r="48" spans="1:3" s="2" customFormat="1">
      <c r="A48" s="128">
        <v>41</v>
      </c>
      <c r="B48" s="66" t="s">
        <v>65</v>
      </c>
      <c r="C48" s="253">
        <v>0</v>
      </c>
    </row>
    <row r="49" spans="1:3" s="2" customFormat="1">
      <c r="A49" s="128">
        <v>42</v>
      </c>
      <c r="B49" s="67" t="s">
        <v>66</v>
      </c>
      <c r="C49" s="253">
        <v>0</v>
      </c>
    </row>
    <row r="50" spans="1:3" s="2" customFormat="1" ht="25.5">
      <c r="A50" s="128">
        <v>43</v>
      </c>
      <c r="B50" s="66" t="s">
        <v>67</v>
      </c>
      <c r="C50" s="253">
        <v>0</v>
      </c>
    </row>
    <row r="51" spans="1:3" s="2" customFormat="1" ht="25.5">
      <c r="A51" s="128">
        <v>44</v>
      </c>
      <c r="B51" s="66" t="s">
        <v>46</v>
      </c>
      <c r="C51" s="253">
        <v>0</v>
      </c>
    </row>
    <row r="52" spans="1:3" s="2" customFormat="1" ht="15.75" thickBot="1">
      <c r="A52" s="129">
        <v>45</v>
      </c>
      <c r="B52" s="130" t="s">
        <v>25</v>
      </c>
      <c r="C52" s="255">
        <f>C43-C47</f>
        <v>50091687.139218748</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"ტერაბანკი"</v>
      </c>
    </row>
    <row r="2" spans="1:4" s="14" customFormat="1" ht="15.75" customHeight="1">
      <c r="A2" s="14" t="s">
        <v>189</v>
      </c>
      <c r="B2" s="436">
        <f>'1. key ratios'!B2</f>
        <v>44469</v>
      </c>
    </row>
    <row r="3" spans="1:4" s="14" customFormat="1" ht="15.75" customHeight="1"/>
    <row r="4" spans="1:4" ht="13.5" thickBot="1">
      <c r="A4" s="1" t="s">
        <v>399</v>
      </c>
      <c r="B4" s="341" t="s">
        <v>400</v>
      </c>
    </row>
    <row r="5" spans="1:4" s="60" customFormat="1">
      <c r="A5" s="641" t="s">
        <v>401</v>
      </c>
      <c r="B5" s="642"/>
      <c r="C5" s="331" t="s">
        <v>402</v>
      </c>
      <c r="D5" s="332" t="s">
        <v>403</v>
      </c>
    </row>
    <row r="6" spans="1:4" s="342" customFormat="1">
      <c r="A6" s="333">
        <v>1</v>
      </c>
      <c r="B6" s="334" t="s">
        <v>404</v>
      </c>
      <c r="C6" s="334"/>
      <c r="D6" s="335"/>
    </row>
    <row r="7" spans="1:4" s="342" customFormat="1">
      <c r="A7" s="336" t="s">
        <v>405</v>
      </c>
      <c r="B7" s="337" t="s">
        <v>406</v>
      </c>
      <c r="C7" s="391">
        <v>4.4999999999999998E-2</v>
      </c>
      <c r="D7" s="386">
        <f>C7*'5. RWA'!$C$13</f>
        <v>49115851.766437493</v>
      </c>
    </row>
    <row r="8" spans="1:4" s="342" customFormat="1">
      <c r="A8" s="336" t="s">
        <v>407</v>
      </c>
      <c r="B8" s="337" t="s">
        <v>408</v>
      </c>
      <c r="C8" s="392">
        <v>0.06</v>
      </c>
      <c r="D8" s="386">
        <f>C8*'5. RWA'!$C$13</f>
        <v>65487802.355249986</v>
      </c>
    </row>
    <row r="9" spans="1:4" s="342" customFormat="1">
      <c r="A9" s="336" t="s">
        <v>409</v>
      </c>
      <c r="B9" s="337" t="s">
        <v>410</v>
      </c>
      <c r="C9" s="392">
        <v>0.08</v>
      </c>
      <c r="D9" s="386">
        <f>C9*'5. RWA'!$C$13</f>
        <v>87317069.806999996</v>
      </c>
    </row>
    <row r="10" spans="1:4" s="342" customFormat="1">
      <c r="A10" s="333" t="s">
        <v>411</v>
      </c>
      <c r="B10" s="334" t="s">
        <v>412</v>
      </c>
      <c r="C10" s="393"/>
      <c r="D10" s="387"/>
    </row>
    <row r="11" spans="1:4" s="343" customFormat="1">
      <c r="A11" s="338" t="s">
        <v>413</v>
      </c>
      <c r="B11" s="339" t="s">
        <v>475</v>
      </c>
      <c r="C11" s="394">
        <v>0</v>
      </c>
      <c r="D11" s="548">
        <f>C11*'5. RWA'!$C$13</f>
        <v>0</v>
      </c>
    </row>
    <row r="12" spans="1:4" s="343" customFormat="1">
      <c r="A12" s="338" t="s">
        <v>414</v>
      </c>
      <c r="B12" s="339" t="s">
        <v>415</v>
      </c>
      <c r="C12" s="394">
        <v>0</v>
      </c>
      <c r="D12" s="548">
        <f>C12*'5. RWA'!$C$13</f>
        <v>0</v>
      </c>
    </row>
    <row r="13" spans="1:4" s="343" customFormat="1">
      <c r="A13" s="338" t="s">
        <v>416</v>
      </c>
      <c r="B13" s="339" t="s">
        <v>417</v>
      </c>
      <c r="C13" s="394">
        <v>0</v>
      </c>
      <c r="D13" s="548">
        <f>C13*'5. RWA'!$C$13</f>
        <v>0</v>
      </c>
    </row>
    <row r="14" spans="1:4" s="342" customFormat="1">
      <c r="A14" s="333" t="s">
        <v>418</v>
      </c>
      <c r="B14" s="334" t="s">
        <v>473</v>
      </c>
      <c r="C14" s="395"/>
      <c r="D14" s="387"/>
    </row>
    <row r="15" spans="1:4" s="342" customFormat="1">
      <c r="A15" s="353" t="s">
        <v>421</v>
      </c>
      <c r="B15" s="339" t="s">
        <v>474</v>
      </c>
      <c r="C15" s="394">
        <v>1.5748954217807396E-2</v>
      </c>
      <c r="D15" s="388">
        <f>C15*'5. RWA'!$C$13</f>
        <v>17189406.685294192</v>
      </c>
    </row>
    <row r="16" spans="1:4" s="342" customFormat="1">
      <c r="A16" s="353" t="s">
        <v>422</v>
      </c>
      <c r="B16" s="339" t="s">
        <v>424</v>
      </c>
      <c r="C16" s="394">
        <v>2.1026500151237498E-2</v>
      </c>
      <c r="D16" s="388">
        <f>C16*'5. RWA'!$C$13</f>
        <v>22949654.768781256</v>
      </c>
    </row>
    <row r="17" spans="1:4" s="342" customFormat="1">
      <c r="A17" s="353" t="s">
        <v>423</v>
      </c>
      <c r="B17" s="339" t="s">
        <v>471</v>
      </c>
      <c r="C17" s="394">
        <v>4.5243936910839229E-2</v>
      </c>
      <c r="D17" s="388">
        <f>C17*'5. RWA'!$C$13</f>
        <v>49382099.969840653</v>
      </c>
    </row>
    <row r="18" spans="1:4" s="60" customFormat="1">
      <c r="A18" s="643" t="s">
        <v>472</v>
      </c>
      <c r="B18" s="644"/>
      <c r="C18" s="396" t="s">
        <v>402</v>
      </c>
      <c r="D18" s="389" t="s">
        <v>403</v>
      </c>
    </row>
    <row r="19" spans="1:4" s="342" customFormat="1">
      <c r="A19" s="340">
        <v>4</v>
      </c>
      <c r="B19" s="339" t="s">
        <v>23</v>
      </c>
      <c r="C19" s="394">
        <f>C7+C11+C12+C13+C15</f>
        <v>6.0748954217807391E-2</v>
      </c>
      <c r="D19" s="386">
        <f>C19*'5. RWA'!$C$13</f>
        <v>66305258.451731682</v>
      </c>
    </row>
    <row r="20" spans="1:4" s="342" customFormat="1">
      <c r="A20" s="340">
        <v>5</v>
      </c>
      <c r="B20" s="339" t="s">
        <v>89</v>
      </c>
      <c r="C20" s="394">
        <f>C8+C11+C12+C13+C16</f>
        <v>8.1026500151237496E-2</v>
      </c>
      <c r="D20" s="386">
        <f>C20*'5. RWA'!$C$13</f>
        <v>88437457.124031246</v>
      </c>
    </row>
    <row r="21" spans="1:4" s="342" customFormat="1" ht="13.5" thickBot="1">
      <c r="A21" s="344" t="s">
        <v>419</v>
      </c>
      <c r="B21" s="345" t="s">
        <v>88</v>
      </c>
      <c r="C21" s="397">
        <f>C9+C11+C12+C13+C17</f>
        <v>0.12524393691083924</v>
      </c>
      <c r="D21" s="390">
        <f>C21*'5. RWA'!$C$13</f>
        <v>136699169.77684066</v>
      </c>
    </row>
    <row r="23" spans="1:4" ht="63.75">
      <c r="B23" s="18" t="s">
        <v>476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B6" sqref="B6"/>
    </sheetView>
  </sheetViews>
  <sheetFormatPr defaultRowHeight="15.75"/>
  <cols>
    <col min="1" max="1" width="10.7109375" style="61" customWidth="1"/>
    <col min="2" max="2" width="91.85546875" style="61" customWidth="1"/>
    <col min="3" max="3" width="53.140625" style="61" customWidth="1"/>
    <col min="4" max="4" width="32.28515625" style="61" customWidth="1"/>
    <col min="5" max="5" width="9.42578125" customWidth="1"/>
  </cols>
  <sheetData>
    <row r="1" spans="1:6">
      <c r="A1" s="14" t="s">
        <v>188</v>
      </c>
      <c r="B1" s="15" t="str">
        <f>Info!C2</f>
        <v>ს.ს. "ტერაბანკი"</v>
      </c>
      <c r="E1" s="1"/>
      <c r="F1" s="1"/>
    </row>
    <row r="2" spans="1:6" s="14" customFormat="1" ht="15.75" customHeight="1">
      <c r="A2" s="14" t="s">
        <v>189</v>
      </c>
      <c r="B2" s="436">
        <f>'1. key ratios'!B2</f>
        <v>44469</v>
      </c>
    </row>
    <row r="3" spans="1:6" s="14" customFormat="1" ht="15.75" customHeight="1">
      <c r="A3" s="21"/>
    </row>
    <row r="4" spans="1:6" s="14" customFormat="1" ht="15.75" customHeight="1" thickBot="1">
      <c r="A4" s="14" t="s">
        <v>337</v>
      </c>
      <c r="B4" s="188" t="s">
        <v>269</v>
      </c>
      <c r="D4" s="190" t="s">
        <v>93</v>
      </c>
    </row>
    <row r="5" spans="1:6" ht="38.25">
      <c r="A5" s="142" t="s">
        <v>26</v>
      </c>
      <c r="B5" s="143" t="s">
        <v>231</v>
      </c>
      <c r="C5" s="144" t="s">
        <v>237</v>
      </c>
      <c r="D5" s="189" t="s">
        <v>270</v>
      </c>
    </row>
    <row r="6" spans="1:6">
      <c r="A6" s="131">
        <v>1</v>
      </c>
      <c r="B6" s="76" t="s">
        <v>154</v>
      </c>
      <c r="C6" s="256">
        <v>44500544.220000014</v>
      </c>
      <c r="D6" s="132"/>
      <c r="E6" s="5"/>
    </row>
    <row r="7" spans="1:6">
      <c r="A7" s="131">
        <v>2</v>
      </c>
      <c r="B7" s="77" t="s">
        <v>155</v>
      </c>
      <c r="C7" s="257">
        <v>156739548.84</v>
      </c>
      <c r="D7" s="133"/>
      <c r="E7" s="5"/>
    </row>
    <row r="8" spans="1:6">
      <c r="A8" s="131">
        <v>3</v>
      </c>
      <c r="B8" s="77" t="s">
        <v>156</v>
      </c>
      <c r="C8" s="257">
        <v>42263146.379999995</v>
      </c>
      <c r="D8" s="133"/>
      <c r="E8" s="5"/>
    </row>
    <row r="9" spans="1:6">
      <c r="A9" s="131">
        <v>4</v>
      </c>
      <c r="B9" s="77" t="s">
        <v>185</v>
      </c>
      <c r="C9" s="257">
        <v>0</v>
      </c>
      <c r="D9" s="133"/>
      <c r="E9" s="5"/>
    </row>
    <row r="10" spans="1:6">
      <c r="A10" s="131">
        <v>5</v>
      </c>
      <c r="B10" s="77" t="s">
        <v>157</v>
      </c>
      <c r="C10" s="257">
        <v>127105313.37</v>
      </c>
      <c r="D10" s="133"/>
      <c r="E10" s="5"/>
    </row>
    <row r="11" spans="1:6">
      <c r="A11" s="131">
        <v>6.1</v>
      </c>
      <c r="B11" s="77" t="s">
        <v>158</v>
      </c>
      <c r="C11" s="258">
        <v>933507766.64999819</v>
      </c>
      <c r="D11" s="134"/>
      <c r="E11" s="6"/>
    </row>
    <row r="12" spans="1:6">
      <c r="A12" s="131">
        <v>6.2</v>
      </c>
      <c r="B12" s="78" t="s">
        <v>159</v>
      </c>
      <c r="C12" s="258">
        <v>-51231898.949999884</v>
      </c>
      <c r="D12" s="134"/>
      <c r="E12" s="6"/>
    </row>
    <row r="13" spans="1:6">
      <c r="A13" s="131" t="s">
        <v>371</v>
      </c>
      <c r="B13" s="79" t="s">
        <v>372</v>
      </c>
      <c r="C13" s="258">
        <v>-14814391.400000043</v>
      </c>
      <c r="D13" s="134"/>
      <c r="E13" s="6"/>
    </row>
    <row r="14" spans="1:6">
      <c r="A14" s="131" t="s">
        <v>495</v>
      </c>
      <c r="B14" s="79" t="s">
        <v>484</v>
      </c>
      <c r="C14" s="258">
        <v>0</v>
      </c>
      <c r="D14" s="134"/>
      <c r="E14" s="6"/>
    </row>
    <row r="15" spans="1:6">
      <c r="A15" s="131">
        <v>6</v>
      </c>
      <c r="B15" s="77" t="s">
        <v>160</v>
      </c>
      <c r="C15" s="264">
        <v>882275867.69999826</v>
      </c>
      <c r="D15" s="134"/>
      <c r="E15" s="5"/>
    </row>
    <row r="16" spans="1:6">
      <c r="A16" s="131">
        <v>7</v>
      </c>
      <c r="B16" s="77" t="s">
        <v>161</v>
      </c>
      <c r="C16" s="257">
        <v>12874224.459999979</v>
      </c>
      <c r="D16" s="133"/>
      <c r="E16" s="5"/>
    </row>
    <row r="17" spans="1:5">
      <c r="A17" s="131">
        <v>8</v>
      </c>
      <c r="B17" s="77" t="s">
        <v>162</v>
      </c>
      <c r="C17" s="257">
        <v>3574072.9600000121</v>
      </c>
      <c r="D17" s="133"/>
      <c r="E17" s="5"/>
    </row>
    <row r="18" spans="1:5">
      <c r="A18" s="131">
        <v>9</v>
      </c>
      <c r="B18" s="77" t="s">
        <v>163</v>
      </c>
      <c r="C18" s="257">
        <v>0</v>
      </c>
      <c r="D18" s="133"/>
      <c r="E18" s="5"/>
    </row>
    <row r="19" spans="1:5">
      <c r="A19" s="131">
        <v>9.1</v>
      </c>
      <c r="B19" s="79" t="s">
        <v>246</v>
      </c>
      <c r="C19" s="258">
        <v>0</v>
      </c>
      <c r="D19" s="133"/>
      <c r="E19" s="5"/>
    </row>
    <row r="20" spans="1:5">
      <c r="A20" s="131">
        <v>9.1999999999999993</v>
      </c>
      <c r="B20" s="79" t="s">
        <v>236</v>
      </c>
      <c r="C20" s="258">
        <v>0</v>
      </c>
      <c r="D20" s="133"/>
      <c r="E20" s="5"/>
    </row>
    <row r="21" spans="1:5">
      <c r="A21" s="131">
        <v>9.3000000000000007</v>
      </c>
      <c r="B21" s="79" t="s">
        <v>235</v>
      </c>
      <c r="C21" s="258">
        <v>0</v>
      </c>
      <c r="D21" s="133"/>
      <c r="E21" s="5"/>
    </row>
    <row r="22" spans="1:5">
      <c r="A22" s="131">
        <v>10</v>
      </c>
      <c r="B22" s="77" t="s">
        <v>164</v>
      </c>
      <c r="C22" s="257">
        <v>46467904.75999999</v>
      </c>
      <c r="D22" s="133"/>
      <c r="E22" s="5"/>
    </row>
    <row r="23" spans="1:5">
      <c r="A23" s="131">
        <v>10.1</v>
      </c>
      <c r="B23" s="79" t="s">
        <v>234</v>
      </c>
      <c r="C23" s="257">
        <v>23235267</v>
      </c>
      <c r="D23" s="214" t="s">
        <v>344</v>
      </c>
      <c r="E23" s="5"/>
    </row>
    <row r="24" spans="1:5">
      <c r="A24" s="131">
        <v>11</v>
      </c>
      <c r="B24" s="80" t="s">
        <v>165</v>
      </c>
      <c r="C24" s="259">
        <v>8765853.6349999998</v>
      </c>
      <c r="D24" s="135"/>
      <c r="E24" s="5"/>
    </row>
    <row r="25" spans="1:5">
      <c r="A25" s="131">
        <v>12</v>
      </c>
      <c r="B25" s="82" t="s">
        <v>166</v>
      </c>
      <c r="C25" s="260">
        <f>SUM(C6:C10,C15:C18,C22,C24)</f>
        <v>1324566476.3249984</v>
      </c>
      <c r="D25" s="136"/>
      <c r="E25" s="4"/>
    </row>
    <row r="26" spans="1:5">
      <c r="A26" s="131">
        <v>13</v>
      </c>
      <c r="B26" s="77" t="s">
        <v>167</v>
      </c>
      <c r="C26" s="261">
        <v>63082.69</v>
      </c>
      <c r="D26" s="137"/>
      <c r="E26" s="5"/>
    </row>
    <row r="27" spans="1:5">
      <c r="A27" s="131">
        <v>14</v>
      </c>
      <c r="B27" s="77" t="s">
        <v>168</v>
      </c>
      <c r="C27" s="257">
        <v>242508043.28006625</v>
      </c>
      <c r="D27" s="133"/>
      <c r="E27" s="5"/>
    </row>
    <row r="28" spans="1:5">
      <c r="A28" s="131">
        <v>15</v>
      </c>
      <c r="B28" s="77" t="s">
        <v>169</v>
      </c>
      <c r="C28" s="257">
        <v>219009643.91000012</v>
      </c>
      <c r="D28" s="133"/>
      <c r="E28" s="5"/>
    </row>
    <row r="29" spans="1:5">
      <c r="A29" s="131">
        <v>16</v>
      </c>
      <c r="B29" s="77" t="s">
        <v>170</v>
      </c>
      <c r="C29" s="257">
        <v>393249746.87999976</v>
      </c>
      <c r="D29" s="133"/>
      <c r="E29" s="5"/>
    </row>
    <row r="30" spans="1:5">
      <c r="A30" s="131">
        <v>17</v>
      </c>
      <c r="B30" s="77" t="s">
        <v>171</v>
      </c>
      <c r="C30" s="257">
        <v>0</v>
      </c>
      <c r="D30" s="133"/>
      <c r="E30" s="5"/>
    </row>
    <row r="31" spans="1:5">
      <c r="A31" s="131">
        <v>18</v>
      </c>
      <c r="B31" s="77" t="s">
        <v>172</v>
      </c>
      <c r="C31" s="257">
        <v>234984976</v>
      </c>
      <c r="D31" s="133"/>
      <c r="E31" s="5"/>
    </row>
    <row r="32" spans="1:5">
      <c r="A32" s="131">
        <v>19</v>
      </c>
      <c r="B32" s="77" t="s">
        <v>173</v>
      </c>
      <c r="C32" s="257">
        <v>4881703.6900000013</v>
      </c>
      <c r="D32" s="133"/>
      <c r="E32" s="5"/>
    </row>
    <row r="33" spans="1:5">
      <c r="A33" s="131">
        <v>20</v>
      </c>
      <c r="B33" s="77" t="s">
        <v>95</v>
      </c>
      <c r="C33" s="257">
        <v>21267260.939999998</v>
      </c>
      <c r="D33" s="133"/>
      <c r="E33" s="5"/>
    </row>
    <row r="34" spans="1:5">
      <c r="A34" s="131">
        <v>20.100000000000001</v>
      </c>
      <c r="B34" s="81" t="s">
        <v>370</v>
      </c>
      <c r="C34" s="259">
        <v>937189.9800000001</v>
      </c>
      <c r="D34" s="135"/>
      <c r="E34" s="5"/>
    </row>
    <row r="35" spans="1:5">
      <c r="A35" s="131">
        <v>21</v>
      </c>
      <c r="B35" s="80" t="s">
        <v>174</v>
      </c>
      <c r="C35" s="259">
        <v>59305382.099999994</v>
      </c>
      <c r="D35" s="135"/>
      <c r="E35" s="5"/>
    </row>
    <row r="36" spans="1:5">
      <c r="A36" s="131">
        <v>21.1</v>
      </c>
      <c r="B36" s="81" t="s">
        <v>233</v>
      </c>
      <c r="C36" s="262">
        <v>38021044.060000002</v>
      </c>
      <c r="D36" s="138"/>
      <c r="E36" s="5"/>
    </row>
    <row r="37" spans="1:5">
      <c r="A37" s="131">
        <v>22</v>
      </c>
      <c r="B37" s="82" t="s">
        <v>175</v>
      </c>
      <c r="C37" s="260">
        <f>SUM(C26:C33)+C35</f>
        <v>1175269839.4900661</v>
      </c>
      <c r="D37" s="136"/>
      <c r="E37" s="4"/>
    </row>
    <row r="38" spans="1:5">
      <c r="A38" s="131">
        <v>23</v>
      </c>
      <c r="B38" s="80" t="s">
        <v>176</v>
      </c>
      <c r="C38" s="257">
        <v>121372000</v>
      </c>
      <c r="D38" s="133"/>
      <c r="E38" s="5"/>
    </row>
    <row r="39" spans="1:5">
      <c r="A39" s="131">
        <v>24</v>
      </c>
      <c r="B39" s="80" t="s">
        <v>177</v>
      </c>
      <c r="C39" s="257">
        <v>0</v>
      </c>
      <c r="D39" s="133"/>
      <c r="E39" s="5"/>
    </row>
    <row r="40" spans="1:5">
      <c r="A40" s="131">
        <v>25</v>
      </c>
      <c r="B40" s="80" t="s">
        <v>232</v>
      </c>
      <c r="C40" s="257">
        <v>0</v>
      </c>
      <c r="D40" s="133"/>
      <c r="E40" s="5"/>
    </row>
    <row r="41" spans="1:5">
      <c r="A41" s="131">
        <v>26</v>
      </c>
      <c r="B41" s="80" t="s">
        <v>179</v>
      </c>
      <c r="C41" s="257">
        <v>0</v>
      </c>
      <c r="D41" s="133"/>
      <c r="E41" s="5"/>
    </row>
    <row r="42" spans="1:5">
      <c r="A42" s="131">
        <v>27</v>
      </c>
      <c r="B42" s="80" t="s">
        <v>180</v>
      </c>
      <c r="C42" s="257">
        <v>0</v>
      </c>
      <c r="D42" s="133"/>
      <c r="E42" s="5"/>
    </row>
    <row r="43" spans="1:5">
      <c r="A43" s="131">
        <v>28</v>
      </c>
      <c r="B43" s="80" t="s">
        <v>181</v>
      </c>
      <c r="C43" s="257">
        <v>27924636.799999997</v>
      </c>
      <c r="D43" s="133"/>
      <c r="E43" s="5"/>
    </row>
    <row r="44" spans="1:5">
      <c r="A44" s="131">
        <v>29</v>
      </c>
      <c r="B44" s="80" t="s">
        <v>35</v>
      </c>
      <c r="C44" s="257">
        <v>0</v>
      </c>
      <c r="D44" s="133"/>
      <c r="E44" s="5"/>
    </row>
    <row r="45" spans="1:5" ht="16.5" thickBot="1">
      <c r="A45" s="139">
        <v>30</v>
      </c>
      <c r="B45" s="140" t="s">
        <v>182</v>
      </c>
      <c r="C45" s="263">
        <f>SUM(C38:C44)</f>
        <v>149296636.80000001</v>
      </c>
      <c r="D45" s="141"/>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J8" activePane="bottomRight" state="frozen"/>
      <selection pane="topRight" activeCell="C1" sqref="C1"/>
      <selection pane="bottomLeft" activeCell="A8" sqref="A8"/>
      <selection pane="bottomRight" activeCell="O16" sqref="O16"/>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3.5703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5703125" style="1" bestFit="1" customWidth="1"/>
    <col min="15" max="15" width="12.42578125" style="1" bestFit="1" customWidth="1"/>
    <col min="16" max="16" width="13.42578125" style="1" bestFit="1" customWidth="1"/>
    <col min="17" max="17" width="9.5703125" style="1" bestFit="1" customWidth="1"/>
    <col min="18" max="18" width="13.42578125" style="1" bestFit="1" customWidth="1"/>
    <col min="19" max="19" width="31.5703125" style="1" bestFit="1" customWidth="1"/>
    <col min="20" max="16384" width="9.140625" style="9"/>
  </cols>
  <sheetData>
    <row r="1" spans="1:19">
      <c r="A1" s="1" t="s">
        <v>188</v>
      </c>
      <c r="B1" s="1" t="str">
        <f>Info!C2</f>
        <v>ს.ს. "ტერაბანკი"</v>
      </c>
    </row>
    <row r="2" spans="1:19">
      <c r="A2" s="1" t="s">
        <v>189</v>
      </c>
      <c r="B2" s="436">
        <f>'1. key ratios'!B2</f>
        <v>44469</v>
      </c>
    </row>
    <row r="4" spans="1:19" ht="26.25" thickBot="1">
      <c r="A4" s="60" t="s">
        <v>338</v>
      </c>
      <c r="B4" s="278" t="s">
        <v>360</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347</v>
      </c>
      <c r="P5" s="106" t="s">
        <v>348</v>
      </c>
      <c r="Q5" s="106" t="s">
        <v>349</v>
      </c>
      <c r="R5" s="274" t="s">
        <v>350</v>
      </c>
      <c r="S5" s="107" t="s">
        <v>351</v>
      </c>
    </row>
    <row r="6" spans="1:19" ht="46.5" customHeight="1">
      <c r="A6" s="145"/>
      <c r="B6" s="649" t="s">
        <v>352</v>
      </c>
      <c r="C6" s="647">
        <v>0</v>
      </c>
      <c r="D6" s="648"/>
      <c r="E6" s="647">
        <v>0.2</v>
      </c>
      <c r="F6" s="648"/>
      <c r="G6" s="647">
        <v>0.35</v>
      </c>
      <c r="H6" s="648"/>
      <c r="I6" s="647">
        <v>0.5</v>
      </c>
      <c r="J6" s="648"/>
      <c r="K6" s="647">
        <v>0.75</v>
      </c>
      <c r="L6" s="648"/>
      <c r="M6" s="647">
        <v>1</v>
      </c>
      <c r="N6" s="648"/>
      <c r="O6" s="647">
        <v>1.5</v>
      </c>
      <c r="P6" s="648"/>
      <c r="Q6" s="647">
        <v>2.5</v>
      </c>
      <c r="R6" s="648"/>
      <c r="S6" s="645" t="s">
        <v>251</v>
      </c>
    </row>
    <row r="7" spans="1:19">
      <c r="A7" s="145"/>
      <c r="B7" s="650"/>
      <c r="C7" s="277" t="s">
        <v>345</v>
      </c>
      <c r="D7" s="277" t="s">
        <v>346</v>
      </c>
      <c r="E7" s="277" t="s">
        <v>345</v>
      </c>
      <c r="F7" s="277" t="s">
        <v>346</v>
      </c>
      <c r="G7" s="277" t="s">
        <v>345</v>
      </c>
      <c r="H7" s="277" t="s">
        <v>346</v>
      </c>
      <c r="I7" s="277" t="s">
        <v>345</v>
      </c>
      <c r="J7" s="277" t="s">
        <v>346</v>
      </c>
      <c r="K7" s="277" t="s">
        <v>345</v>
      </c>
      <c r="L7" s="277" t="s">
        <v>346</v>
      </c>
      <c r="M7" s="277" t="s">
        <v>345</v>
      </c>
      <c r="N7" s="277" t="s">
        <v>346</v>
      </c>
      <c r="O7" s="277" t="s">
        <v>345</v>
      </c>
      <c r="P7" s="277" t="s">
        <v>346</v>
      </c>
      <c r="Q7" s="277" t="s">
        <v>345</v>
      </c>
      <c r="R7" s="277" t="s">
        <v>346</v>
      </c>
      <c r="S7" s="646"/>
    </row>
    <row r="8" spans="1:19">
      <c r="A8" s="110">
        <v>1</v>
      </c>
      <c r="B8" s="164" t="s">
        <v>216</v>
      </c>
      <c r="C8" s="550">
        <v>138443204.31</v>
      </c>
      <c r="D8" s="550"/>
      <c r="E8" s="550">
        <v>0</v>
      </c>
      <c r="F8" s="551"/>
      <c r="G8" s="550">
        <v>0</v>
      </c>
      <c r="H8" s="550"/>
      <c r="I8" s="550">
        <v>0</v>
      </c>
      <c r="J8" s="550"/>
      <c r="K8" s="550">
        <v>0</v>
      </c>
      <c r="L8" s="550"/>
      <c r="M8" s="550">
        <v>144052499.77000001</v>
      </c>
      <c r="N8" s="550"/>
      <c r="O8" s="550">
        <v>0</v>
      </c>
      <c r="P8" s="550"/>
      <c r="Q8" s="550">
        <v>0</v>
      </c>
      <c r="R8" s="551"/>
      <c r="S8" s="584">
        <f>$C$6*SUM(C8:D8)+$E$6*SUM(E8:F8)+$G$6*SUM(G8:H8)+$I$6*SUM(I8:J8)+$K$6*SUM(K8:L8)+$M$6*SUM(M8:N8)+$O$6*SUM(O8:P8)+$Q$6*SUM(Q8:R8)</f>
        <v>144052499.77000001</v>
      </c>
    </row>
    <row r="9" spans="1:19">
      <c r="A9" s="110">
        <v>2</v>
      </c>
      <c r="B9" s="164" t="s">
        <v>217</v>
      </c>
      <c r="C9" s="550">
        <v>0</v>
      </c>
      <c r="D9" s="550"/>
      <c r="E9" s="550">
        <v>0</v>
      </c>
      <c r="F9" s="550"/>
      <c r="G9" s="550">
        <v>0</v>
      </c>
      <c r="H9" s="550"/>
      <c r="I9" s="550">
        <v>0</v>
      </c>
      <c r="J9" s="550"/>
      <c r="K9" s="550">
        <v>0</v>
      </c>
      <c r="L9" s="550"/>
      <c r="M9" s="550">
        <v>0</v>
      </c>
      <c r="N9" s="550"/>
      <c r="O9" s="550">
        <v>0</v>
      </c>
      <c r="P9" s="550"/>
      <c r="Q9" s="550">
        <v>0</v>
      </c>
      <c r="R9" s="551"/>
      <c r="S9" s="584">
        <f t="shared" ref="S9:S21" si="0">$C$6*SUM(C9:D9)+$E$6*SUM(E9:F9)+$G$6*SUM(G9:H9)+$I$6*SUM(I9:J9)+$K$6*SUM(K9:L9)+$M$6*SUM(M9:N9)+$O$6*SUM(O9:P9)+$Q$6*SUM(Q9:R9)</f>
        <v>0</v>
      </c>
    </row>
    <row r="10" spans="1:19">
      <c r="A10" s="110">
        <v>3</v>
      </c>
      <c r="B10" s="164" t="s">
        <v>218</v>
      </c>
      <c r="C10" s="550">
        <v>0</v>
      </c>
      <c r="D10" s="550"/>
      <c r="E10" s="550">
        <v>0</v>
      </c>
      <c r="F10" s="550"/>
      <c r="G10" s="550">
        <v>0</v>
      </c>
      <c r="H10" s="550"/>
      <c r="I10" s="550">
        <v>0</v>
      </c>
      <c r="J10" s="550"/>
      <c r="K10" s="550">
        <v>0</v>
      </c>
      <c r="L10" s="550"/>
      <c r="M10" s="550">
        <v>0</v>
      </c>
      <c r="N10" s="550"/>
      <c r="O10" s="550">
        <v>0</v>
      </c>
      <c r="P10" s="550"/>
      <c r="Q10" s="550">
        <v>0</v>
      </c>
      <c r="R10" s="551"/>
      <c r="S10" s="584">
        <f t="shared" si="0"/>
        <v>0</v>
      </c>
    </row>
    <row r="11" spans="1:19">
      <c r="A11" s="110">
        <v>4</v>
      </c>
      <c r="B11" s="164" t="s">
        <v>219</v>
      </c>
      <c r="C11" s="550">
        <v>0</v>
      </c>
      <c r="D11" s="550"/>
      <c r="E11" s="550">
        <v>0</v>
      </c>
      <c r="F11" s="550"/>
      <c r="G11" s="550">
        <v>0</v>
      </c>
      <c r="H11" s="550"/>
      <c r="I11" s="550">
        <v>0</v>
      </c>
      <c r="J11" s="550"/>
      <c r="K11" s="550">
        <v>0</v>
      </c>
      <c r="L11" s="550"/>
      <c r="M11" s="550">
        <v>0</v>
      </c>
      <c r="N11" s="550"/>
      <c r="O11" s="550">
        <v>0</v>
      </c>
      <c r="P11" s="550"/>
      <c r="Q11" s="550">
        <v>0</v>
      </c>
      <c r="R11" s="551"/>
      <c r="S11" s="584">
        <f t="shared" si="0"/>
        <v>0</v>
      </c>
    </row>
    <row r="12" spans="1:19">
      <c r="A12" s="110">
        <v>5</v>
      </c>
      <c r="B12" s="164" t="s">
        <v>220</v>
      </c>
      <c r="C12" s="550">
        <v>0</v>
      </c>
      <c r="D12" s="550"/>
      <c r="E12" s="550">
        <v>0</v>
      </c>
      <c r="F12" s="550"/>
      <c r="G12" s="550">
        <v>0</v>
      </c>
      <c r="H12" s="550"/>
      <c r="I12" s="550">
        <v>0</v>
      </c>
      <c r="J12" s="550"/>
      <c r="K12" s="550">
        <v>0</v>
      </c>
      <c r="L12" s="550"/>
      <c r="M12" s="550">
        <v>0</v>
      </c>
      <c r="N12" s="550"/>
      <c r="O12" s="550">
        <v>0</v>
      </c>
      <c r="P12" s="550"/>
      <c r="Q12" s="550">
        <v>0</v>
      </c>
      <c r="R12" s="551"/>
      <c r="S12" s="584">
        <f t="shared" si="0"/>
        <v>0</v>
      </c>
    </row>
    <row r="13" spans="1:19">
      <c r="A13" s="110">
        <v>6</v>
      </c>
      <c r="B13" s="164" t="s">
        <v>221</v>
      </c>
      <c r="C13" s="550">
        <v>0</v>
      </c>
      <c r="D13" s="550"/>
      <c r="E13" s="550">
        <v>18256797.310000002</v>
      </c>
      <c r="F13" s="550"/>
      <c r="G13" s="550">
        <v>0</v>
      </c>
      <c r="H13" s="550"/>
      <c r="I13" s="550">
        <v>19247958.740000002</v>
      </c>
      <c r="J13" s="550"/>
      <c r="K13" s="550">
        <v>0</v>
      </c>
      <c r="L13" s="550"/>
      <c r="M13" s="550">
        <v>4758390.33</v>
      </c>
      <c r="N13" s="550"/>
      <c r="O13" s="550">
        <v>0</v>
      </c>
      <c r="P13" s="550"/>
      <c r="Q13" s="550">
        <v>0</v>
      </c>
      <c r="R13" s="551"/>
      <c r="S13" s="584">
        <f t="shared" si="0"/>
        <v>18033729.162</v>
      </c>
    </row>
    <row r="14" spans="1:19">
      <c r="A14" s="110">
        <v>7</v>
      </c>
      <c r="B14" s="164" t="s">
        <v>73</v>
      </c>
      <c r="C14" s="550">
        <v>0</v>
      </c>
      <c r="D14" s="550"/>
      <c r="E14" s="550">
        <v>0</v>
      </c>
      <c r="F14" s="550"/>
      <c r="G14" s="550">
        <v>0</v>
      </c>
      <c r="H14" s="550"/>
      <c r="I14" s="550">
        <v>0</v>
      </c>
      <c r="J14" s="550"/>
      <c r="K14" s="550">
        <v>0</v>
      </c>
      <c r="L14" s="550"/>
      <c r="M14" s="550">
        <v>472682295.04999912</v>
      </c>
      <c r="N14" s="550">
        <v>34568631.514999993</v>
      </c>
      <c r="O14" s="550">
        <v>0</v>
      </c>
      <c r="P14" s="550"/>
      <c r="Q14" s="550">
        <v>0</v>
      </c>
      <c r="R14" s="551"/>
      <c r="S14" s="584">
        <f t="shared" si="0"/>
        <v>507250926.5649991</v>
      </c>
    </row>
    <row r="15" spans="1:19">
      <c r="A15" s="110">
        <v>8</v>
      </c>
      <c r="B15" s="164" t="s">
        <v>74</v>
      </c>
      <c r="C15" s="550">
        <v>0</v>
      </c>
      <c r="D15" s="550"/>
      <c r="E15" s="550">
        <v>0</v>
      </c>
      <c r="F15" s="550"/>
      <c r="G15" s="550">
        <v>0</v>
      </c>
      <c r="H15" s="550"/>
      <c r="I15" s="550">
        <v>0</v>
      </c>
      <c r="J15" s="550"/>
      <c r="K15" s="550">
        <v>278630384.43000114</v>
      </c>
      <c r="L15" s="550">
        <v>6579411.3370000003</v>
      </c>
      <c r="M15" s="550">
        <v>0</v>
      </c>
      <c r="N15" s="550"/>
      <c r="O15" s="550">
        <v>0</v>
      </c>
      <c r="P15" s="550"/>
      <c r="Q15" s="550">
        <v>0</v>
      </c>
      <c r="R15" s="551"/>
      <c r="S15" s="584">
        <f t="shared" si="0"/>
        <v>213907346.82525086</v>
      </c>
    </row>
    <row r="16" spans="1:19">
      <c r="A16" s="110">
        <v>9</v>
      </c>
      <c r="B16" s="164" t="s">
        <v>75</v>
      </c>
      <c r="C16" s="550">
        <v>0</v>
      </c>
      <c r="D16" s="550"/>
      <c r="E16" s="550">
        <v>0</v>
      </c>
      <c r="F16" s="550"/>
      <c r="G16" s="550">
        <v>114066373.05999988</v>
      </c>
      <c r="H16" s="550">
        <v>876274.4800000001</v>
      </c>
      <c r="I16" s="550">
        <v>0</v>
      </c>
      <c r="J16" s="550"/>
      <c r="K16" s="550">
        <v>0</v>
      </c>
      <c r="L16" s="550"/>
      <c r="M16" s="550">
        <v>0</v>
      </c>
      <c r="N16" s="550"/>
      <c r="O16" s="550">
        <v>0</v>
      </c>
      <c r="P16" s="550"/>
      <c r="Q16" s="550">
        <v>0</v>
      </c>
      <c r="R16" s="551"/>
      <c r="S16" s="584">
        <f t="shared" si="0"/>
        <v>40229926.638999961</v>
      </c>
    </row>
    <row r="17" spans="1:19">
      <c r="A17" s="110">
        <v>10</v>
      </c>
      <c r="B17" s="164" t="s">
        <v>69</v>
      </c>
      <c r="C17" s="550">
        <v>0</v>
      </c>
      <c r="D17" s="550"/>
      <c r="E17" s="550">
        <v>0</v>
      </c>
      <c r="F17" s="550"/>
      <c r="G17" s="550">
        <v>0</v>
      </c>
      <c r="H17" s="550"/>
      <c r="I17" s="550">
        <v>2144022.2399999998</v>
      </c>
      <c r="J17" s="550"/>
      <c r="K17" s="550">
        <v>0</v>
      </c>
      <c r="L17" s="550"/>
      <c r="M17" s="550">
        <v>6268044.6899999995</v>
      </c>
      <c r="N17" s="550"/>
      <c r="O17" s="550">
        <v>314639.81000000006</v>
      </c>
      <c r="P17" s="550"/>
      <c r="Q17" s="550">
        <v>0</v>
      </c>
      <c r="R17" s="551"/>
      <c r="S17" s="584">
        <f t="shared" si="0"/>
        <v>7812015.5249999994</v>
      </c>
    </row>
    <row r="18" spans="1:19">
      <c r="A18" s="110">
        <v>11</v>
      </c>
      <c r="B18" s="164" t="s">
        <v>70</v>
      </c>
      <c r="C18" s="550">
        <v>0</v>
      </c>
      <c r="D18" s="550"/>
      <c r="E18" s="550">
        <v>0</v>
      </c>
      <c r="F18" s="550"/>
      <c r="G18" s="550">
        <v>0</v>
      </c>
      <c r="H18" s="550"/>
      <c r="I18" s="550">
        <v>0</v>
      </c>
      <c r="J18" s="550"/>
      <c r="K18" s="550">
        <v>0</v>
      </c>
      <c r="L18" s="550"/>
      <c r="M18" s="550">
        <v>34385544.32</v>
      </c>
      <c r="N18" s="550"/>
      <c r="O18" s="550">
        <v>6594661.2999999151</v>
      </c>
      <c r="P18" s="550"/>
      <c r="Q18" s="550">
        <v>0</v>
      </c>
      <c r="R18" s="551"/>
      <c r="S18" s="584">
        <f t="shared" si="0"/>
        <v>44277536.269999877</v>
      </c>
    </row>
    <row r="19" spans="1:19">
      <c r="A19" s="110">
        <v>12</v>
      </c>
      <c r="B19" s="164" t="s">
        <v>71</v>
      </c>
      <c r="C19" s="550">
        <v>0</v>
      </c>
      <c r="D19" s="550"/>
      <c r="E19" s="550">
        <v>0</v>
      </c>
      <c r="F19" s="550"/>
      <c r="G19" s="550">
        <v>0</v>
      </c>
      <c r="H19" s="550"/>
      <c r="I19" s="550">
        <v>0</v>
      </c>
      <c r="J19" s="550"/>
      <c r="K19" s="550">
        <v>0</v>
      </c>
      <c r="L19" s="550"/>
      <c r="M19" s="550">
        <v>0</v>
      </c>
      <c r="N19" s="550"/>
      <c r="O19" s="550">
        <v>0</v>
      </c>
      <c r="P19" s="550"/>
      <c r="Q19" s="550">
        <v>0</v>
      </c>
      <c r="R19" s="551"/>
      <c r="S19" s="584">
        <f t="shared" si="0"/>
        <v>0</v>
      </c>
    </row>
    <row r="20" spans="1:19">
      <c r="A20" s="110">
        <v>13</v>
      </c>
      <c r="B20" s="164" t="s">
        <v>72</v>
      </c>
      <c r="C20" s="550">
        <v>0</v>
      </c>
      <c r="D20" s="550"/>
      <c r="E20" s="550">
        <v>0</v>
      </c>
      <c r="F20" s="550"/>
      <c r="G20" s="550">
        <v>0</v>
      </c>
      <c r="H20" s="550"/>
      <c r="I20" s="550">
        <v>0</v>
      </c>
      <c r="J20" s="550"/>
      <c r="K20" s="550">
        <v>0</v>
      </c>
      <c r="L20" s="550"/>
      <c r="M20" s="550">
        <v>0</v>
      </c>
      <c r="N20" s="550"/>
      <c r="O20" s="550">
        <v>0</v>
      </c>
      <c r="P20" s="550"/>
      <c r="Q20" s="550">
        <v>0</v>
      </c>
      <c r="R20" s="551"/>
      <c r="S20" s="584">
        <f t="shared" si="0"/>
        <v>0</v>
      </c>
    </row>
    <row r="21" spans="1:19">
      <c r="A21" s="110">
        <v>14</v>
      </c>
      <c r="B21" s="164" t="s">
        <v>249</v>
      </c>
      <c r="C21" s="550">
        <v>43509841.659999989</v>
      </c>
      <c r="D21" s="550"/>
      <c r="E21" s="550">
        <v>990702.55999999994</v>
      </c>
      <c r="F21" s="550"/>
      <c r="G21" s="550">
        <v>0</v>
      </c>
      <c r="H21" s="550"/>
      <c r="I21" s="550">
        <v>0</v>
      </c>
      <c r="J21" s="550">
        <v>0</v>
      </c>
      <c r="K21" s="550">
        <v>0</v>
      </c>
      <c r="L21" s="550"/>
      <c r="M21" s="550">
        <v>31900241.229999948</v>
      </c>
      <c r="N21" s="550">
        <v>0</v>
      </c>
      <c r="O21" s="550">
        <v>0</v>
      </c>
      <c r="P21" s="550"/>
      <c r="Q21" s="550">
        <v>0</v>
      </c>
      <c r="R21" s="551"/>
      <c r="S21" s="584">
        <f t="shared" si="0"/>
        <v>32098381.741999947</v>
      </c>
    </row>
    <row r="22" spans="1:19" ht="13.5" thickBot="1">
      <c r="A22" s="93"/>
      <c r="B22" s="150" t="s">
        <v>68</v>
      </c>
      <c r="C22" s="265">
        <f>SUM(C8:C21)</f>
        <v>181953045.97</v>
      </c>
      <c r="D22" s="265">
        <f t="shared" ref="D22:S22" si="1">SUM(D8:D21)</f>
        <v>0</v>
      </c>
      <c r="E22" s="265">
        <f t="shared" si="1"/>
        <v>19247499.870000001</v>
      </c>
      <c r="F22" s="265">
        <f t="shared" si="1"/>
        <v>0</v>
      </c>
      <c r="G22" s="265">
        <f t="shared" si="1"/>
        <v>114066373.05999988</v>
      </c>
      <c r="H22" s="265">
        <f t="shared" si="1"/>
        <v>876274.4800000001</v>
      </c>
      <c r="I22" s="265">
        <f t="shared" si="1"/>
        <v>21391980.98</v>
      </c>
      <c r="J22" s="265">
        <f t="shared" si="1"/>
        <v>0</v>
      </c>
      <c r="K22" s="265">
        <f t="shared" si="1"/>
        <v>278630384.43000114</v>
      </c>
      <c r="L22" s="265">
        <f t="shared" si="1"/>
        <v>6579411.3370000003</v>
      </c>
      <c r="M22" s="265">
        <f t="shared" si="1"/>
        <v>694047015.38999915</v>
      </c>
      <c r="N22" s="265">
        <f t="shared" si="1"/>
        <v>34568631.514999993</v>
      </c>
      <c r="O22" s="265">
        <f t="shared" si="1"/>
        <v>6909301.1099999156</v>
      </c>
      <c r="P22" s="265">
        <f t="shared" si="1"/>
        <v>0</v>
      </c>
      <c r="Q22" s="265">
        <f t="shared" si="1"/>
        <v>0</v>
      </c>
      <c r="R22" s="265">
        <f t="shared" si="1"/>
        <v>0</v>
      </c>
      <c r="S22" s="585">
        <f t="shared" si="1"/>
        <v>1007662362.4982498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"ტერაბანკი"</v>
      </c>
    </row>
    <row r="2" spans="1:22">
      <c r="A2" s="1" t="s">
        <v>189</v>
      </c>
      <c r="B2" s="436">
        <f>'1. key ratios'!B2</f>
        <v>44469</v>
      </c>
    </row>
    <row r="4" spans="1:22" ht="27.75" thickBot="1">
      <c r="A4" s="1" t="s">
        <v>339</v>
      </c>
      <c r="B4" s="278" t="s">
        <v>361</v>
      </c>
      <c r="V4" s="190" t="s">
        <v>93</v>
      </c>
    </row>
    <row r="5" spans="1:22">
      <c r="A5" s="91"/>
      <c r="B5" s="92"/>
      <c r="C5" s="651" t="s">
        <v>198</v>
      </c>
      <c r="D5" s="652"/>
      <c r="E5" s="652"/>
      <c r="F5" s="652"/>
      <c r="G5" s="652"/>
      <c r="H5" s="652"/>
      <c r="I5" s="652"/>
      <c r="J5" s="652"/>
      <c r="K5" s="652"/>
      <c r="L5" s="653"/>
      <c r="M5" s="651" t="s">
        <v>199</v>
      </c>
      <c r="N5" s="652"/>
      <c r="O5" s="652"/>
      <c r="P5" s="652"/>
      <c r="Q5" s="652"/>
      <c r="R5" s="652"/>
      <c r="S5" s="653"/>
      <c r="T5" s="656" t="s">
        <v>359</v>
      </c>
      <c r="U5" s="656" t="s">
        <v>358</v>
      </c>
      <c r="V5" s="654" t="s">
        <v>200</v>
      </c>
    </row>
    <row r="6" spans="1:22" s="60" customFormat="1" ht="127.5">
      <c r="A6" s="108"/>
      <c r="B6" s="166"/>
      <c r="C6" s="89" t="s">
        <v>201</v>
      </c>
      <c r="D6" s="88" t="s">
        <v>202</v>
      </c>
      <c r="E6" s="86" t="s">
        <v>203</v>
      </c>
      <c r="F6" s="86" t="s">
        <v>353</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57"/>
      <c r="U6" s="657"/>
      <c r="V6" s="655"/>
    </row>
    <row r="7" spans="1:22">
      <c r="A7" s="149">
        <v>1</v>
      </c>
      <c r="B7" s="148" t="s">
        <v>216</v>
      </c>
      <c r="C7" s="552">
        <v>0</v>
      </c>
      <c r="D7" s="549">
        <v>0</v>
      </c>
      <c r="E7" s="549">
        <v>0</v>
      </c>
      <c r="F7" s="549">
        <v>0</v>
      </c>
      <c r="G7" s="549">
        <v>0</v>
      </c>
      <c r="H7" s="549">
        <v>0</v>
      </c>
      <c r="I7" s="549">
        <v>0</v>
      </c>
      <c r="J7" s="549">
        <v>0</v>
      </c>
      <c r="K7" s="549">
        <v>0</v>
      </c>
      <c r="L7" s="553">
        <v>0</v>
      </c>
      <c r="M7" s="552"/>
      <c r="N7" s="549"/>
      <c r="O7" s="549"/>
      <c r="P7" s="549"/>
      <c r="Q7" s="549"/>
      <c r="R7" s="549"/>
      <c r="S7" s="553"/>
      <c r="T7" s="554">
        <v>0</v>
      </c>
      <c r="U7" s="555"/>
      <c r="V7" s="266">
        <f>SUM(C7:S7)</f>
        <v>0</v>
      </c>
    </row>
    <row r="8" spans="1:22">
      <c r="A8" s="149">
        <v>2</v>
      </c>
      <c r="B8" s="148" t="s">
        <v>217</v>
      </c>
      <c r="C8" s="552">
        <v>0</v>
      </c>
      <c r="D8" s="549">
        <v>0</v>
      </c>
      <c r="E8" s="549">
        <v>0</v>
      </c>
      <c r="F8" s="549">
        <v>0</v>
      </c>
      <c r="G8" s="549">
        <v>0</v>
      </c>
      <c r="H8" s="549">
        <v>0</v>
      </c>
      <c r="I8" s="549">
        <v>0</v>
      </c>
      <c r="J8" s="549">
        <v>0</v>
      </c>
      <c r="K8" s="549">
        <v>0</v>
      </c>
      <c r="L8" s="553">
        <v>0</v>
      </c>
      <c r="M8" s="552"/>
      <c r="N8" s="549"/>
      <c r="O8" s="549"/>
      <c r="P8" s="549"/>
      <c r="Q8" s="549"/>
      <c r="R8" s="549"/>
      <c r="S8" s="553"/>
      <c r="T8" s="555">
        <v>0</v>
      </c>
      <c r="U8" s="555"/>
      <c r="V8" s="266">
        <f t="shared" ref="V8:V20" si="0">SUM(C8:S8)</f>
        <v>0</v>
      </c>
    </row>
    <row r="9" spans="1:22">
      <c r="A9" s="149">
        <v>3</v>
      </c>
      <c r="B9" s="148" t="s">
        <v>218</v>
      </c>
      <c r="C9" s="552">
        <v>0</v>
      </c>
      <c r="D9" s="549">
        <v>0</v>
      </c>
      <c r="E9" s="549">
        <v>0</v>
      </c>
      <c r="F9" s="549">
        <v>0</v>
      </c>
      <c r="G9" s="549">
        <v>0</v>
      </c>
      <c r="H9" s="549">
        <v>0</v>
      </c>
      <c r="I9" s="549">
        <v>0</v>
      </c>
      <c r="J9" s="549">
        <v>0</v>
      </c>
      <c r="K9" s="549">
        <v>0</v>
      </c>
      <c r="L9" s="553">
        <v>0</v>
      </c>
      <c r="M9" s="552"/>
      <c r="N9" s="549"/>
      <c r="O9" s="549"/>
      <c r="P9" s="549"/>
      <c r="Q9" s="549"/>
      <c r="R9" s="549"/>
      <c r="S9" s="553"/>
      <c r="T9" s="555">
        <v>0</v>
      </c>
      <c r="U9" s="555"/>
      <c r="V9" s="266">
        <f>SUM(C9:S9)</f>
        <v>0</v>
      </c>
    </row>
    <row r="10" spans="1:22">
      <c r="A10" s="149">
        <v>4</v>
      </c>
      <c r="B10" s="148" t="s">
        <v>219</v>
      </c>
      <c r="C10" s="552">
        <v>0</v>
      </c>
      <c r="D10" s="549">
        <v>0</v>
      </c>
      <c r="E10" s="549">
        <v>0</v>
      </c>
      <c r="F10" s="549">
        <v>0</v>
      </c>
      <c r="G10" s="549">
        <v>0</v>
      </c>
      <c r="H10" s="549">
        <v>0</v>
      </c>
      <c r="I10" s="549">
        <v>0</v>
      </c>
      <c r="J10" s="549">
        <v>0</v>
      </c>
      <c r="K10" s="549">
        <v>0</v>
      </c>
      <c r="L10" s="553">
        <v>0</v>
      </c>
      <c r="M10" s="552"/>
      <c r="N10" s="549"/>
      <c r="O10" s="549"/>
      <c r="P10" s="549"/>
      <c r="Q10" s="549"/>
      <c r="R10" s="549"/>
      <c r="S10" s="553"/>
      <c r="T10" s="555">
        <v>0</v>
      </c>
      <c r="U10" s="555"/>
      <c r="V10" s="266">
        <f t="shared" si="0"/>
        <v>0</v>
      </c>
    </row>
    <row r="11" spans="1:22">
      <c r="A11" s="149">
        <v>5</v>
      </c>
      <c r="B11" s="148" t="s">
        <v>220</v>
      </c>
      <c r="C11" s="552">
        <v>0</v>
      </c>
      <c r="D11" s="549">
        <v>0</v>
      </c>
      <c r="E11" s="549">
        <v>0</v>
      </c>
      <c r="F11" s="549">
        <v>0</v>
      </c>
      <c r="G11" s="549">
        <v>0</v>
      </c>
      <c r="H11" s="549">
        <v>0</v>
      </c>
      <c r="I11" s="549">
        <v>0</v>
      </c>
      <c r="J11" s="549">
        <v>0</v>
      </c>
      <c r="K11" s="549">
        <v>0</v>
      </c>
      <c r="L11" s="553">
        <v>0</v>
      </c>
      <c r="M11" s="552"/>
      <c r="N11" s="549"/>
      <c r="O11" s="549"/>
      <c r="P11" s="549"/>
      <c r="Q11" s="549"/>
      <c r="R11" s="549"/>
      <c r="S11" s="553"/>
      <c r="T11" s="555">
        <v>0</v>
      </c>
      <c r="U11" s="555"/>
      <c r="V11" s="266">
        <f t="shared" si="0"/>
        <v>0</v>
      </c>
    </row>
    <row r="12" spans="1:22">
      <c r="A12" s="149">
        <v>6</v>
      </c>
      <c r="B12" s="148" t="s">
        <v>221</v>
      </c>
      <c r="C12" s="552">
        <v>0</v>
      </c>
      <c r="D12" s="549">
        <v>0</v>
      </c>
      <c r="E12" s="549">
        <v>0</v>
      </c>
      <c r="F12" s="549">
        <v>0</v>
      </c>
      <c r="G12" s="549">
        <v>0</v>
      </c>
      <c r="H12" s="549">
        <v>0</v>
      </c>
      <c r="I12" s="549">
        <v>0</v>
      </c>
      <c r="J12" s="549">
        <v>0</v>
      </c>
      <c r="K12" s="549">
        <v>0</v>
      </c>
      <c r="L12" s="553">
        <v>0</v>
      </c>
      <c r="M12" s="552"/>
      <c r="N12" s="549"/>
      <c r="O12" s="549"/>
      <c r="P12" s="549"/>
      <c r="Q12" s="549"/>
      <c r="R12" s="549"/>
      <c r="S12" s="553"/>
      <c r="T12" s="555">
        <v>0</v>
      </c>
      <c r="U12" s="555"/>
      <c r="V12" s="266">
        <f t="shared" si="0"/>
        <v>0</v>
      </c>
    </row>
    <row r="13" spans="1:22">
      <c r="A13" s="149">
        <v>7</v>
      </c>
      <c r="B13" s="148" t="s">
        <v>73</v>
      </c>
      <c r="C13" s="552">
        <v>0</v>
      </c>
      <c r="D13" s="549">
        <v>39287628.530000001</v>
      </c>
      <c r="E13" s="549">
        <v>0</v>
      </c>
      <c r="F13" s="549">
        <v>0</v>
      </c>
      <c r="G13" s="549">
        <v>0</v>
      </c>
      <c r="H13" s="549">
        <v>0</v>
      </c>
      <c r="I13" s="549">
        <v>0</v>
      </c>
      <c r="J13" s="549">
        <v>0</v>
      </c>
      <c r="K13" s="549">
        <v>0</v>
      </c>
      <c r="L13" s="553">
        <v>0</v>
      </c>
      <c r="M13" s="552"/>
      <c r="N13" s="549"/>
      <c r="O13" s="549"/>
      <c r="P13" s="549"/>
      <c r="Q13" s="549"/>
      <c r="R13" s="549"/>
      <c r="S13" s="553"/>
      <c r="T13" s="555">
        <v>26497450.309999999</v>
      </c>
      <c r="U13" s="555">
        <v>12790178.219999999</v>
      </c>
      <c r="V13" s="266">
        <f t="shared" si="0"/>
        <v>39287628.530000001</v>
      </c>
    </row>
    <row r="14" spans="1:22">
      <c r="A14" s="149">
        <v>8</v>
      </c>
      <c r="B14" s="148" t="s">
        <v>74</v>
      </c>
      <c r="C14" s="552">
        <v>0</v>
      </c>
      <c r="D14" s="549">
        <v>4158094.2907499978</v>
      </c>
      <c r="E14" s="549">
        <v>0</v>
      </c>
      <c r="F14" s="549">
        <v>0</v>
      </c>
      <c r="G14" s="549">
        <v>0</v>
      </c>
      <c r="H14" s="549">
        <v>0</v>
      </c>
      <c r="I14" s="549">
        <v>0</v>
      </c>
      <c r="J14" s="549">
        <v>0</v>
      </c>
      <c r="K14" s="549">
        <v>0</v>
      </c>
      <c r="L14" s="553">
        <v>0</v>
      </c>
      <c r="M14" s="552"/>
      <c r="N14" s="549"/>
      <c r="O14" s="549"/>
      <c r="P14" s="549"/>
      <c r="Q14" s="549"/>
      <c r="R14" s="549"/>
      <c r="S14" s="553"/>
      <c r="T14" s="555">
        <v>3250271.317499998</v>
      </c>
      <c r="U14" s="555">
        <v>907822.97324999992</v>
      </c>
      <c r="V14" s="266">
        <f t="shared" si="0"/>
        <v>4158094.2907499978</v>
      </c>
    </row>
    <row r="15" spans="1:22">
      <c r="A15" s="149">
        <v>9</v>
      </c>
      <c r="B15" s="148" t="s">
        <v>75</v>
      </c>
      <c r="C15" s="552">
        <v>0</v>
      </c>
      <c r="D15" s="549">
        <v>0</v>
      </c>
      <c r="E15" s="549">
        <v>0</v>
      </c>
      <c r="F15" s="549">
        <v>0</v>
      </c>
      <c r="G15" s="549">
        <v>0</v>
      </c>
      <c r="H15" s="549">
        <v>0</v>
      </c>
      <c r="I15" s="549">
        <v>0</v>
      </c>
      <c r="J15" s="549">
        <v>0</v>
      </c>
      <c r="K15" s="549">
        <v>0</v>
      </c>
      <c r="L15" s="553">
        <v>0</v>
      </c>
      <c r="M15" s="552"/>
      <c r="N15" s="549"/>
      <c r="O15" s="549"/>
      <c r="P15" s="549"/>
      <c r="Q15" s="549"/>
      <c r="R15" s="549"/>
      <c r="S15" s="553"/>
      <c r="T15" s="555">
        <v>0</v>
      </c>
      <c r="U15" s="555">
        <v>0</v>
      </c>
      <c r="V15" s="266">
        <f t="shared" si="0"/>
        <v>0</v>
      </c>
    </row>
    <row r="16" spans="1:22">
      <c r="A16" s="149">
        <v>10</v>
      </c>
      <c r="B16" s="148" t="s">
        <v>69</v>
      </c>
      <c r="C16" s="552">
        <v>0</v>
      </c>
      <c r="D16" s="549">
        <v>22.68</v>
      </c>
      <c r="E16" s="549">
        <v>0</v>
      </c>
      <c r="F16" s="549">
        <v>0</v>
      </c>
      <c r="G16" s="549">
        <v>0</v>
      </c>
      <c r="H16" s="549">
        <v>0</v>
      </c>
      <c r="I16" s="549">
        <v>0</v>
      </c>
      <c r="J16" s="549">
        <v>0</v>
      </c>
      <c r="K16" s="549">
        <v>0</v>
      </c>
      <c r="L16" s="553">
        <v>0</v>
      </c>
      <c r="M16" s="552"/>
      <c r="N16" s="549"/>
      <c r="O16" s="549"/>
      <c r="P16" s="549"/>
      <c r="Q16" s="549"/>
      <c r="R16" s="549"/>
      <c r="S16" s="553"/>
      <c r="T16" s="555">
        <v>22.68</v>
      </c>
      <c r="U16" s="555">
        <v>0</v>
      </c>
      <c r="V16" s="266">
        <f t="shared" si="0"/>
        <v>22.68</v>
      </c>
    </row>
    <row r="17" spans="1:22">
      <c r="A17" s="149">
        <v>11</v>
      </c>
      <c r="B17" s="148" t="s">
        <v>70</v>
      </c>
      <c r="C17" s="552">
        <v>0</v>
      </c>
      <c r="D17" s="549">
        <v>290208.29000000004</v>
      </c>
      <c r="E17" s="549">
        <v>0</v>
      </c>
      <c r="F17" s="549">
        <v>0</v>
      </c>
      <c r="G17" s="549">
        <v>0</v>
      </c>
      <c r="H17" s="549">
        <v>0</v>
      </c>
      <c r="I17" s="549">
        <v>0</v>
      </c>
      <c r="J17" s="549">
        <v>0</v>
      </c>
      <c r="K17" s="549">
        <v>0</v>
      </c>
      <c r="L17" s="553">
        <v>0</v>
      </c>
      <c r="M17" s="552"/>
      <c r="N17" s="549"/>
      <c r="O17" s="549"/>
      <c r="P17" s="549"/>
      <c r="Q17" s="549"/>
      <c r="R17" s="549"/>
      <c r="S17" s="553"/>
      <c r="T17" s="555">
        <v>290208.29000000004</v>
      </c>
      <c r="U17" s="555"/>
      <c r="V17" s="266">
        <f t="shared" si="0"/>
        <v>290208.29000000004</v>
      </c>
    </row>
    <row r="18" spans="1:22">
      <c r="A18" s="149">
        <v>12</v>
      </c>
      <c r="B18" s="148" t="s">
        <v>71</v>
      </c>
      <c r="C18" s="552">
        <v>0</v>
      </c>
      <c r="D18" s="549">
        <v>0</v>
      </c>
      <c r="E18" s="549">
        <v>0</v>
      </c>
      <c r="F18" s="549">
        <v>0</v>
      </c>
      <c r="G18" s="549">
        <v>0</v>
      </c>
      <c r="H18" s="549">
        <v>0</v>
      </c>
      <c r="I18" s="549">
        <v>0</v>
      </c>
      <c r="J18" s="549">
        <v>0</v>
      </c>
      <c r="K18" s="549">
        <v>0</v>
      </c>
      <c r="L18" s="553">
        <v>0</v>
      </c>
      <c r="M18" s="552"/>
      <c r="N18" s="549"/>
      <c r="O18" s="549"/>
      <c r="P18" s="549"/>
      <c r="Q18" s="549"/>
      <c r="R18" s="549"/>
      <c r="S18" s="553"/>
      <c r="T18" s="555">
        <v>0</v>
      </c>
      <c r="U18" s="555"/>
      <c r="V18" s="266">
        <f t="shared" si="0"/>
        <v>0</v>
      </c>
    </row>
    <row r="19" spans="1:22">
      <c r="A19" s="149">
        <v>13</v>
      </c>
      <c r="B19" s="148" t="s">
        <v>72</v>
      </c>
      <c r="C19" s="552">
        <v>0</v>
      </c>
      <c r="D19" s="549">
        <v>0</v>
      </c>
      <c r="E19" s="549">
        <v>0</v>
      </c>
      <c r="F19" s="549">
        <v>0</v>
      </c>
      <c r="G19" s="549">
        <v>0</v>
      </c>
      <c r="H19" s="549">
        <v>0</v>
      </c>
      <c r="I19" s="549">
        <v>0</v>
      </c>
      <c r="J19" s="549">
        <v>0</v>
      </c>
      <c r="K19" s="549">
        <v>0</v>
      </c>
      <c r="L19" s="553">
        <v>0</v>
      </c>
      <c r="M19" s="552"/>
      <c r="N19" s="549"/>
      <c r="O19" s="549"/>
      <c r="P19" s="549"/>
      <c r="Q19" s="549"/>
      <c r="R19" s="549"/>
      <c r="S19" s="553"/>
      <c r="T19" s="555">
        <v>0</v>
      </c>
      <c r="U19" s="555"/>
      <c r="V19" s="266">
        <f t="shared" si="0"/>
        <v>0</v>
      </c>
    </row>
    <row r="20" spans="1:22">
      <c r="A20" s="149">
        <v>14</v>
      </c>
      <c r="B20" s="148" t="s">
        <v>249</v>
      </c>
      <c r="C20" s="552">
        <v>0</v>
      </c>
      <c r="D20" s="549">
        <v>0</v>
      </c>
      <c r="E20" s="549">
        <v>0</v>
      </c>
      <c r="F20" s="549">
        <v>0</v>
      </c>
      <c r="G20" s="549">
        <v>0</v>
      </c>
      <c r="H20" s="549">
        <v>0</v>
      </c>
      <c r="I20" s="549">
        <v>0</v>
      </c>
      <c r="J20" s="549">
        <v>0</v>
      </c>
      <c r="K20" s="549">
        <v>0</v>
      </c>
      <c r="L20" s="553">
        <v>0</v>
      </c>
      <c r="M20" s="552"/>
      <c r="N20" s="549"/>
      <c r="O20" s="549"/>
      <c r="P20" s="549"/>
      <c r="Q20" s="549"/>
      <c r="R20" s="549"/>
      <c r="S20" s="553"/>
      <c r="T20" s="555">
        <v>0</v>
      </c>
      <c r="U20" s="555">
        <v>0</v>
      </c>
      <c r="V20" s="266">
        <f t="shared" si="0"/>
        <v>0</v>
      </c>
    </row>
    <row r="21" spans="1:22" ht="13.5" thickBot="1">
      <c r="A21" s="93"/>
      <c r="B21" s="94" t="s">
        <v>68</v>
      </c>
      <c r="C21" s="267">
        <f>SUM(C7:C20)</f>
        <v>0</v>
      </c>
      <c r="D21" s="265">
        <f t="shared" ref="D21:V21" si="1">SUM(D7:D20)</f>
        <v>43735953.790749997</v>
      </c>
      <c r="E21" s="265">
        <f t="shared" si="1"/>
        <v>0</v>
      </c>
      <c r="F21" s="265">
        <f t="shared" si="1"/>
        <v>0</v>
      </c>
      <c r="G21" s="265">
        <f t="shared" si="1"/>
        <v>0</v>
      </c>
      <c r="H21" s="265">
        <f t="shared" si="1"/>
        <v>0</v>
      </c>
      <c r="I21" s="265">
        <f t="shared" si="1"/>
        <v>0</v>
      </c>
      <c r="J21" s="265">
        <f t="shared" si="1"/>
        <v>0</v>
      </c>
      <c r="K21" s="265">
        <f t="shared" si="1"/>
        <v>0</v>
      </c>
      <c r="L21" s="268">
        <f t="shared" si="1"/>
        <v>0</v>
      </c>
      <c r="M21" s="267">
        <f t="shared" si="1"/>
        <v>0</v>
      </c>
      <c r="N21" s="265">
        <f t="shared" si="1"/>
        <v>0</v>
      </c>
      <c r="O21" s="265">
        <f t="shared" si="1"/>
        <v>0</v>
      </c>
      <c r="P21" s="265">
        <f t="shared" si="1"/>
        <v>0</v>
      </c>
      <c r="Q21" s="265">
        <f t="shared" si="1"/>
        <v>0</v>
      </c>
      <c r="R21" s="265">
        <f t="shared" si="1"/>
        <v>0</v>
      </c>
      <c r="S21" s="268">
        <f t="shared" si="1"/>
        <v>0</v>
      </c>
      <c r="T21" s="268">
        <f>SUM(T7:T20)</f>
        <v>30037952.597499996</v>
      </c>
      <c r="U21" s="268">
        <f t="shared" si="1"/>
        <v>13698001.193249999</v>
      </c>
      <c r="V21" s="269">
        <f t="shared" si="1"/>
        <v>43735953.790749997</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"ტერაბანკი"</v>
      </c>
    </row>
    <row r="2" spans="1:9">
      <c r="A2" s="1" t="s">
        <v>189</v>
      </c>
      <c r="B2" s="436">
        <f>'1. key ratios'!B2</f>
        <v>44469</v>
      </c>
    </row>
    <row r="4" spans="1:9" ht="13.5" thickBot="1">
      <c r="A4" s="1" t="s">
        <v>340</v>
      </c>
      <c r="B4" s="52" t="s">
        <v>362</v>
      </c>
    </row>
    <row r="5" spans="1:9">
      <c r="A5" s="91"/>
      <c r="B5" s="146"/>
      <c r="C5" s="151" t="s">
        <v>0</v>
      </c>
      <c r="D5" s="151" t="s">
        <v>1</v>
      </c>
      <c r="E5" s="151" t="s">
        <v>2</v>
      </c>
      <c r="F5" s="151" t="s">
        <v>3</v>
      </c>
      <c r="G5" s="275" t="s">
        <v>4</v>
      </c>
      <c r="H5" s="152" t="s">
        <v>5</v>
      </c>
      <c r="I5" s="19"/>
    </row>
    <row r="6" spans="1:9" ht="15" customHeight="1">
      <c r="A6" s="145"/>
      <c r="B6" s="17"/>
      <c r="C6" s="649" t="s">
        <v>354</v>
      </c>
      <c r="D6" s="660" t="s">
        <v>364</v>
      </c>
      <c r="E6" s="661"/>
      <c r="F6" s="649" t="s">
        <v>365</v>
      </c>
      <c r="G6" s="649" t="s">
        <v>366</v>
      </c>
      <c r="H6" s="658" t="s">
        <v>356</v>
      </c>
      <c r="I6" s="19"/>
    </row>
    <row r="7" spans="1:9" ht="63.75">
      <c r="A7" s="145"/>
      <c r="B7" s="17"/>
      <c r="C7" s="650"/>
      <c r="D7" s="276" t="s">
        <v>357</v>
      </c>
      <c r="E7" s="276" t="s">
        <v>355</v>
      </c>
      <c r="F7" s="650"/>
      <c r="G7" s="650"/>
      <c r="H7" s="659"/>
      <c r="I7" s="19"/>
    </row>
    <row r="8" spans="1:9">
      <c r="A8" s="83">
        <v>1</v>
      </c>
      <c r="B8" s="66" t="s">
        <v>216</v>
      </c>
      <c r="C8" s="556">
        <v>282495704.08000004</v>
      </c>
      <c r="D8" s="557">
        <v>0</v>
      </c>
      <c r="E8" s="556">
        <v>0</v>
      </c>
      <c r="F8" s="556">
        <v>144052499.77000001</v>
      </c>
      <c r="G8" s="558">
        <v>144052499.77000001</v>
      </c>
      <c r="H8" s="279">
        <f>G8/(C8+E8)</f>
        <v>0.5099281075410822</v>
      </c>
    </row>
    <row r="9" spans="1:9" ht="15" customHeight="1">
      <c r="A9" s="83">
        <v>2</v>
      </c>
      <c r="B9" s="66" t="s">
        <v>217</v>
      </c>
      <c r="C9" s="556">
        <v>0</v>
      </c>
      <c r="D9" s="557">
        <v>0</v>
      </c>
      <c r="E9" s="556">
        <v>0</v>
      </c>
      <c r="F9" s="556">
        <v>0</v>
      </c>
      <c r="G9" s="558">
        <v>0</v>
      </c>
      <c r="H9" s="279"/>
    </row>
    <row r="10" spans="1:9">
      <c r="A10" s="83">
        <v>3</v>
      </c>
      <c r="B10" s="66" t="s">
        <v>218</v>
      </c>
      <c r="C10" s="556">
        <v>0</v>
      </c>
      <c r="D10" s="557">
        <v>0</v>
      </c>
      <c r="E10" s="556">
        <v>0</v>
      </c>
      <c r="F10" s="556">
        <v>0</v>
      </c>
      <c r="G10" s="558">
        <v>0</v>
      </c>
      <c r="H10" s="279"/>
    </row>
    <row r="11" spans="1:9">
      <c r="A11" s="83">
        <v>4</v>
      </c>
      <c r="B11" s="66" t="s">
        <v>219</v>
      </c>
      <c r="C11" s="556">
        <v>0</v>
      </c>
      <c r="D11" s="557">
        <v>0</v>
      </c>
      <c r="E11" s="556">
        <v>0</v>
      </c>
      <c r="F11" s="556">
        <v>0</v>
      </c>
      <c r="G11" s="558">
        <v>0</v>
      </c>
      <c r="H11" s="279"/>
    </row>
    <row r="12" spans="1:9">
      <c r="A12" s="83">
        <v>5</v>
      </c>
      <c r="B12" s="66" t="s">
        <v>220</v>
      </c>
      <c r="C12" s="556">
        <v>0</v>
      </c>
      <c r="D12" s="557">
        <v>0</v>
      </c>
      <c r="E12" s="556">
        <v>0</v>
      </c>
      <c r="F12" s="556">
        <v>0</v>
      </c>
      <c r="G12" s="558">
        <v>0</v>
      </c>
      <c r="H12" s="279"/>
    </row>
    <row r="13" spans="1:9">
      <c r="A13" s="83">
        <v>6</v>
      </c>
      <c r="B13" s="66" t="s">
        <v>221</v>
      </c>
      <c r="C13" s="556">
        <v>42263146.380000003</v>
      </c>
      <c r="D13" s="557">
        <v>0</v>
      </c>
      <c r="E13" s="556">
        <v>0</v>
      </c>
      <c r="F13" s="556">
        <v>18033729.162</v>
      </c>
      <c r="G13" s="558">
        <v>18033729.162</v>
      </c>
      <c r="H13" s="279">
        <f t="shared" ref="H13:H21" si="0">G13/(C13+E13)</f>
        <v>0.42670105533207581</v>
      </c>
    </row>
    <row r="14" spans="1:9">
      <c r="A14" s="83">
        <v>7</v>
      </c>
      <c r="B14" s="66" t="s">
        <v>73</v>
      </c>
      <c r="C14" s="556">
        <v>472682295.04999912</v>
      </c>
      <c r="D14" s="557">
        <v>67946921.650000006</v>
      </c>
      <c r="E14" s="556">
        <v>34568631.514999993</v>
      </c>
      <c r="F14" s="557">
        <v>507250926.5649991</v>
      </c>
      <c r="G14" s="559">
        <v>467963298.03499913</v>
      </c>
      <c r="H14" s="279">
        <f>G14/(C14+E14)</f>
        <v>0.92254794131959927</v>
      </c>
    </row>
    <row r="15" spans="1:9">
      <c r="A15" s="83">
        <v>8</v>
      </c>
      <c r="B15" s="66" t="s">
        <v>74</v>
      </c>
      <c r="C15" s="556">
        <v>278630384.43000114</v>
      </c>
      <c r="D15" s="557">
        <v>13060659.21999998</v>
      </c>
      <c r="E15" s="556">
        <v>6579411.3370000003</v>
      </c>
      <c r="F15" s="557">
        <v>213907346.82525086</v>
      </c>
      <c r="G15" s="559">
        <v>209749252.53450087</v>
      </c>
      <c r="H15" s="279">
        <f t="shared" si="0"/>
        <v>0.7354209274980622</v>
      </c>
    </row>
    <row r="16" spans="1:9">
      <c r="A16" s="83">
        <v>9</v>
      </c>
      <c r="B16" s="66" t="s">
        <v>75</v>
      </c>
      <c r="C16" s="556">
        <v>114066373.05999988</v>
      </c>
      <c r="D16" s="557">
        <v>1492051.29</v>
      </c>
      <c r="E16" s="556">
        <v>876274.4800000001</v>
      </c>
      <c r="F16" s="557">
        <v>40229926.638999961</v>
      </c>
      <c r="G16" s="559">
        <v>40229926.638999961</v>
      </c>
      <c r="H16" s="279">
        <f t="shared" si="0"/>
        <v>0.35000000000000003</v>
      </c>
    </row>
    <row r="17" spans="1:8">
      <c r="A17" s="83">
        <v>10</v>
      </c>
      <c r="B17" s="66" t="s">
        <v>69</v>
      </c>
      <c r="C17" s="556">
        <v>8726706.7400000002</v>
      </c>
      <c r="D17" s="557">
        <v>0</v>
      </c>
      <c r="E17" s="556">
        <v>0</v>
      </c>
      <c r="F17" s="557">
        <v>7812015.5249999994</v>
      </c>
      <c r="G17" s="559">
        <v>7811992.8449999997</v>
      </c>
      <c r="H17" s="279">
        <f t="shared" si="0"/>
        <v>0.89518223514865125</v>
      </c>
    </row>
    <row r="18" spans="1:8">
      <c r="A18" s="83">
        <v>11</v>
      </c>
      <c r="B18" s="66" t="s">
        <v>70</v>
      </c>
      <c r="C18" s="556">
        <v>40980205.619999915</v>
      </c>
      <c r="D18" s="557">
        <v>0</v>
      </c>
      <c r="E18" s="556">
        <v>0</v>
      </c>
      <c r="F18" s="557">
        <v>44277536.269999877</v>
      </c>
      <c r="G18" s="559">
        <v>43987327.979999878</v>
      </c>
      <c r="H18" s="279">
        <f t="shared" si="0"/>
        <v>1.0733798748567618</v>
      </c>
    </row>
    <row r="19" spans="1:8">
      <c r="A19" s="83">
        <v>12</v>
      </c>
      <c r="B19" s="66" t="s">
        <v>71</v>
      </c>
      <c r="C19" s="556">
        <v>0</v>
      </c>
      <c r="D19" s="557">
        <v>0</v>
      </c>
      <c r="E19" s="556">
        <v>0</v>
      </c>
      <c r="F19" s="557">
        <v>0</v>
      </c>
      <c r="G19" s="559">
        <v>0</v>
      </c>
      <c r="H19" s="279"/>
    </row>
    <row r="20" spans="1:8">
      <c r="A20" s="83">
        <v>13</v>
      </c>
      <c r="B20" s="66" t="s">
        <v>72</v>
      </c>
      <c r="C20" s="556">
        <v>0</v>
      </c>
      <c r="D20" s="557">
        <v>0</v>
      </c>
      <c r="E20" s="556">
        <v>0</v>
      </c>
      <c r="F20" s="557">
        <v>0</v>
      </c>
      <c r="G20" s="559">
        <v>0</v>
      </c>
      <c r="H20" s="279"/>
    </row>
    <row r="21" spans="1:8">
      <c r="A21" s="83">
        <v>14</v>
      </c>
      <c r="B21" s="66" t="s">
        <v>249</v>
      </c>
      <c r="C21" s="556">
        <v>77699887.449999928</v>
      </c>
      <c r="D21" s="557">
        <v>0</v>
      </c>
      <c r="E21" s="556">
        <v>0</v>
      </c>
      <c r="F21" s="557">
        <v>33397483.741999947</v>
      </c>
      <c r="G21" s="559">
        <v>33397483.741999947</v>
      </c>
      <c r="H21" s="279">
        <f t="shared" si="0"/>
        <v>0.42982666819808857</v>
      </c>
    </row>
    <row r="22" spans="1:8" ht="13.5" thickBot="1">
      <c r="A22" s="147"/>
      <c r="B22" s="153" t="s">
        <v>68</v>
      </c>
      <c r="C22" s="560">
        <f>SUM(C8:C21)</f>
        <v>1317544702.8099999</v>
      </c>
      <c r="D22" s="265">
        <f>SUM(D8:D21)</f>
        <v>82499632.159999996</v>
      </c>
      <c r="E22" s="265">
        <f>SUM(E8:E21)</f>
        <v>42024317.331999987</v>
      </c>
      <c r="F22" s="265">
        <f>SUM(F8:F21)</f>
        <v>1008961464.4982498</v>
      </c>
      <c r="G22" s="265">
        <f>SUM(G8:G21)</f>
        <v>965225510.70749986</v>
      </c>
      <c r="H22" s="280">
        <f t="shared" ref="H22" si="1">IFERROR(G22/(C22+E22),"")</f>
        <v>0.70994962109881488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ColWidth="9.140625" defaultRowHeight="12.75"/>
  <cols>
    <col min="1" max="1" width="10.5703125" style="1" bestFit="1" customWidth="1"/>
    <col min="2" max="2" width="104.140625" style="1" customWidth="1"/>
    <col min="3" max="4" width="12.7109375" style="1" customWidth="1"/>
    <col min="5" max="5" width="13.5703125" style="1" bestFit="1" customWidth="1"/>
    <col min="6" max="11" width="12.7109375" style="1" customWidth="1"/>
    <col min="12" max="16384" width="9.140625" style="1"/>
  </cols>
  <sheetData>
    <row r="1" spans="1:11">
      <c r="A1" s="1" t="s">
        <v>188</v>
      </c>
      <c r="B1" s="1" t="str">
        <f>Info!C2</f>
        <v>ს.ს. "ტერაბანკი"</v>
      </c>
    </row>
    <row r="2" spans="1:11">
      <c r="A2" s="1" t="s">
        <v>189</v>
      </c>
      <c r="B2" s="436">
        <f>'1. key ratios'!B2</f>
        <v>44469</v>
      </c>
    </row>
    <row r="4" spans="1:11" ht="13.5" thickBot="1">
      <c r="A4" s="1" t="s">
        <v>395</v>
      </c>
      <c r="B4" s="52" t="s">
        <v>394</v>
      </c>
    </row>
    <row r="5" spans="1:11" ht="30" customHeight="1">
      <c r="A5" s="665"/>
      <c r="B5" s="666"/>
      <c r="C5" s="663" t="s">
        <v>426</v>
      </c>
      <c r="D5" s="663"/>
      <c r="E5" s="663"/>
      <c r="F5" s="663" t="s">
        <v>427</v>
      </c>
      <c r="G5" s="663"/>
      <c r="H5" s="663"/>
      <c r="I5" s="663" t="s">
        <v>428</v>
      </c>
      <c r="J5" s="663"/>
      <c r="K5" s="664"/>
    </row>
    <row r="6" spans="1:11">
      <c r="A6" s="307"/>
      <c r="B6" s="308"/>
      <c r="C6" s="309" t="s">
        <v>27</v>
      </c>
      <c r="D6" s="309" t="s">
        <v>96</v>
      </c>
      <c r="E6" s="309" t="s">
        <v>68</v>
      </c>
      <c r="F6" s="309" t="s">
        <v>27</v>
      </c>
      <c r="G6" s="309" t="s">
        <v>96</v>
      </c>
      <c r="H6" s="309" t="s">
        <v>68</v>
      </c>
      <c r="I6" s="309" t="s">
        <v>27</v>
      </c>
      <c r="J6" s="309" t="s">
        <v>96</v>
      </c>
      <c r="K6" s="310" t="s">
        <v>68</v>
      </c>
    </row>
    <row r="7" spans="1:11">
      <c r="A7" s="311" t="s">
        <v>374</v>
      </c>
      <c r="B7" s="306"/>
      <c r="C7" s="561"/>
      <c r="D7" s="561"/>
      <c r="E7" s="561"/>
      <c r="F7" s="561"/>
      <c r="G7" s="561"/>
      <c r="H7" s="561"/>
      <c r="I7" s="561"/>
      <c r="J7" s="561"/>
      <c r="K7" s="562"/>
    </row>
    <row r="8" spans="1:11">
      <c r="A8" s="305">
        <v>1</v>
      </c>
      <c r="B8" s="286" t="s">
        <v>374</v>
      </c>
      <c r="C8" s="563"/>
      <c r="D8" s="563"/>
      <c r="E8" s="563"/>
      <c r="F8" s="564">
        <v>69243444.459575623</v>
      </c>
      <c r="G8" s="564">
        <v>221017275.64413738</v>
      </c>
      <c r="H8" s="564">
        <v>290260720.10371298</v>
      </c>
      <c r="I8" s="564">
        <v>63928585.322313979</v>
      </c>
      <c r="J8" s="564">
        <v>174890414.38593009</v>
      </c>
      <c r="K8" s="565">
        <v>238818999.70824409</v>
      </c>
    </row>
    <row r="9" spans="1:11">
      <c r="A9" s="311" t="s">
        <v>375</v>
      </c>
      <c r="B9" s="306"/>
      <c r="C9" s="561"/>
      <c r="D9" s="561"/>
      <c r="E9" s="561"/>
      <c r="F9" s="561"/>
      <c r="G9" s="561"/>
      <c r="H9" s="561"/>
      <c r="I9" s="561"/>
      <c r="J9" s="561"/>
      <c r="K9" s="562"/>
    </row>
    <row r="10" spans="1:11">
      <c r="A10" s="312">
        <v>2</v>
      </c>
      <c r="B10" s="287" t="s">
        <v>376</v>
      </c>
      <c r="C10" s="464">
        <v>85824216.29098095</v>
      </c>
      <c r="D10" s="566">
        <v>323797891.63271183</v>
      </c>
      <c r="E10" s="566">
        <v>409622107.92369276</v>
      </c>
      <c r="F10" s="566">
        <v>14810898.530679073</v>
      </c>
      <c r="G10" s="566">
        <v>64385512.11542695</v>
      </c>
      <c r="H10" s="566">
        <v>79196410.64610602</v>
      </c>
      <c r="I10" s="566">
        <v>3459268.047203986</v>
      </c>
      <c r="J10" s="566">
        <v>13343512.462183407</v>
      </c>
      <c r="K10" s="567">
        <v>16802780.509387393</v>
      </c>
    </row>
    <row r="11" spans="1:11">
      <c r="A11" s="312">
        <v>3</v>
      </c>
      <c r="B11" s="287" t="s">
        <v>377</v>
      </c>
      <c r="C11" s="464">
        <v>229802201.8276549</v>
      </c>
      <c r="D11" s="566">
        <v>356640965.22892684</v>
      </c>
      <c r="E11" s="566">
        <v>586443167.05658174</v>
      </c>
      <c r="F11" s="566">
        <v>56179588.581685513</v>
      </c>
      <c r="G11" s="566">
        <v>96181535.222994179</v>
      </c>
      <c r="H11" s="566">
        <v>152361123.80467969</v>
      </c>
      <c r="I11" s="566">
        <v>48268262.485234022</v>
      </c>
      <c r="J11" s="566">
        <v>81691393.993399829</v>
      </c>
      <c r="K11" s="567">
        <v>129959656.47863385</v>
      </c>
    </row>
    <row r="12" spans="1:11">
      <c r="A12" s="312">
        <v>4</v>
      </c>
      <c r="B12" s="287" t="s">
        <v>378</v>
      </c>
      <c r="C12" s="464">
        <v>125481218.63799284</v>
      </c>
      <c r="D12" s="566">
        <v>0</v>
      </c>
      <c r="E12" s="566">
        <v>125481218.63799284</v>
      </c>
      <c r="F12" s="566">
        <v>0</v>
      </c>
      <c r="G12" s="566">
        <v>0</v>
      </c>
      <c r="H12" s="566">
        <v>0</v>
      </c>
      <c r="I12" s="566">
        <v>0</v>
      </c>
      <c r="J12" s="566">
        <v>0</v>
      </c>
      <c r="K12" s="567">
        <v>0</v>
      </c>
    </row>
    <row r="13" spans="1:11">
      <c r="A13" s="312">
        <v>5</v>
      </c>
      <c r="B13" s="287" t="s">
        <v>379</v>
      </c>
      <c r="C13" s="464">
        <v>47532150.611598566</v>
      </c>
      <c r="D13" s="566">
        <v>81193925.478661448</v>
      </c>
      <c r="E13" s="566">
        <v>128726076.09026001</v>
      </c>
      <c r="F13" s="566">
        <v>7161669.9778271504</v>
      </c>
      <c r="G13" s="566">
        <v>41640901.596682154</v>
      </c>
      <c r="H13" s="566">
        <v>48802571.574509308</v>
      </c>
      <c r="I13" s="566">
        <v>2820944.8129586019</v>
      </c>
      <c r="J13" s="566">
        <v>38321929.357143581</v>
      </c>
      <c r="K13" s="567">
        <v>41142874.170102179</v>
      </c>
    </row>
    <row r="14" spans="1:11">
      <c r="A14" s="312">
        <v>6</v>
      </c>
      <c r="B14" s="287" t="s">
        <v>393</v>
      </c>
      <c r="C14" s="464">
        <v>5400632.6203978509</v>
      </c>
      <c r="D14" s="566">
        <v>9706569.6697587818</v>
      </c>
      <c r="E14" s="566">
        <v>15107202.290156633</v>
      </c>
      <c r="F14" s="566">
        <v>0</v>
      </c>
      <c r="G14" s="566">
        <v>0</v>
      </c>
      <c r="H14" s="566">
        <v>0</v>
      </c>
      <c r="I14" s="566">
        <v>0</v>
      </c>
      <c r="J14" s="566">
        <v>0</v>
      </c>
      <c r="K14" s="567">
        <v>0</v>
      </c>
    </row>
    <row r="15" spans="1:11">
      <c r="A15" s="312">
        <v>7</v>
      </c>
      <c r="B15" s="287" t="s">
        <v>380</v>
      </c>
      <c r="C15" s="464">
        <v>7104413.3084910391</v>
      </c>
      <c r="D15" s="566">
        <v>5184667.7712110039</v>
      </c>
      <c r="E15" s="566">
        <v>12289081.079702042</v>
      </c>
      <c r="F15" s="566">
        <v>2618659.8870035843</v>
      </c>
      <c r="G15" s="566">
        <v>1984706.826045448</v>
      </c>
      <c r="H15" s="566">
        <v>4603366.7130490318</v>
      </c>
      <c r="I15" s="566">
        <v>2618659.8870035843</v>
      </c>
      <c r="J15" s="566">
        <v>1984706.826045448</v>
      </c>
      <c r="K15" s="567">
        <v>4603366.7130490318</v>
      </c>
    </row>
    <row r="16" spans="1:11">
      <c r="A16" s="312">
        <v>8</v>
      </c>
      <c r="B16" s="288" t="s">
        <v>381</v>
      </c>
      <c r="C16" s="464">
        <v>501144833.29711616</v>
      </c>
      <c r="D16" s="566">
        <v>776524019.78126991</v>
      </c>
      <c r="E16" s="566">
        <v>1277668853.0783861</v>
      </c>
      <c r="F16" s="566">
        <v>80770816.977195323</v>
      </c>
      <c r="G16" s="566">
        <v>204192655.76114875</v>
      </c>
      <c r="H16" s="566">
        <v>284963472.73834407</v>
      </c>
      <c r="I16" s="566">
        <v>57167135.232400194</v>
      </c>
      <c r="J16" s="566">
        <v>135341542.63877225</v>
      </c>
      <c r="K16" s="567">
        <v>192508677.87117243</v>
      </c>
    </row>
    <row r="17" spans="1:11">
      <c r="A17" s="311" t="s">
        <v>382</v>
      </c>
      <c r="B17" s="306"/>
      <c r="C17" s="561"/>
      <c r="D17" s="561"/>
      <c r="E17" s="561"/>
      <c r="F17" s="561"/>
      <c r="G17" s="561"/>
      <c r="H17" s="561"/>
      <c r="I17" s="561"/>
      <c r="J17" s="561"/>
      <c r="K17" s="562"/>
    </row>
    <row r="18" spans="1:11">
      <c r="A18" s="312">
        <v>9</v>
      </c>
      <c r="B18" s="287" t="s">
        <v>383</v>
      </c>
      <c r="C18" s="464">
        <v>0</v>
      </c>
      <c r="D18" s="566">
        <v>0</v>
      </c>
      <c r="E18" s="566">
        <v>0</v>
      </c>
      <c r="F18" s="566">
        <v>0</v>
      </c>
      <c r="G18" s="566">
        <v>0</v>
      </c>
      <c r="H18" s="566">
        <v>0</v>
      </c>
      <c r="I18" s="566">
        <v>0</v>
      </c>
      <c r="J18" s="566">
        <v>0</v>
      </c>
      <c r="K18" s="567">
        <v>0</v>
      </c>
    </row>
    <row r="19" spans="1:11">
      <c r="A19" s="312">
        <v>10</v>
      </c>
      <c r="B19" s="287" t="s">
        <v>384</v>
      </c>
      <c r="C19" s="464">
        <v>304619281.55943698</v>
      </c>
      <c r="D19" s="566">
        <v>441224427.53428745</v>
      </c>
      <c r="E19" s="566">
        <v>745843709.09372449</v>
      </c>
      <c r="F19" s="566">
        <v>18352733.59076881</v>
      </c>
      <c r="G19" s="566">
        <v>7305519.1109498199</v>
      </c>
      <c r="H19" s="566">
        <v>25658252.701718628</v>
      </c>
      <c r="I19" s="566">
        <v>23667592.728030458</v>
      </c>
      <c r="J19" s="566">
        <v>55735010.8431262</v>
      </c>
      <c r="K19" s="567">
        <v>79402603.571156651</v>
      </c>
    </row>
    <row r="20" spans="1:11">
      <c r="A20" s="312">
        <v>11</v>
      </c>
      <c r="B20" s="287" t="s">
        <v>385</v>
      </c>
      <c r="C20" s="464">
        <v>23930456.268263079</v>
      </c>
      <c r="D20" s="566">
        <v>35328902.171696886</v>
      </c>
      <c r="E20" s="566">
        <v>59259358.439959966</v>
      </c>
      <c r="F20" s="566">
        <v>5299005.0557362</v>
      </c>
      <c r="G20" s="566">
        <v>34618968.452185765</v>
      </c>
      <c r="H20" s="566">
        <v>39917973.507921964</v>
      </c>
      <c r="I20" s="566">
        <v>5299005.0557362</v>
      </c>
      <c r="J20" s="566">
        <v>34618968.452185765</v>
      </c>
      <c r="K20" s="567">
        <v>39917973.507921964</v>
      </c>
    </row>
    <row r="21" spans="1:11" ht="13.5" thickBot="1">
      <c r="A21" s="207">
        <v>12</v>
      </c>
      <c r="B21" s="313" t="s">
        <v>386</v>
      </c>
      <c r="C21" s="568">
        <v>328549737.82770008</v>
      </c>
      <c r="D21" s="569">
        <v>476553329.70598435</v>
      </c>
      <c r="E21" s="568">
        <v>805103067.53368449</v>
      </c>
      <c r="F21" s="569">
        <v>23651738.646505009</v>
      </c>
      <c r="G21" s="569">
        <v>41924487.563135587</v>
      </c>
      <c r="H21" s="569">
        <v>65576226.209640592</v>
      </c>
      <c r="I21" s="569">
        <v>28966597.783766657</v>
      </c>
      <c r="J21" s="569">
        <v>90353979.295311958</v>
      </c>
      <c r="K21" s="570">
        <v>119320577.07907861</v>
      </c>
    </row>
    <row r="22" spans="1:11" ht="38.25" customHeight="1" thickBot="1">
      <c r="A22" s="303"/>
      <c r="B22" s="304"/>
      <c r="C22" s="304"/>
      <c r="D22" s="304"/>
      <c r="E22" s="304"/>
      <c r="F22" s="662" t="s">
        <v>387</v>
      </c>
      <c r="G22" s="663"/>
      <c r="H22" s="663"/>
      <c r="I22" s="662" t="s">
        <v>388</v>
      </c>
      <c r="J22" s="663"/>
      <c r="K22" s="664"/>
    </row>
    <row r="23" spans="1:11">
      <c r="A23" s="294">
        <v>13</v>
      </c>
      <c r="B23" s="289" t="s">
        <v>374</v>
      </c>
      <c r="C23" s="302"/>
      <c r="D23" s="302"/>
      <c r="E23" s="302"/>
      <c r="F23" s="290">
        <v>69243444.459575623</v>
      </c>
      <c r="G23" s="290">
        <v>221017275.64413738</v>
      </c>
      <c r="H23" s="290">
        <v>290260720.10371298</v>
      </c>
      <c r="I23" s="290">
        <v>63928585.322313979</v>
      </c>
      <c r="J23" s="290">
        <v>174890414.38593009</v>
      </c>
      <c r="K23" s="295">
        <v>238818999.70824409</v>
      </c>
    </row>
    <row r="24" spans="1:11" ht="13.5" thickBot="1">
      <c r="A24" s="296">
        <v>14</v>
      </c>
      <c r="B24" s="291" t="s">
        <v>389</v>
      </c>
      <c r="C24" s="314"/>
      <c r="D24" s="300"/>
      <c r="E24" s="301"/>
      <c r="F24" s="292">
        <v>57119078.330690309</v>
      </c>
      <c r="G24" s="292">
        <v>162268168.19801316</v>
      </c>
      <c r="H24" s="292">
        <v>219387246.52870348</v>
      </c>
      <c r="I24" s="292">
        <v>28200537.448633537</v>
      </c>
      <c r="J24" s="292">
        <v>44987563.343460292</v>
      </c>
      <c r="K24" s="297">
        <v>73188100.792093813</v>
      </c>
    </row>
    <row r="25" spans="1:11" ht="13.5" thickBot="1">
      <c r="A25" s="298">
        <v>15</v>
      </c>
      <c r="B25" s="293" t="s">
        <v>390</v>
      </c>
      <c r="C25" s="299"/>
      <c r="D25" s="299"/>
      <c r="E25" s="299"/>
      <c r="F25" s="571">
        <v>1.2122647368133537</v>
      </c>
      <c r="G25" s="571">
        <v>1.3620494894256381</v>
      </c>
      <c r="H25" s="571">
        <v>1.3230519307590507</v>
      </c>
      <c r="I25" s="572">
        <v>2.2669279065605772</v>
      </c>
      <c r="J25" s="572">
        <v>3.88752804971273</v>
      </c>
      <c r="K25" s="573">
        <v>3.2630850797270949</v>
      </c>
    </row>
    <row r="28" spans="1:11" ht="38.25">
      <c r="B28" s="18"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40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140625" style="9"/>
  </cols>
  <sheetData>
    <row r="1" spans="1:14">
      <c r="A1" s="1" t="s">
        <v>188</v>
      </c>
      <c r="B1" s="61" t="str">
        <f>Info!C2</f>
        <v>ს.ს. "ტერაბანკი"</v>
      </c>
    </row>
    <row r="2" spans="1:14" ht="14.25" customHeight="1">
      <c r="A2" s="61" t="s">
        <v>189</v>
      </c>
      <c r="B2" s="436">
        <f>'1. key ratios'!B2</f>
        <v>44469</v>
      </c>
    </row>
    <row r="3" spans="1:14" ht="14.25" customHeight="1"/>
    <row r="4" spans="1:14" ht="15.75" thickBot="1">
      <c r="A4" s="1" t="s">
        <v>341</v>
      </c>
      <c r="B4" s="85" t="s">
        <v>77</v>
      </c>
    </row>
    <row r="5" spans="1:14" s="20" customFormat="1" ht="12.75">
      <c r="A5" s="160"/>
      <c r="B5" s="161"/>
      <c r="C5" s="162" t="s">
        <v>0</v>
      </c>
      <c r="D5" s="162" t="s">
        <v>1</v>
      </c>
      <c r="E5" s="162" t="s">
        <v>2</v>
      </c>
      <c r="F5" s="162" t="s">
        <v>3</v>
      </c>
      <c r="G5" s="162" t="s">
        <v>4</v>
      </c>
      <c r="H5" s="162" t="s">
        <v>5</v>
      </c>
      <c r="I5" s="162" t="s">
        <v>238</v>
      </c>
      <c r="J5" s="162" t="s">
        <v>239</v>
      </c>
      <c r="K5" s="162" t="s">
        <v>240</v>
      </c>
      <c r="L5" s="162" t="s">
        <v>241</v>
      </c>
      <c r="M5" s="162" t="s">
        <v>242</v>
      </c>
      <c r="N5" s="163" t="s">
        <v>243</v>
      </c>
    </row>
    <row r="6" spans="1:14" ht="45">
      <c r="A6" s="154"/>
      <c r="B6" s="95"/>
      <c r="C6" s="96" t="s">
        <v>87</v>
      </c>
      <c r="D6" s="97" t="s">
        <v>76</v>
      </c>
      <c r="E6" s="98" t="s">
        <v>86</v>
      </c>
      <c r="F6" s="99">
        <v>0</v>
      </c>
      <c r="G6" s="99">
        <v>0.2</v>
      </c>
      <c r="H6" s="99">
        <v>0.35</v>
      </c>
      <c r="I6" s="99">
        <v>0.5</v>
      </c>
      <c r="J6" s="99">
        <v>0.75</v>
      </c>
      <c r="K6" s="99">
        <v>1</v>
      </c>
      <c r="L6" s="99">
        <v>1.5</v>
      </c>
      <c r="M6" s="99">
        <v>2.5</v>
      </c>
      <c r="N6" s="155" t="s">
        <v>77</v>
      </c>
    </row>
    <row r="7" spans="1:14">
      <c r="A7" s="156">
        <v>1</v>
      </c>
      <c r="B7" s="100" t="s">
        <v>78</v>
      </c>
      <c r="C7" s="270">
        <f>SUM(C8:C13)</f>
        <v>86251881.5</v>
      </c>
      <c r="D7" s="95"/>
      <c r="E7" s="576">
        <f t="shared" ref="E7:M7" si="0">SUM(E8:E13)</f>
        <v>1725037.6300000001</v>
      </c>
      <c r="F7" s="576">
        <f>SUM(F8:F13)</f>
        <v>0</v>
      </c>
      <c r="G7" s="576">
        <f t="shared" si="0"/>
        <v>0</v>
      </c>
      <c r="H7" s="576">
        <f t="shared" si="0"/>
        <v>0</v>
      </c>
      <c r="I7" s="576">
        <f t="shared" si="0"/>
        <v>0</v>
      </c>
      <c r="J7" s="576">
        <f t="shared" si="0"/>
        <v>0</v>
      </c>
      <c r="K7" s="576">
        <f t="shared" si="0"/>
        <v>1725037.6300000001</v>
      </c>
      <c r="L7" s="576">
        <f t="shared" si="0"/>
        <v>0</v>
      </c>
      <c r="M7" s="576">
        <f t="shared" si="0"/>
        <v>0</v>
      </c>
      <c r="N7" s="577">
        <f>SUM(N8:N13)</f>
        <v>1725037.6300000001</v>
      </c>
    </row>
    <row r="8" spans="1:14">
      <c r="A8" s="156">
        <v>1.1000000000000001</v>
      </c>
      <c r="B8" s="101" t="s">
        <v>79</v>
      </c>
      <c r="C8" s="271">
        <v>86251881.5</v>
      </c>
      <c r="D8" s="102">
        <v>0.02</v>
      </c>
      <c r="E8" s="576">
        <f>C8*D8</f>
        <v>1725037.6300000001</v>
      </c>
      <c r="F8" s="578">
        <v>0</v>
      </c>
      <c r="G8" s="578">
        <v>0</v>
      </c>
      <c r="H8" s="578">
        <v>0</v>
      </c>
      <c r="I8" s="578">
        <v>0</v>
      </c>
      <c r="J8" s="578">
        <v>0</v>
      </c>
      <c r="K8" s="578">
        <v>1725037.6300000001</v>
      </c>
      <c r="L8" s="578">
        <v>0</v>
      </c>
      <c r="M8" s="578">
        <v>0</v>
      </c>
      <c r="N8" s="577">
        <f>SUMPRODUCT($F$6:$M$6,F8:M8)</f>
        <v>1725037.6300000001</v>
      </c>
    </row>
    <row r="9" spans="1:14">
      <c r="A9" s="156">
        <v>1.2</v>
      </c>
      <c r="B9" s="101" t="s">
        <v>80</v>
      </c>
      <c r="C9" s="575">
        <v>0</v>
      </c>
      <c r="D9" s="102">
        <v>0.05</v>
      </c>
      <c r="E9" s="576">
        <f>C9*D9</f>
        <v>0</v>
      </c>
      <c r="F9" s="578">
        <v>0</v>
      </c>
      <c r="G9" s="578">
        <v>0</v>
      </c>
      <c r="H9" s="578">
        <v>0</v>
      </c>
      <c r="I9" s="578">
        <v>0</v>
      </c>
      <c r="J9" s="578">
        <v>0</v>
      </c>
      <c r="K9" s="578">
        <v>0</v>
      </c>
      <c r="L9" s="578">
        <v>0</v>
      </c>
      <c r="M9" s="578">
        <v>0</v>
      </c>
      <c r="N9" s="577">
        <f t="shared" ref="N9:N12" si="1">SUMPRODUCT($F$6:$M$6,F9:M9)</f>
        <v>0</v>
      </c>
    </row>
    <row r="10" spans="1:14">
      <c r="A10" s="156">
        <v>1.3</v>
      </c>
      <c r="B10" s="101" t="s">
        <v>81</v>
      </c>
      <c r="C10" s="575">
        <v>0</v>
      </c>
      <c r="D10" s="102">
        <v>0.08</v>
      </c>
      <c r="E10" s="576">
        <f>C10*D10</f>
        <v>0</v>
      </c>
      <c r="F10" s="578">
        <v>0</v>
      </c>
      <c r="G10" s="578">
        <v>0</v>
      </c>
      <c r="H10" s="578">
        <v>0</v>
      </c>
      <c r="I10" s="578">
        <v>0</v>
      </c>
      <c r="J10" s="578">
        <v>0</v>
      </c>
      <c r="K10" s="578">
        <v>0</v>
      </c>
      <c r="L10" s="578">
        <v>0</v>
      </c>
      <c r="M10" s="578">
        <v>0</v>
      </c>
      <c r="N10" s="577">
        <f>SUMPRODUCT($F$6:$M$6,F10:M10)</f>
        <v>0</v>
      </c>
    </row>
    <row r="11" spans="1:14">
      <c r="A11" s="156">
        <v>1.4</v>
      </c>
      <c r="B11" s="101" t="s">
        <v>82</v>
      </c>
      <c r="C11" s="575">
        <v>0</v>
      </c>
      <c r="D11" s="102">
        <v>0.11</v>
      </c>
      <c r="E11" s="576">
        <f>C11*D11</f>
        <v>0</v>
      </c>
      <c r="F11" s="578">
        <v>0</v>
      </c>
      <c r="G11" s="578">
        <v>0</v>
      </c>
      <c r="H11" s="578">
        <v>0</v>
      </c>
      <c r="I11" s="578">
        <v>0</v>
      </c>
      <c r="J11" s="578">
        <v>0</v>
      </c>
      <c r="K11" s="578">
        <v>0</v>
      </c>
      <c r="L11" s="578">
        <v>0</v>
      </c>
      <c r="M11" s="578">
        <v>0</v>
      </c>
      <c r="N11" s="577">
        <f t="shared" si="1"/>
        <v>0</v>
      </c>
    </row>
    <row r="12" spans="1:14">
      <c r="A12" s="156">
        <v>1.5</v>
      </c>
      <c r="B12" s="101" t="s">
        <v>83</v>
      </c>
      <c r="C12" s="575">
        <v>0</v>
      </c>
      <c r="D12" s="102">
        <v>0.14000000000000001</v>
      </c>
      <c r="E12" s="576">
        <f>C12*D12</f>
        <v>0</v>
      </c>
      <c r="F12" s="578">
        <v>0</v>
      </c>
      <c r="G12" s="578">
        <v>0</v>
      </c>
      <c r="H12" s="578">
        <v>0</v>
      </c>
      <c r="I12" s="578">
        <v>0</v>
      </c>
      <c r="J12" s="578">
        <v>0</v>
      </c>
      <c r="K12" s="578">
        <v>0</v>
      </c>
      <c r="L12" s="578">
        <v>0</v>
      </c>
      <c r="M12" s="578">
        <v>0</v>
      </c>
      <c r="N12" s="577">
        <f t="shared" si="1"/>
        <v>0</v>
      </c>
    </row>
    <row r="13" spans="1:14">
      <c r="A13" s="156">
        <v>1.6</v>
      </c>
      <c r="B13" s="103" t="s">
        <v>84</v>
      </c>
      <c r="C13" s="575">
        <v>0</v>
      </c>
      <c r="D13" s="104"/>
      <c r="E13" s="578"/>
      <c r="F13" s="578">
        <v>0</v>
      </c>
      <c r="G13" s="578">
        <v>0</v>
      </c>
      <c r="H13" s="578">
        <v>0</v>
      </c>
      <c r="I13" s="578">
        <v>0</v>
      </c>
      <c r="J13" s="578">
        <v>0</v>
      </c>
      <c r="K13" s="578">
        <v>0</v>
      </c>
      <c r="L13" s="578">
        <v>0</v>
      </c>
      <c r="M13" s="578">
        <v>0</v>
      </c>
      <c r="N13" s="577">
        <f>SUMPRODUCT($F$6:$M$6,F13:M13)</f>
        <v>0</v>
      </c>
    </row>
    <row r="14" spans="1:14">
      <c r="A14" s="156">
        <v>2</v>
      </c>
      <c r="B14" s="105" t="s">
        <v>85</v>
      </c>
      <c r="C14" s="574">
        <f>SUM(C15:C20)</f>
        <v>0</v>
      </c>
      <c r="D14" s="95"/>
      <c r="E14" s="576">
        <f t="shared" ref="E14:M14" si="2">SUM(E15:E20)</f>
        <v>0</v>
      </c>
      <c r="F14" s="578">
        <f t="shared" si="2"/>
        <v>0</v>
      </c>
      <c r="G14" s="578">
        <f t="shared" si="2"/>
        <v>0</v>
      </c>
      <c r="H14" s="578">
        <f t="shared" si="2"/>
        <v>0</v>
      </c>
      <c r="I14" s="578">
        <f t="shared" si="2"/>
        <v>0</v>
      </c>
      <c r="J14" s="578">
        <f t="shared" si="2"/>
        <v>0</v>
      </c>
      <c r="K14" s="578">
        <f t="shared" si="2"/>
        <v>0</v>
      </c>
      <c r="L14" s="578">
        <f t="shared" si="2"/>
        <v>0</v>
      </c>
      <c r="M14" s="578">
        <f t="shared" si="2"/>
        <v>0</v>
      </c>
      <c r="N14" s="577">
        <f>SUM(N15:N20)</f>
        <v>0</v>
      </c>
    </row>
    <row r="15" spans="1:14">
      <c r="A15" s="156">
        <v>2.1</v>
      </c>
      <c r="B15" s="103" t="s">
        <v>79</v>
      </c>
      <c r="C15" s="575">
        <v>0</v>
      </c>
      <c r="D15" s="102">
        <v>5.0000000000000001E-3</v>
      </c>
      <c r="E15" s="576">
        <f>C15*D15</f>
        <v>0</v>
      </c>
      <c r="F15" s="578">
        <v>0</v>
      </c>
      <c r="G15" s="578">
        <v>0</v>
      </c>
      <c r="H15" s="578">
        <v>0</v>
      </c>
      <c r="I15" s="578">
        <v>0</v>
      </c>
      <c r="J15" s="578">
        <v>0</v>
      </c>
      <c r="K15" s="578">
        <v>0</v>
      </c>
      <c r="L15" s="578">
        <v>0</v>
      </c>
      <c r="M15" s="578">
        <v>0</v>
      </c>
      <c r="N15" s="577">
        <f>SUMPRODUCT($F$6:$M$6,F15:M15)</f>
        <v>0</v>
      </c>
    </row>
    <row r="16" spans="1:14">
      <c r="A16" s="156">
        <v>2.2000000000000002</v>
      </c>
      <c r="B16" s="103" t="s">
        <v>80</v>
      </c>
      <c r="C16" s="575">
        <v>0</v>
      </c>
      <c r="D16" s="102">
        <v>0.01</v>
      </c>
      <c r="E16" s="576">
        <f>C16*D16</f>
        <v>0</v>
      </c>
      <c r="F16" s="578">
        <v>0</v>
      </c>
      <c r="G16" s="578">
        <v>0</v>
      </c>
      <c r="H16" s="578">
        <v>0</v>
      </c>
      <c r="I16" s="578">
        <v>0</v>
      </c>
      <c r="J16" s="578">
        <v>0</v>
      </c>
      <c r="K16" s="578">
        <v>0</v>
      </c>
      <c r="L16" s="578">
        <v>0</v>
      </c>
      <c r="M16" s="578">
        <v>0</v>
      </c>
      <c r="N16" s="577">
        <f t="shared" ref="N16:N20" si="3">SUMPRODUCT($F$6:$M$6,F16:M16)</f>
        <v>0</v>
      </c>
    </row>
    <row r="17" spans="1:14">
      <c r="A17" s="156">
        <v>2.2999999999999998</v>
      </c>
      <c r="B17" s="103" t="s">
        <v>81</v>
      </c>
      <c r="C17" s="575">
        <v>0</v>
      </c>
      <c r="D17" s="102">
        <v>0.02</v>
      </c>
      <c r="E17" s="576">
        <f>C17*D17</f>
        <v>0</v>
      </c>
      <c r="F17" s="578">
        <v>0</v>
      </c>
      <c r="G17" s="578">
        <v>0</v>
      </c>
      <c r="H17" s="578">
        <v>0</v>
      </c>
      <c r="I17" s="578">
        <v>0</v>
      </c>
      <c r="J17" s="578">
        <v>0</v>
      </c>
      <c r="K17" s="578">
        <v>0</v>
      </c>
      <c r="L17" s="578">
        <v>0</v>
      </c>
      <c r="M17" s="578">
        <v>0</v>
      </c>
      <c r="N17" s="577">
        <f t="shared" si="3"/>
        <v>0</v>
      </c>
    </row>
    <row r="18" spans="1:14">
      <c r="A18" s="156">
        <v>2.4</v>
      </c>
      <c r="B18" s="103" t="s">
        <v>82</v>
      </c>
      <c r="C18" s="575">
        <v>0</v>
      </c>
      <c r="D18" s="102">
        <v>0.03</v>
      </c>
      <c r="E18" s="576">
        <f>C18*D18</f>
        <v>0</v>
      </c>
      <c r="F18" s="578">
        <v>0</v>
      </c>
      <c r="G18" s="578">
        <v>0</v>
      </c>
      <c r="H18" s="578">
        <v>0</v>
      </c>
      <c r="I18" s="578">
        <v>0</v>
      </c>
      <c r="J18" s="578">
        <v>0</v>
      </c>
      <c r="K18" s="578">
        <v>0</v>
      </c>
      <c r="L18" s="578">
        <v>0</v>
      </c>
      <c r="M18" s="578">
        <v>0</v>
      </c>
      <c r="N18" s="577">
        <f t="shared" si="3"/>
        <v>0</v>
      </c>
    </row>
    <row r="19" spans="1:14">
      <c r="A19" s="156">
        <v>2.5</v>
      </c>
      <c r="B19" s="103" t="s">
        <v>83</v>
      </c>
      <c r="C19" s="575">
        <v>0</v>
      </c>
      <c r="D19" s="102">
        <v>0.04</v>
      </c>
      <c r="E19" s="576">
        <f>C19*D19</f>
        <v>0</v>
      </c>
      <c r="F19" s="578">
        <v>0</v>
      </c>
      <c r="G19" s="578">
        <v>0</v>
      </c>
      <c r="H19" s="578">
        <v>0</v>
      </c>
      <c r="I19" s="578">
        <v>0</v>
      </c>
      <c r="J19" s="578">
        <v>0</v>
      </c>
      <c r="K19" s="578">
        <v>0</v>
      </c>
      <c r="L19" s="578">
        <v>0</v>
      </c>
      <c r="M19" s="578">
        <v>0</v>
      </c>
      <c r="N19" s="577">
        <f t="shared" si="3"/>
        <v>0</v>
      </c>
    </row>
    <row r="20" spans="1:14">
      <c r="A20" s="156">
        <v>2.6</v>
      </c>
      <c r="B20" s="103" t="s">
        <v>84</v>
      </c>
      <c r="C20" s="575">
        <v>0</v>
      </c>
      <c r="D20" s="104"/>
      <c r="E20" s="579"/>
      <c r="F20" s="578">
        <v>0</v>
      </c>
      <c r="G20" s="578">
        <v>0</v>
      </c>
      <c r="H20" s="578">
        <v>0</v>
      </c>
      <c r="I20" s="578">
        <v>0</v>
      </c>
      <c r="J20" s="578">
        <v>0</v>
      </c>
      <c r="K20" s="578">
        <v>0</v>
      </c>
      <c r="L20" s="578">
        <v>0</v>
      </c>
      <c r="M20" s="578">
        <v>0</v>
      </c>
      <c r="N20" s="577">
        <f t="shared" si="3"/>
        <v>0</v>
      </c>
    </row>
    <row r="21" spans="1:14" ht="15.75" thickBot="1">
      <c r="A21" s="157">
        <v>3</v>
      </c>
      <c r="B21" s="158" t="s">
        <v>68</v>
      </c>
      <c r="C21" s="272">
        <f>C14+C7</f>
        <v>86251881.5</v>
      </c>
      <c r="D21" s="159"/>
      <c r="E21" s="580">
        <f>E14+E7</f>
        <v>1725037.6300000001</v>
      </c>
      <c r="F21" s="581">
        <f>F7+F14</f>
        <v>0</v>
      </c>
      <c r="G21" s="581">
        <f t="shared" ref="G21:L21" si="4">G7+G14</f>
        <v>0</v>
      </c>
      <c r="H21" s="581">
        <f t="shared" si="4"/>
        <v>0</v>
      </c>
      <c r="I21" s="581">
        <f t="shared" si="4"/>
        <v>0</v>
      </c>
      <c r="J21" s="581">
        <f t="shared" si="4"/>
        <v>0</v>
      </c>
      <c r="K21" s="581">
        <f t="shared" si="4"/>
        <v>1725037.6300000001</v>
      </c>
      <c r="L21" s="581">
        <f t="shared" si="4"/>
        <v>0</v>
      </c>
      <c r="M21" s="581">
        <f>M7+M14</f>
        <v>0</v>
      </c>
      <c r="N21" s="582">
        <f>N14+N7</f>
        <v>1725037.6300000001</v>
      </c>
    </row>
    <row r="22" spans="1:14">
      <c r="E22" s="273"/>
      <c r="F22" s="273"/>
      <c r="G22" s="273"/>
      <c r="H22" s="273"/>
      <c r="I22" s="273"/>
      <c r="J22" s="273"/>
      <c r="K22" s="273"/>
      <c r="L22" s="273"/>
      <c r="M22" s="27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heetViews>
  <sheetFormatPr defaultRowHeight="15"/>
  <cols>
    <col min="1" max="1" width="11.42578125" customWidth="1"/>
    <col min="2" max="2" width="76.85546875" style="2" customWidth="1"/>
    <col min="3" max="3" width="22.85546875" customWidth="1"/>
  </cols>
  <sheetData>
    <row r="1" spans="1:3">
      <c r="A1" s="1" t="s">
        <v>188</v>
      </c>
      <c r="B1" t="str">
        <f>Info!C2</f>
        <v>ს.ს. "ტერაბანკი"</v>
      </c>
    </row>
    <row r="2" spans="1:3">
      <c r="A2" s="1" t="s">
        <v>189</v>
      </c>
      <c r="B2" s="436">
        <f>'1. key ratios'!B2</f>
        <v>44469</v>
      </c>
    </row>
    <row r="3" spans="1:3">
      <c r="A3" s="1"/>
      <c r="B3"/>
    </row>
    <row r="4" spans="1:3">
      <c r="A4" s="1" t="s">
        <v>470</v>
      </c>
      <c r="B4" t="s">
        <v>429</v>
      </c>
    </row>
    <row r="5" spans="1:3">
      <c r="A5" s="361"/>
      <c r="B5" s="361" t="s">
        <v>430</v>
      </c>
      <c r="C5" s="373"/>
    </row>
    <row r="6" spans="1:3">
      <c r="A6" s="362">
        <v>1</v>
      </c>
      <c r="B6" s="374" t="s">
        <v>482</v>
      </c>
      <c r="C6" s="375">
        <v>1309652084.8999996</v>
      </c>
    </row>
    <row r="7" spans="1:3">
      <c r="A7" s="362">
        <v>2</v>
      </c>
      <c r="B7" s="374" t="s">
        <v>431</v>
      </c>
      <c r="C7" s="375">
        <v>-23235266.890000001</v>
      </c>
    </row>
    <row r="8" spans="1:3">
      <c r="A8" s="363">
        <v>3</v>
      </c>
      <c r="B8" s="376" t="s">
        <v>432</v>
      </c>
      <c r="C8" s="377">
        <f>C6+C7</f>
        <v>1286416818.0099995</v>
      </c>
    </row>
    <row r="9" spans="1:3">
      <c r="A9" s="364"/>
      <c r="B9" s="364" t="s">
        <v>433</v>
      </c>
      <c r="C9" s="378"/>
    </row>
    <row r="10" spans="1:3">
      <c r="A10" s="365">
        <v>4</v>
      </c>
      <c r="B10" s="379" t="s">
        <v>434</v>
      </c>
      <c r="C10" s="375"/>
    </row>
    <row r="11" spans="1:3">
      <c r="A11" s="365">
        <v>5</v>
      </c>
      <c r="B11" s="380" t="s">
        <v>435</v>
      </c>
      <c r="C11" s="375"/>
    </row>
    <row r="12" spans="1:3">
      <c r="A12" s="365" t="s">
        <v>436</v>
      </c>
      <c r="B12" s="374" t="s">
        <v>437</v>
      </c>
      <c r="C12" s="377">
        <f>'15. CCR'!E21</f>
        <v>1725037.6300000001</v>
      </c>
    </row>
    <row r="13" spans="1:3">
      <c r="A13" s="366">
        <v>6</v>
      </c>
      <c r="B13" s="381" t="s">
        <v>438</v>
      </c>
      <c r="C13" s="375"/>
    </row>
    <row r="14" spans="1:3">
      <c r="A14" s="366">
        <v>7</v>
      </c>
      <c r="B14" s="382" t="s">
        <v>439</v>
      </c>
      <c r="C14" s="375"/>
    </row>
    <row r="15" spans="1:3">
      <c r="A15" s="367">
        <v>8</v>
      </c>
      <c r="B15" s="374" t="s">
        <v>440</v>
      </c>
      <c r="C15" s="375"/>
    </row>
    <row r="16" spans="1:3" ht="24">
      <c r="A16" s="366">
        <v>9</v>
      </c>
      <c r="B16" s="382" t="s">
        <v>441</v>
      </c>
      <c r="C16" s="375"/>
    </row>
    <row r="17" spans="1:3">
      <c r="A17" s="366">
        <v>10</v>
      </c>
      <c r="B17" s="382" t="s">
        <v>442</v>
      </c>
      <c r="C17" s="375"/>
    </row>
    <row r="18" spans="1:3">
      <c r="A18" s="368">
        <v>11</v>
      </c>
      <c r="B18" s="383" t="s">
        <v>443</v>
      </c>
      <c r="C18" s="377">
        <f>SUM(C10:C17)</f>
        <v>1725037.6300000001</v>
      </c>
    </row>
    <row r="19" spans="1:3">
      <c r="A19" s="364"/>
      <c r="B19" s="364" t="s">
        <v>444</v>
      </c>
      <c r="C19" s="384"/>
    </row>
    <row r="20" spans="1:3">
      <c r="A20" s="366">
        <v>12</v>
      </c>
      <c r="B20" s="379" t="s">
        <v>445</v>
      </c>
      <c r="C20" s="375"/>
    </row>
    <row r="21" spans="1:3">
      <c r="A21" s="366">
        <v>13</v>
      </c>
      <c r="B21" s="379" t="s">
        <v>446</v>
      </c>
      <c r="C21" s="375"/>
    </row>
    <row r="22" spans="1:3">
      <c r="A22" s="366">
        <v>14</v>
      </c>
      <c r="B22" s="379" t="s">
        <v>447</v>
      </c>
      <c r="C22" s="375"/>
    </row>
    <row r="23" spans="1:3" ht="24">
      <c r="A23" s="366" t="s">
        <v>448</v>
      </c>
      <c r="B23" s="379" t="s">
        <v>449</v>
      </c>
      <c r="C23" s="375"/>
    </row>
    <row r="24" spans="1:3">
      <c r="A24" s="366">
        <v>15</v>
      </c>
      <c r="B24" s="379" t="s">
        <v>450</v>
      </c>
      <c r="C24" s="375"/>
    </row>
    <row r="25" spans="1:3">
      <c r="A25" s="366" t="s">
        <v>451</v>
      </c>
      <c r="B25" s="374" t="s">
        <v>452</v>
      </c>
      <c r="C25" s="375"/>
    </row>
    <row r="26" spans="1:3">
      <c r="A26" s="368">
        <v>16</v>
      </c>
      <c r="B26" s="383" t="s">
        <v>453</v>
      </c>
      <c r="C26" s="377">
        <f>SUM(C20:C25)</f>
        <v>0</v>
      </c>
    </row>
    <row r="27" spans="1:3">
      <c r="A27" s="364"/>
      <c r="B27" s="364" t="s">
        <v>454</v>
      </c>
      <c r="C27" s="378"/>
    </row>
    <row r="28" spans="1:3">
      <c r="A28" s="365">
        <v>17</v>
      </c>
      <c r="B28" s="374" t="s">
        <v>455</v>
      </c>
      <c r="C28" s="375">
        <v>82499632.159999967</v>
      </c>
    </row>
    <row r="29" spans="1:3">
      <c r="A29" s="365">
        <v>18</v>
      </c>
      <c r="B29" s="374" t="s">
        <v>456</v>
      </c>
      <c r="C29" s="375">
        <v>-40475314.828000017</v>
      </c>
    </row>
    <row r="30" spans="1:3">
      <c r="A30" s="368">
        <v>19</v>
      </c>
      <c r="B30" s="383" t="s">
        <v>457</v>
      </c>
      <c r="C30" s="377">
        <f>C28+C29</f>
        <v>42024317.33199995</v>
      </c>
    </row>
    <row r="31" spans="1:3">
      <c r="A31" s="369"/>
      <c r="B31" s="364" t="s">
        <v>458</v>
      </c>
      <c r="C31" s="378"/>
    </row>
    <row r="32" spans="1:3">
      <c r="A32" s="365" t="s">
        <v>459</v>
      </c>
      <c r="B32" s="379" t="s">
        <v>460</v>
      </c>
      <c r="C32" s="385"/>
    </row>
    <row r="33" spans="1:3">
      <c r="A33" s="365" t="s">
        <v>461</v>
      </c>
      <c r="B33" s="380" t="s">
        <v>462</v>
      </c>
      <c r="C33" s="385"/>
    </row>
    <row r="34" spans="1:3">
      <c r="A34" s="364"/>
      <c r="B34" s="364" t="s">
        <v>463</v>
      </c>
      <c r="C34" s="378"/>
    </row>
    <row r="35" spans="1:3">
      <c r="A35" s="368">
        <v>20</v>
      </c>
      <c r="B35" s="383" t="s">
        <v>89</v>
      </c>
      <c r="C35" s="377">
        <f>'1. key ratios'!C9</f>
        <v>126061369.7900002</v>
      </c>
    </row>
    <row r="36" spans="1:3">
      <c r="A36" s="368">
        <v>21</v>
      </c>
      <c r="B36" s="383" t="s">
        <v>464</v>
      </c>
      <c r="C36" s="377">
        <f>C8+C18+C26+C30</f>
        <v>1330166172.9719996</v>
      </c>
    </row>
    <row r="37" spans="1:3">
      <c r="A37" s="370"/>
      <c r="B37" s="370" t="s">
        <v>429</v>
      </c>
      <c r="C37" s="378"/>
    </row>
    <row r="38" spans="1:3">
      <c r="A38" s="368">
        <v>22</v>
      </c>
      <c r="B38" s="383" t="s">
        <v>429</v>
      </c>
      <c r="C38" s="583">
        <f>IFERROR(C35/C36,0)</f>
        <v>9.4771143900269542E-2</v>
      </c>
    </row>
    <row r="39" spans="1:3">
      <c r="A39" s="370"/>
      <c r="B39" s="370" t="s">
        <v>465</v>
      </c>
      <c r="C39" s="378"/>
    </row>
    <row r="40" spans="1:3">
      <c r="A40" s="371" t="s">
        <v>466</v>
      </c>
      <c r="B40" s="379" t="s">
        <v>467</v>
      </c>
      <c r="C40" s="385"/>
    </row>
    <row r="41" spans="1:3">
      <c r="A41" s="372" t="s">
        <v>468</v>
      </c>
      <c r="B41" s="380" t="s">
        <v>469</v>
      </c>
      <c r="C41" s="385"/>
    </row>
    <row r="43" spans="1:3">
      <c r="B43" s="399"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activeCell="E1" sqref="E1"/>
      <selection pane="topRight" activeCell="E1" sqref="E1"/>
      <selection pane="bottomLeft" activeCell="E1" sqref="E1"/>
      <selection pane="bottomRight" activeCell="C7" sqref="C7"/>
    </sheetView>
  </sheetViews>
  <sheetFormatPr defaultRowHeight="15"/>
  <cols>
    <col min="1" max="1" width="9.85546875" style="1" bestFit="1" customWidth="1"/>
    <col min="2" max="2" width="82.5703125" style="18" customWidth="1"/>
    <col min="3" max="7" width="17.5703125" style="1" customWidth="1"/>
  </cols>
  <sheetData>
    <row r="1" spans="1:7">
      <c r="A1" s="1" t="s">
        <v>188</v>
      </c>
      <c r="B1" s="1" t="str">
        <f>Info!C2</f>
        <v>ს.ს. "ტერაბანკი"</v>
      </c>
    </row>
    <row r="2" spans="1:7">
      <c r="A2" s="1" t="s">
        <v>189</v>
      </c>
      <c r="B2" s="436">
        <f>'1. key ratios'!B2</f>
        <v>44469</v>
      </c>
    </row>
    <row r="3" spans="1:7">
      <c r="B3" s="436"/>
    </row>
    <row r="4" spans="1:7" ht="15.75" thickBot="1">
      <c r="A4" s="1" t="s">
        <v>532</v>
      </c>
      <c r="B4" s="278" t="s">
        <v>497</v>
      </c>
    </row>
    <row r="5" spans="1:7">
      <c r="A5" s="440"/>
      <c r="B5" s="441"/>
      <c r="C5" s="667" t="s">
        <v>498</v>
      </c>
      <c r="D5" s="667"/>
      <c r="E5" s="667"/>
      <c r="F5" s="667"/>
      <c r="G5" s="668" t="s">
        <v>499</v>
      </c>
    </row>
    <row r="6" spans="1:7">
      <c r="A6" s="442"/>
      <c r="B6" s="443"/>
      <c r="C6" s="444" t="s">
        <v>500</v>
      </c>
      <c r="D6" s="444" t="s">
        <v>501</v>
      </c>
      <c r="E6" s="444" t="s">
        <v>502</v>
      </c>
      <c r="F6" s="444" t="s">
        <v>503</v>
      </c>
      <c r="G6" s="669"/>
    </row>
    <row r="7" spans="1:7">
      <c r="A7" s="445"/>
      <c r="B7" s="446" t="s">
        <v>504</v>
      </c>
      <c r="C7" s="447"/>
      <c r="D7" s="447"/>
      <c r="E7" s="447"/>
      <c r="F7" s="447"/>
      <c r="G7" s="448"/>
    </row>
    <row r="8" spans="1:7">
      <c r="A8" s="449">
        <v>1</v>
      </c>
      <c r="B8" s="450" t="s">
        <v>505</v>
      </c>
      <c r="C8" s="451">
        <f>SUM(C9:C10)</f>
        <v>126061369.7900002</v>
      </c>
      <c r="D8" s="451">
        <f>SUM(D9:D10)</f>
        <v>0</v>
      </c>
      <c r="E8" s="451">
        <f>SUM(E9:E10)</f>
        <v>0</v>
      </c>
      <c r="F8" s="451">
        <f>SUM(F9:F10)</f>
        <v>203442649.47130007</v>
      </c>
      <c r="G8" s="452">
        <f>SUM(G9:G10)</f>
        <v>329504019.26130027</v>
      </c>
    </row>
    <row r="9" spans="1:7">
      <c r="A9" s="449">
        <v>2</v>
      </c>
      <c r="B9" s="453" t="s">
        <v>88</v>
      </c>
      <c r="C9" s="451">
        <v>126061369.7900002</v>
      </c>
      <c r="D9" s="451">
        <v>0</v>
      </c>
      <c r="E9" s="451">
        <v>0</v>
      </c>
      <c r="F9" s="451">
        <v>38021044.060000002</v>
      </c>
      <c r="G9" s="452">
        <v>164082413.8500002</v>
      </c>
    </row>
    <row r="10" spans="1:7">
      <c r="A10" s="449">
        <v>3</v>
      </c>
      <c r="B10" s="453" t="s">
        <v>506</v>
      </c>
      <c r="C10" s="454"/>
      <c r="D10" s="454"/>
      <c r="E10" s="454"/>
      <c r="F10" s="451">
        <v>165421605.41130006</v>
      </c>
      <c r="G10" s="452">
        <v>165421605.41130006</v>
      </c>
    </row>
    <row r="11" spans="1:7" ht="26.25">
      <c r="A11" s="449">
        <v>4</v>
      </c>
      <c r="B11" s="450" t="s">
        <v>507</v>
      </c>
      <c r="C11" s="451">
        <f t="shared" ref="C11:F11" si="0">SUM(C12:C13)</f>
        <v>181492960.71060017</v>
      </c>
      <c r="D11" s="451">
        <f t="shared" si="0"/>
        <v>126906934.08649993</v>
      </c>
      <c r="E11" s="451">
        <f t="shared" si="0"/>
        <v>91535014.44720006</v>
      </c>
      <c r="F11" s="451">
        <f t="shared" si="0"/>
        <v>9453769.6162999999</v>
      </c>
      <c r="G11" s="452">
        <f>SUM(G12:G13)</f>
        <v>357750628.31322509</v>
      </c>
    </row>
    <row r="12" spans="1:7">
      <c r="A12" s="449">
        <v>5</v>
      </c>
      <c r="B12" s="453" t="s">
        <v>508</v>
      </c>
      <c r="C12" s="451">
        <v>142898758.89670014</v>
      </c>
      <c r="D12" s="455">
        <v>107714989.98689993</v>
      </c>
      <c r="E12" s="451">
        <v>80836848.376300052</v>
      </c>
      <c r="F12" s="451">
        <v>8674489.1466000006</v>
      </c>
      <c r="G12" s="452">
        <v>323118832.08617508</v>
      </c>
    </row>
    <row r="13" spans="1:7">
      <c r="A13" s="449">
        <v>6</v>
      </c>
      <c r="B13" s="453" t="s">
        <v>509</v>
      </c>
      <c r="C13" s="451">
        <v>38594201.813900016</v>
      </c>
      <c r="D13" s="455">
        <v>19191944.099599998</v>
      </c>
      <c r="E13" s="451">
        <v>10698166.070900001</v>
      </c>
      <c r="F13" s="451">
        <v>779280.46970000002</v>
      </c>
      <c r="G13" s="452">
        <v>34631796.227049999</v>
      </c>
    </row>
    <row r="14" spans="1:7">
      <c r="A14" s="449">
        <v>7</v>
      </c>
      <c r="B14" s="450" t="s">
        <v>510</v>
      </c>
      <c r="C14" s="451">
        <f t="shared" ref="C14:F14" si="1">SUM(C15:C16)</f>
        <v>260399175.83839977</v>
      </c>
      <c r="D14" s="451">
        <f t="shared" si="1"/>
        <v>247096642.67590001</v>
      </c>
      <c r="E14" s="451">
        <f t="shared" si="1"/>
        <v>28560083.545699999</v>
      </c>
      <c r="F14" s="451">
        <f t="shared" si="1"/>
        <v>193613.6</v>
      </c>
      <c r="G14" s="452">
        <f>SUM(G15:G16)</f>
        <v>172126905.49469987</v>
      </c>
    </row>
    <row r="15" spans="1:7" ht="51.75">
      <c r="A15" s="449">
        <v>8</v>
      </c>
      <c r="B15" s="453" t="s">
        <v>511</v>
      </c>
      <c r="C15" s="451">
        <v>246638425.60069975</v>
      </c>
      <c r="D15" s="455">
        <v>68861688.243000001</v>
      </c>
      <c r="E15" s="451">
        <v>11645668.6022</v>
      </c>
      <c r="F15" s="451">
        <v>193613.6</v>
      </c>
      <c r="G15" s="452">
        <v>163669698.02294987</v>
      </c>
    </row>
    <row r="16" spans="1:7" ht="26.25">
      <c r="A16" s="449">
        <v>9</v>
      </c>
      <c r="B16" s="453" t="s">
        <v>512</v>
      </c>
      <c r="C16" s="451">
        <v>13760750.2377</v>
      </c>
      <c r="D16" s="455">
        <v>178234954.43290001</v>
      </c>
      <c r="E16" s="451">
        <v>16914414.943499997</v>
      </c>
      <c r="F16" s="451">
        <v>0</v>
      </c>
      <c r="G16" s="452">
        <v>8457207.4717499986</v>
      </c>
    </row>
    <row r="17" spans="1:7">
      <c r="A17" s="449">
        <v>10</v>
      </c>
      <c r="B17" s="450" t="s">
        <v>513</v>
      </c>
      <c r="C17" s="451">
        <v>0</v>
      </c>
      <c r="D17" s="455">
        <v>0</v>
      </c>
      <c r="E17" s="451">
        <v>0</v>
      </c>
      <c r="F17" s="451">
        <v>0</v>
      </c>
      <c r="G17" s="452">
        <v>0</v>
      </c>
    </row>
    <row r="18" spans="1:7">
      <c r="A18" s="449">
        <v>11</v>
      </c>
      <c r="B18" s="450" t="s">
        <v>95</v>
      </c>
      <c r="C18" s="451">
        <f>SUM(C19:C20)</f>
        <v>0</v>
      </c>
      <c r="D18" s="455">
        <f t="shared" ref="D18:G18" si="2">SUM(D19:D20)</f>
        <v>14980260.598100003</v>
      </c>
      <c r="E18" s="451">
        <f t="shared" si="2"/>
        <v>5517570.1099999994</v>
      </c>
      <c r="F18" s="451">
        <f t="shared" si="2"/>
        <v>9742582.1472999975</v>
      </c>
      <c r="G18" s="452">
        <f t="shared" si="2"/>
        <v>0</v>
      </c>
    </row>
    <row r="19" spans="1:7">
      <c r="A19" s="449">
        <v>12</v>
      </c>
      <c r="B19" s="453" t="s">
        <v>514</v>
      </c>
      <c r="C19" s="454"/>
      <c r="D19" s="455">
        <v>4056387.1199999987</v>
      </c>
      <c r="E19" s="451">
        <v>0</v>
      </c>
      <c r="F19" s="451">
        <v>0</v>
      </c>
      <c r="G19" s="452">
        <v>0</v>
      </c>
    </row>
    <row r="20" spans="1:7" ht="26.25">
      <c r="A20" s="449">
        <v>13</v>
      </c>
      <c r="B20" s="453" t="s">
        <v>515</v>
      </c>
      <c r="C20" s="451">
        <v>0</v>
      </c>
      <c r="D20" s="451">
        <v>10923873.478100004</v>
      </c>
      <c r="E20" s="451">
        <v>5517570.1099999994</v>
      </c>
      <c r="F20" s="451">
        <v>9742582.1472999975</v>
      </c>
      <c r="G20" s="452">
        <v>0</v>
      </c>
    </row>
    <row r="21" spans="1:7">
      <c r="A21" s="456">
        <v>14</v>
      </c>
      <c r="B21" s="457" t="s">
        <v>516</v>
      </c>
      <c r="C21" s="454"/>
      <c r="D21" s="454"/>
      <c r="E21" s="454"/>
      <c r="F21" s="454"/>
      <c r="G21" s="458">
        <f>SUM(G8,G11,G14,G17,G18)</f>
        <v>859381553.06922519</v>
      </c>
    </row>
    <row r="22" spans="1:7">
      <c r="A22" s="459"/>
      <c r="B22" s="479" t="s">
        <v>517</v>
      </c>
      <c r="C22" s="460"/>
      <c r="D22" s="461"/>
      <c r="E22" s="460"/>
      <c r="F22" s="460"/>
      <c r="G22" s="462"/>
    </row>
    <row r="23" spans="1:7">
      <c r="A23" s="449">
        <v>15</v>
      </c>
      <c r="B23" s="450" t="s">
        <v>374</v>
      </c>
      <c r="C23" s="463" t="s">
        <v>765</v>
      </c>
      <c r="D23" s="464">
        <v>131345200</v>
      </c>
      <c r="E23" s="463">
        <v>0</v>
      </c>
      <c r="F23" s="463">
        <v>3754831.44</v>
      </c>
      <c r="G23" s="452">
        <v>13816537.036040002</v>
      </c>
    </row>
    <row r="24" spans="1:7">
      <c r="A24" s="449">
        <v>16</v>
      </c>
      <c r="B24" s="450" t="s">
        <v>518</v>
      </c>
      <c r="C24" s="451">
        <f>SUM(C25:C27,C29,C31)</f>
        <v>2977127.1867999993</v>
      </c>
      <c r="D24" s="455">
        <f t="shared" ref="D24:G24" si="3">SUM(D25:D27,D29,D31)</f>
        <v>218493420.86064479</v>
      </c>
      <c r="E24" s="451">
        <f t="shared" si="3"/>
        <v>116640630.64526601</v>
      </c>
      <c r="F24" s="451">
        <f t="shared" si="3"/>
        <v>400332942.37115741</v>
      </c>
      <c r="G24" s="452">
        <f t="shared" si="3"/>
        <v>489945913.13736957</v>
      </c>
    </row>
    <row r="25" spans="1:7" ht="26.25">
      <c r="A25" s="449">
        <v>17</v>
      </c>
      <c r="B25" s="453" t="s">
        <v>519</v>
      </c>
      <c r="C25" s="451" t="s">
        <v>765</v>
      </c>
      <c r="D25" s="455">
        <v>0</v>
      </c>
      <c r="E25" s="451">
        <v>0</v>
      </c>
      <c r="F25" s="451">
        <v>0</v>
      </c>
      <c r="G25" s="452">
        <v>0</v>
      </c>
    </row>
    <row r="26" spans="1:7" ht="26.25">
      <c r="A26" s="449">
        <v>18</v>
      </c>
      <c r="B26" s="453" t="s">
        <v>520</v>
      </c>
      <c r="C26" s="451">
        <v>2977127.1867999993</v>
      </c>
      <c r="D26" s="455">
        <v>21035324.130000003</v>
      </c>
      <c r="E26" s="451">
        <v>147842.75848732828</v>
      </c>
      <c r="F26" s="451">
        <v>1130052.4993603507</v>
      </c>
      <c r="G26" s="452">
        <v>4805841.5761240153</v>
      </c>
    </row>
    <row r="27" spans="1:7">
      <c r="A27" s="449">
        <v>19</v>
      </c>
      <c r="B27" s="453" t="s">
        <v>521</v>
      </c>
      <c r="C27" s="451" t="s">
        <v>765</v>
      </c>
      <c r="D27" s="455">
        <v>0</v>
      </c>
      <c r="E27" s="451">
        <v>0</v>
      </c>
      <c r="F27" s="451">
        <v>0</v>
      </c>
      <c r="G27" s="452">
        <v>0</v>
      </c>
    </row>
    <row r="28" spans="1:7">
      <c r="A28" s="449">
        <v>20</v>
      </c>
      <c r="B28" s="465" t="s">
        <v>522</v>
      </c>
      <c r="C28" s="451">
        <v>0</v>
      </c>
      <c r="D28" s="455">
        <v>0</v>
      </c>
      <c r="E28" s="451">
        <v>0</v>
      </c>
      <c r="F28" s="451">
        <v>0</v>
      </c>
      <c r="G28" s="452">
        <v>0</v>
      </c>
    </row>
    <row r="29" spans="1:7">
      <c r="A29" s="449">
        <v>21</v>
      </c>
      <c r="B29" s="453" t="s">
        <v>523</v>
      </c>
      <c r="C29" s="451" t="s">
        <v>765</v>
      </c>
      <c r="D29" s="455">
        <v>196030179.81064481</v>
      </c>
      <c r="E29" s="451">
        <v>115991635.46677868</v>
      </c>
      <c r="F29" s="451">
        <v>394743419.5137971</v>
      </c>
      <c r="G29" s="452">
        <v>480384987.08694553</v>
      </c>
    </row>
    <row r="30" spans="1:7">
      <c r="A30" s="449">
        <v>22</v>
      </c>
      <c r="B30" s="465" t="s">
        <v>522</v>
      </c>
      <c r="C30" s="451">
        <v>0</v>
      </c>
      <c r="D30" s="455">
        <v>18900268.477530397</v>
      </c>
      <c r="E30" s="451">
        <v>14432247.61870639</v>
      </c>
      <c r="F30" s="451">
        <v>55789135.692468435</v>
      </c>
      <c r="G30" s="452">
        <v>52929196.248222873</v>
      </c>
    </row>
    <row r="31" spans="1:7" ht="26.25">
      <c r="A31" s="449">
        <v>23</v>
      </c>
      <c r="B31" s="453" t="s">
        <v>524</v>
      </c>
      <c r="C31" s="451" t="s">
        <v>765</v>
      </c>
      <c r="D31" s="455">
        <v>1427916.92</v>
      </c>
      <c r="E31" s="451">
        <v>501152.41999999993</v>
      </c>
      <c r="F31" s="451">
        <v>4459470.358</v>
      </c>
      <c r="G31" s="452">
        <v>4755084.4742999999</v>
      </c>
    </row>
    <row r="32" spans="1:7">
      <c r="A32" s="449">
        <v>24</v>
      </c>
      <c r="B32" s="450" t="s">
        <v>525</v>
      </c>
      <c r="C32" s="451">
        <v>0</v>
      </c>
      <c r="D32" s="455">
        <v>0</v>
      </c>
      <c r="E32" s="451">
        <v>0</v>
      </c>
      <c r="F32" s="451">
        <v>0</v>
      </c>
      <c r="G32" s="452">
        <v>0</v>
      </c>
    </row>
    <row r="33" spans="1:7">
      <c r="A33" s="449">
        <v>25</v>
      </c>
      <c r="B33" s="450" t="s">
        <v>165</v>
      </c>
      <c r="C33" s="451">
        <f>SUM(C34:C35)</f>
        <v>26806710.719999999</v>
      </c>
      <c r="D33" s="451">
        <f>SUM(D34:D35)</f>
        <v>380964.11999999732</v>
      </c>
      <c r="E33" s="451">
        <f>SUM(E34:E35)</f>
        <v>0</v>
      </c>
      <c r="F33" s="451">
        <f>SUM(F34:F35)</f>
        <v>130290943.27827677</v>
      </c>
      <c r="G33" s="452">
        <f>SUM(G34:G35)</f>
        <v>157478618.11827677</v>
      </c>
    </row>
    <row r="34" spans="1:7">
      <c r="A34" s="449">
        <v>26</v>
      </c>
      <c r="B34" s="453" t="s">
        <v>526</v>
      </c>
      <c r="C34" s="454"/>
      <c r="D34" s="455">
        <v>380964.11999999732</v>
      </c>
      <c r="E34" s="451">
        <v>0</v>
      </c>
      <c r="F34" s="451">
        <v>0</v>
      </c>
      <c r="G34" s="452">
        <v>380964.11999999732</v>
      </c>
    </row>
    <row r="35" spans="1:7">
      <c r="A35" s="449">
        <v>27</v>
      </c>
      <c r="B35" s="453" t="s">
        <v>527</v>
      </c>
      <c r="C35" s="451">
        <v>26806710.719999999</v>
      </c>
      <c r="D35" s="455">
        <v>0</v>
      </c>
      <c r="E35" s="451">
        <v>0</v>
      </c>
      <c r="F35" s="451">
        <v>130290943.27827677</v>
      </c>
      <c r="G35" s="452">
        <v>157097653.99827677</v>
      </c>
    </row>
    <row r="36" spans="1:7">
      <c r="A36" s="449">
        <v>28</v>
      </c>
      <c r="B36" s="450" t="s">
        <v>528</v>
      </c>
      <c r="C36" s="451">
        <v>0</v>
      </c>
      <c r="D36" s="455">
        <v>28505080.467399996</v>
      </c>
      <c r="E36" s="451">
        <v>31207367.878999997</v>
      </c>
      <c r="F36" s="451">
        <v>21849993.867400028</v>
      </c>
      <c r="G36" s="452">
        <v>7273435.4124250002</v>
      </c>
    </row>
    <row r="37" spans="1:7">
      <c r="A37" s="456">
        <v>29</v>
      </c>
      <c r="B37" s="457" t="s">
        <v>529</v>
      </c>
      <c r="C37" s="454"/>
      <c r="D37" s="454"/>
      <c r="E37" s="454"/>
      <c r="F37" s="454"/>
      <c r="G37" s="458">
        <f>SUM(G23:G24,G32:G33,G36)</f>
        <v>668514503.70411134</v>
      </c>
    </row>
    <row r="38" spans="1:7">
      <c r="A38" s="445"/>
      <c r="B38" s="466"/>
      <c r="C38" s="467"/>
      <c r="D38" s="467"/>
      <c r="E38" s="467"/>
      <c r="F38" s="467"/>
      <c r="G38" s="468"/>
    </row>
    <row r="39" spans="1:7" ht="15.75" thickBot="1">
      <c r="A39" s="469">
        <v>30</v>
      </c>
      <c r="B39" s="470" t="s">
        <v>497</v>
      </c>
      <c r="C39" s="314"/>
      <c r="D39" s="300"/>
      <c r="E39" s="300"/>
      <c r="F39" s="471"/>
      <c r="G39" s="472">
        <f>IFERROR(G21/G37,0)</f>
        <v>1.2855092123021354</v>
      </c>
    </row>
    <row r="42" spans="1:7" ht="39">
      <c r="B42" s="18"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6" activePane="bottomRight" state="frozen"/>
      <selection pane="topRight" activeCell="B1" sqref="B1"/>
      <selection pane="bottomLeft" activeCell="A6" sqref="A6"/>
      <selection pane="bottomRight" activeCell="K14" sqref="K14"/>
    </sheetView>
  </sheetViews>
  <sheetFormatPr defaultRowHeight="15.75"/>
  <cols>
    <col min="1" max="1" width="9.5703125" style="15" bestFit="1" customWidth="1"/>
    <col min="2" max="2" width="88.42578125" style="13" customWidth="1"/>
    <col min="3" max="3" width="12.7109375" style="13" customWidth="1"/>
    <col min="4" max="7" width="12.7109375" style="1" customWidth="1"/>
    <col min="8" max="13" width="6.7109375" customWidth="1"/>
  </cols>
  <sheetData>
    <row r="1" spans="1:7">
      <c r="A1" s="14" t="s">
        <v>188</v>
      </c>
      <c r="B1" s="398" t="str">
        <f>Info!C2</f>
        <v>ს.ს. "ტერაბანკი"</v>
      </c>
    </row>
    <row r="2" spans="1:7">
      <c r="A2" s="14" t="s">
        <v>189</v>
      </c>
      <c r="B2" s="419">
        <v>44469</v>
      </c>
    </row>
    <row r="3" spans="1:7">
      <c r="A3" s="14"/>
    </row>
    <row r="4" spans="1:7" ht="16.5" thickBot="1">
      <c r="A4" s="62" t="s">
        <v>328</v>
      </c>
      <c r="B4" s="193" t="s">
        <v>223</v>
      </c>
      <c r="C4" s="194"/>
      <c r="D4" s="195"/>
      <c r="E4" s="195"/>
      <c r="F4" s="195"/>
      <c r="G4" s="195"/>
    </row>
    <row r="5" spans="1:7" ht="15">
      <c r="A5" s="282" t="s">
        <v>26</v>
      </c>
      <c r="B5" s="283"/>
      <c r="C5" s="420" t="str">
        <f>INT((MONTH($B$2))/3)&amp;"Q"&amp;"-"&amp;YEAR($B$2)</f>
        <v>3Q-2021</v>
      </c>
      <c r="D5" s="420" t="str">
        <f>IF(INT(MONTH($B$2))=3, "4"&amp;"Q"&amp;"-"&amp;YEAR($B$2)-1, IF(INT(MONTH($B$2))=6, "1"&amp;"Q"&amp;"-"&amp;YEAR($B$2), IF(INT(MONTH($B$2))=9, "2"&amp;"Q"&amp;"-"&amp;YEAR($B$2),IF(INT(MONTH($B$2))=12, "3"&amp;"Q"&amp;"-"&amp;YEAR($B$2), 0))))</f>
        <v>2Q-2021</v>
      </c>
      <c r="E5" s="420" t="str">
        <f>IF(INT(MONTH($B$2))=3, "3"&amp;"Q"&amp;"-"&amp;YEAR($B$2)-1, IF(INT(MONTH($B$2))=6, "4"&amp;"Q"&amp;"-"&amp;YEAR($B$2)-1, IF(INT(MONTH($B$2))=9, "1"&amp;"Q"&amp;"-"&amp;YEAR($B$2),IF(INT(MONTH($B$2))=12, "2"&amp;"Q"&amp;"-"&amp;YEAR($B$2), 0))))</f>
        <v>1Q-2021</v>
      </c>
      <c r="F5" s="420" t="str">
        <f>IF(INT(MONTH($B$2))=3, "2"&amp;"Q"&amp;"-"&amp;YEAR($B$2)-1, IF(INT(MONTH($B$2))=6, "3"&amp;"Q"&amp;"-"&amp;YEAR($B$2)-1, IF(INT(MONTH($B$2))=9, "4"&amp;"Q"&amp;"-"&amp;YEAR($B$2)-1,IF(INT(MONTH($B$2))=12, "1"&amp;"Q"&amp;"-"&amp;YEAR($B$2), 0))))</f>
        <v>4Q-2020</v>
      </c>
      <c r="G5" s="421" t="str">
        <f>IF(INT(MONTH($B$2))=3, "1"&amp;"Q"&amp;"-"&amp;YEAR($B$2)-1, IF(INT(MONTH($B$2))=6, "2"&amp;"Q"&amp;"-"&amp;YEAR($B$2)-1, IF(INT(MONTH($B$2))=9, "3"&amp;"Q"&amp;"-"&amp;YEAR($B$2)-1,IF(INT(MONTH($B$2))=12, "4"&amp;"Q"&amp;"-"&amp;YEAR($B$2)-1, 0))))</f>
        <v>3Q-2020</v>
      </c>
    </row>
    <row r="6" spans="1:7" ht="15">
      <c r="A6" s="422"/>
      <c r="B6" s="423" t="s">
        <v>186</v>
      </c>
      <c r="C6" s="284"/>
      <c r="D6" s="284"/>
      <c r="E6" s="284"/>
      <c r="F6" s="284"/>
      <c r="G6" s="285"/>
    </row>
    <row r="7" spans="1:7" ht="15">
      <c r="A7" s="422"/>
      <c r="B7" s="424" t="s">
        <v>190</v>
      </c>
      <c r="C7" s="284"/>
      <c r="D7" s="284"/>
      <c r="E7" s="284"/>
      <c r="F7" s="284"/>
      <c r="G7" s="285"/>
    </row>
    <row r="8" spans="1:7" ht="15">
      <c r="A8" s="402">
        <v>1</v>
      </c>
      <c r="B8" s="403" t="s">
        <v>23</v>
      </c>
      <c r="C8" s="425">
        <v>126061369.7900002</v>
      </c>
      <c r="D8" s="426">
        <v>117539309.89999998</v>
      </c>
      <c r="E8" s="426">
        <v>109621501.12000002</v>
      </c>
      <c r="F8" s="426">
        <v>102541789.95999981</v>
      </c>
      <c r="G8" s="427">
        <v>101028332.58999997</v>
      </c>
    </row>
    <row r="9" spans="1:7" ht="15">
      <c r="A9" s="402">
        <v>2</v>
      </c>
      <c r="B9" s="403" t="s">
        <v>89</v>
      </c>
      <c r="C9" s="425">
        <v>126061369.7900002</v>
      </c>
      <c r="D9" s="426">
        <v>117539309.89999998</v>
      </c>
      <c r="E9" s="426">
        <v>109621501.12000002</v>
      </c>
      <c r="F9" s="426">
        <v>102541789.95999981</v>
      </c>
      <c r="G9" s="427">
        <v>101028332.58999997</v>
      </c>
    </row>
    <row r="10" spans="1:7" ht="15">
      <c r="A10" s="402">
        <v>3</v>
      </c>
      <c r="B10" s="403" t="s">
        <v>88</v>
      </c>
      <c r="C10" s="425">
        <v>176153056.92921895</v>
      </c>
      <c r="D10" s="426">
        <v>170432591.27043557</v>
      </c>
      <c r="E10" s="426">
        <v>170706047.02025315</v>
      </c>
      <c r="F10" s="426">
        <v>160530749.12373734</v>
      </c>
      <c r="G10" s="427">
        <v>161137592.89336559</v>
      </c>
    </row>
    <row r="11" spans="1:7" ht="15">
      <c r="A11" s="402">
        <v>4</v>
      </c>
      <c r="B11" s="403" t="s">
        <v>488</v>
      </c>
      <c r="C11" s="425">
        <v>66305258.451731682</v>
      </c>
      <c r="D11" s="426">
        <v>67562888.890113622</v>
      </c>
      <c r="E11" s="426">
        <v>69721108.361561388</v>
      </c>
      <c r="F11" s="426">
        <v>59346101.396116592</v>
      </c>
      <c r="G11" s="427">
        <v>59314845.281158179</v>
      </c>
    </row>
    <row r="12" spans="1:7" ht="15">
      <c r="A12" s="402">
        <v>5</v>
      </c>
      <c r="B12" s="403" t="s">
        <v>489</v>
      </c>
      <c r="C12" s="425">
        <v>88437457.124031246</v>
      </c>
      <c r="D12" s="426">
        <v>90117179.82104367</v>
      </c>
      <c r="E12" s="426">
        <v>92997502.363803014</v>
      </c>
      <c r="F12" s="426">
        <v>79161981.000491947</v>
      </c>
      <c r="G12" s="427">
        <v>79121893.595452741</v>
      </c>
    </row>
    <row r="13" spans="1:7" ht="15">
      <c r="A13" s="402">
        <v>6</v>
      </c>
      <c r="B13" s="403" t="s">
        <v>490</v>
      </c>
      <c r="C13" s="425">
        <v>136699169.77684066</v>
      </c>
      <c r="D13" s="426">
        <v>139149563.60297608</v>
      </c>
      <c r="E13" s="426">
        <v>143690154.16358376</v>
      </c>
      <c r="F13" s="426">
        <v>134692303.79187974</v>
      </c>
      <c r="G13" s="427">
        <v>134370663.78497708</v>
      </c>
    </row>
    <row r="14" spans="1:7" ht="15">
      <c r="A14" s="422"/>
      <c r="B14" s="423" t="s">
        <v>492</v>
      </c>
      <c r="C14" s="284"/>
      <c r="D14" s="284"/>
      <c r="E14" s="284"/>
      <c r="F14" s="284"/>
      <c r="G14" s="285"/>
    </row>
    <row r="15" spans="1:7" ht="15" customHeight="1">
      <c r="A15" s="402">
        <v>7</v>
      </c>
      <c r="B15" s="403" t="s">
        <v>491</v>
      </c>
      <c r="C15" s="428">
        <v>1091463372.5874999</v>
      </c>
      <c r="D15" s="426">
        <v>1105639920.9348476</v>
      </c>
      <c r="E15" s="426">
        <v>1133530825.6302505</v>
      </c>
      <c r="F15" s="426">
        <v>1059976416.0590007</v>
      </c>
      <c r="G15" s="427">
        <v>1054574532.8080001</v>
      </c>
    </row>
    <row r="16" spans="1:7" ht="15">
      <c r="A16" s="422"/>
      <c r="B16" s="423" t="s">
        <v>496</v>
      </c>
      <c r="C16" s="284"/>
      <c r="D16" s="284"/>
      <c r="E16" s="284"/>
      <c r="F16" s="284"/>
      <c r="G16" s="285"/>
    </row>
    <row r="17" spans="1:7" ht="15">
      <c r="A17" s="402"/>
      <c r="B17" s="424" t="s">
        <v>477</v>
      </c>
      <c r="C17" s="284"/>
      <c r="D17" s="284"/>
      <c r="E17" s="284"/>
      <c r="F17" s="284"/>
      <c r="G17" s="285"/>
    </row>
    <row r="18" spans="1:7" ht="15">
      <c r="A18" s="402">
        <v>8</v>
      </c>
      <c r="B18" s="403" t="s">
        <v>486</v>
      </c>
      <c r="C18" s="437">
        <v>0.11549757230162497</v>
      </c>
      <c r="D18" s="438">
        <v>0.10630885125838926</v>
      </c>
      <c r="E18" s="438">
        <v>9.6708001795231077E-2</v>
      </c>
      <c r="F18" s="438">
        <v>9.6739690059568367E-2</v>
      </c>
      <c r="G18" s="439">
        <v>9.5800087568010311E-2</v>
      </c>
    </row>
    <row r="19" spans="1:7" ht="15" customHeight="1">
      <c r="A19" s="402">
        <v>9</v>
      </c>
      <c r="B19" s="403" t="s">
        <v>485</v>
      </c>
      <c r="C19" s="437">
        <v>0.11549757230162497</v>
      </c>
      <c r="D19" s="438">
        <v>0.10630885125838926</v>
      </c>
      <c r="E19" s="438">
        <v>9.6708001795231077E-2</v>
      </c>
      <c r="F19" s="438">
        <v>9.6739690059568367E-2</v>
      </c>
      <c r="G19" s="439">
        <v>9.5800087568010311E-2</v>
      </c>
    </row>
    <row r="20" spans="1:7" ht="15">
      <c r="A20" s="402">
        <v>10</v>
      </c>
      <c r="B20" s="403" t="s">
        <v>487</v>
      </c>
      <c r="C20" s="437">
        <v>0.1613916337949281</v>
      </c>
      <c r="D20" s="438">
        <v>0.15414836968470741</v>
      </c>
      <c r="E20" s="438">
        <v>0.15059673999190934</v>
      </c>
      <c r="F20" s="438">
        <v>0.15144747250188048</v>
      </c>
      <c r="G20" s="439">
        <v>0.15279867650919551</v>
      </c>
    </row>
    <row r="21" spans="1:7" ht="15">
      <c r="A21" s="402">
        <v>11</v>
      </c>
      <c r="B21" s="403" t="s">
        <v>488</v>
      </c>
      <c r="C21" s="437">
        <v>6.0748954217807391E-2</v>
      </c>
      <c r="D21" s="438">
        <v>6.110749766794548E-2</v>
      </c>
      <c r="E21" s="438">
        <v>6.1507906785680931E-2</v>
      </c>
      <c r="F21" s="438">
        <v>5.598813378958542E-2</v>
      </c>
      <c r="G21" s="439">
        <v>5.6245285122921956E-2</v>
      </c>
    </row>
    <row r="22" spans="1:7" ht="15">
      <c r="A22" s="402">
        <v>12</v>
      </c>
      <c r="B22" s="403" t="s">
        <v>489</v>
      </c>
      <c r="C22" s="437">
        <v>8.1026500151237496E-2</v>
      </c>
      <c r="D22" s="438">
        <v>8.1506807157295136E-2</v>
      </c>
      <c r="E22" s="438">
        <v>8.2042323209071802E-2</v>
      </c>
      <c r="F22" s="438">
        <v>7.4682775768555976E-2</v>
      </c>
      <c r="G22" s="439">
        <v>7.5027313038535118E-2</v>
      </c>
    </row>
    <row r="23" spans="1:7" ht="15">
      <c r="A23" s="402">
        <v>13</v>
      </c>
      <c r="B23" s="403" t="s">
        <v>490</v>
      </c>
      <c r="C23" s="437">
        <v>0.12524393691083924</v>
      </c>
      <c r="D23" s="438">
        <v>0.12585432288418227</v>
      </c>
      <c r="E23" s="438">
        <v>0.126763340629657</v>
      </c>
      <c r="F23" s="438">
        <v>0.1270710383280664</v>
      </c>
      <c r="G23" s="439">
        <v>0.12741694361534628</v>
      </c>
    </row>
    <row r="24" spans="1:7" ht="15">
      <c r="A24" s="422"/>
      <c r="B24" s="423" t="s">
        <v>6</v>
      </c>
      <c r="C24" s="284"/>
      <c r="D24" s="284"/>
      <c r="E24" s="284"/>
      <c r="F24" s="284"/>
      <c r="G24" s="285"/>
    </row>
    <row r="25" spans="1:7" ht="15" customHeight="1">
      <c r="A25" s="429">
        <v>14</v>
      </c>
      <c r="B25" s="430" t="s">
        <v>7</v>
      </c>
      <c r="C25" s="533">
        <v>7.9673400568681094E-2</v>
      </c>
      <c r="D25" s="534">
        <v>7.7078535087239275E-2</v>
      </c>
      <c r="E25" s="534">
        <v>7.4064490838191596E-2</v>
      </c>
      <c r="F25" s="534">
        <v>7.7817841012045114E-2</v>
      </c>
      <c r="G25" s="535">
        <v>7.7874935162442024E-2</v>
      </c>
    </row>
    <row r="26" spans="1:7" ht="15">
      <c r="A26" s="429">
        <v>15</v>
      </c>
      <c r="B26" s="430" t="s">
        <v>8</v>
      </c>
      <c r="C26" s="533">
        <v>4.2108829354622609E-2</v>
      </c>
      <c r="D26" s="534">
        <v>4.1002177850396088E-2</v>
      </c>
      <c r="E26" s="534">
        <v>4.0413603449773502E-2</v>
      </c>
      <c r="F26" s="534">
        <v>4.1379222976943068E-2</v>
      </c>
      <c r="G26" s="535">
        <v>4.1305140297601996E-2</v>
      </c>
    </row>
    <row r="27" spans="1:7" ht="15">
      <c r="A27" s="429">
        <v>16</v>
      </c>
      <c r="B27" s="430" t="s">
        <v>9</v>
      </c>
      <c r="C27" s="533">
        <v>2.4470489234487754E-2</v>
      </c>
      <c r="D27" s="534">
        <v>2.254420603586782E-2</v>
      </c>
      <c r="E27" s="534">
        <v>2.3213757742185342E-2</v>
      </c>
      <c r="F27" s="534">
        <v>1.2389632171424041E-2</v>
      </c>
      <c r="G27" s="535">
        <v>1.5900476895389294E-2</v>
      </c>
    </row>
    <row r="28" spans="1:7" ht="15">
      <c r="A28" s="429">
        <v>17</v>
      </c>
      <c r="B28" s="430" t="s">
        <v>224</v>
      </c>
      <c r="C28" s="533">
        <v>3.756457121405847E-2</v>
      </c>
      <c r="D28" s="534">
        <v>3.6076357236843201E-2</v>
      </c>
      <c r="E28" s="534">
        <v>3.3650887388418087E-2</v>
      </c>
      <c r="F28" s="534">
        <v>3.6438618035102052E-2</v>
      </c>
      <c r="G28" s="535">
        <v>3.6569794864840029E-2</v>
      </c>
    </row>
    <row r="29" spans="1:7" ht="15">
      <c r="A29" s="429">
        <v>18</v>
      </c>
      <c r="B29" s="430" t="s">
        <v>10</v>
      </c>
      <c r="C29" s="533">
        <v>2.4116924625292611E-2</v>
      </c>
      <c r="D29" s="534">
        <v>2.2942414711770685E-2</v>
      </c>
      <c r="E29" s="534">
        <v>2.1506716452464058E-2</v>
      </c>
      <c r="F29" s="534">
        <v>-1.2275759053525463E-2</v>
      </c>
      <c r="G29" s="535">
        <v>-1.8404032849966553E-2</v>
      </c>
    </row>
    <row r="30" spans="1:7" ht="15">
      <c r="A30" s="429">
        <v>19</v>
      </c>
      <c r="B30" s="430" t="s">
        <v>11</v>
      </c>
      <c r="C30" s="533">
        <v>0.23172308209424497</v>
      </c>
      <c r="D30" s="534">
        <v>0.22635155335517654</v>
      </c>
      <c r="E30" s="534">
        <v>0.21486129695823081</v>
      </c>
      <c r="F30" s="534">
        <v>-0.10838720508629283</v>
      </c>
      <c r="G30" s="535">
        <v>-0.1570703488917761</v>
      </c>
    </row>
    <row r="31" spans="1:7" ht="15">
      <c r="A31" s="422"/>
      <c r="B31" s="423" t="s">
        <v>12</v>
      </c>
      <c r="C31" s="284"/>
      <c r="D31" s="284"/>
      <c r="E31" s="284"/>
      <c r="F31" s="284"/>
      <c r="G31" s="285"/>
    </row>
    <row r="32" spans="1:7" ht="15">
      <c r="A32" s="429">
        <v>20</v>
      </c>
      <c r="B32" s="430" t="s">
        <v>13</v>
      </c>
      <c r="C32" s="533">
        <v>6.9173317370169463E-2</v>
      </c>
      <c r="D32" s="534">
        <v>6.8140105477074983E-2</v>
      </c>
      <c r="E32" s="534">
        <v>6.9921951460557394E-2</v>
      </c>
      <c r="F32" s="534">
        <v>7.2240640886518909E-2</v>
      </c>
      <c r="G32" s="535">
        <v>5.2185312917264338E-2</v>
      </c>
    </row>
    <row r="33" spans="1:7" ht="15" customHeight="1">
      <c r="A33" s="429">
        <v>21</v>
      </c>
      <c r="B33" s="430" t="s">
        <v>14</v>
      </c>
      <c r="C33" s="533">
        <v>5.4881063425804739E-2</v>
      </c>
      <c r="D33" s="534">
        <v>5.6147245315285484E-2</v>
      </c>
      <c r="E33" s="534">
        <v>5.7093094356388562E-2</v>
      </c>
      <c r="F33" s="534">
        <v>5.9114703239570507E-2</v>
      </c>
      <c r="G33" s="535">
        <v>6.5284445187443349E-2</v>
      </c>
    </row>
    <row r="34" spans="1:7" ht="15">
      <c r="A34" s="429">
        <v>22</v>
      </c>
      <c r="B34" s="430" t="s">
        <v>15</v>
      </c>
      <c r="C34" s="533">
        <v>0.56253793200296776</v>
      </c>
      <c r="D34" s="534">
        <v>0.59519210904633968</v>
      </c>
      <c r="E34" s="534">
        <v>0.63156852259791352</v>
      </c>
      <c r="F34" s="534">
        <v>0.62863848087919993</v>
      </c>
      <c r="G34" s="535">
        <v>0.64172878135359779</v>
      </c>
    </row>
    <row r="35" spans="1:7" ht="15" customHeight="1">
      <c r="A35" s="429">
        <v>23</v>
      </c>
      <c r="B35" s="430" t="s">
        <v>16</v>
      </c>
      <c r="C35" s="533">
        <v>0.53907638258451596</v>
      </c>
      <c r="D35" s="534">
        <v>0.55583691322547357</v>
      </c>
      <c r="E35" s="534">
        <v>0.61179124082426106</v>
      </c>
      <c r="F35" s="534">
        <v>0.59865468832544499</v>
      </c>
      <c r="G35" s="535">
        <v>0.60427876072514053</v>
      </c>
    </row>
    <row r="36" spans="1:7" ht="15">
      <c r="A36" s="429">
        <v>24</v>
      </c>
      <c r="B36" s="430" t="s">
        <v>17</v>
      </c>
      <c r="C36" s="533">
        <v>6.6499750621765831E-3</v>
      </c>
      <c r="D36" s="534">
        <v>2.4399238775824207E-2</v>
      </c>
      <c r="E36" s="534">
        <v>4.2016232781066878E-2</v>
      </c>
      <c r="F36" s="534">
        <v>0.20099905280552549</v>
      </c>
      <c r="G36" s="535">
        <v>0.16093287139459622</v>
      </c>
    </row>
    <row r="37" spans="1:7" ht="15" customHeight="1">
      <c r="A37" s="422"/>
      <c r="B37" s="423" t="s">
        <v>18</v>
      </c>
      <c r="C37" s="284"/>
      <c r="D37" s="284"/>
      <c r="E37" s="284"/>
      <c r="F37" s="284"/>
      <c r="G37" s="285"/>
    </row>
    <row r="38" spans="1:7" ht="15" customHeight="1">
      <c r="A38" s="429">
        <v>25</v>
      </c>
      <c r="B38" s="430" t="s">
        <v>19</v>
      </c>
      <c r="C38" s="533">
        <v>0.22084150666972671</v>
      </c>
      <c r="D38" s="533">
        <v>0.20821737052630823</v>
      </c>
      <c r="E38" s="533">
        <v>0.2216475924158256</v>
      </c>
      <c r="F38" s="533">
        <v>0.20569996122821141</v>
      </c>
      <c r="G38" s="536">
        <v>0.20037260559646963</v>
      </c>
    </row>
    <row r="39" spans="1:7" ht="15" customHeight="1">
      <c r="A39" s="429">
        <v>26</v>
      </c>
      <c r="B39" s="430" t="s">
        <v>20</v>
      </c>
      <c r="C39" s="533">
        <v>0.59417310265790146</v>
      </c>
      <c r="D39" s="533">
        <v>0.61261553221846121</v>
      </c>
      <c r="E39" s="533">
        <v>0.67300940590410796</v>
      </c>
      <c r="F39" s="533">
        <v>0.65864963141201838</v>
      </c>
      <c r="G39" s="536">
        <v>0.66451831309809084</v>
      </c>
    </row>
    <row r="40" spans="1:7" ht="15" customHeight="1">
      <c r="A40" s="429">
        <v>27</v>
      </c>
      <c r="B40" s="431" t="s">
        <v>21</v>
      </c>
      <c r="C40" s="533">
        <v>0.34842923736870068</v>
      </c>
      <c r="D40" s="533">
        <v>0.35948163206570921</v>
      </c>
      <c r="E40" s="533">
        <v>0.38331218429686859</v>
      </c>
      <c r="F40" s="533">
        <v>0.3676450180463407</v>
      </c>
      <c r="G40" s="536">
        <v>0.38141321233034131</v>
      </c>
    </row>
    <row r="41" spans="1:7" ht="15" customHeight="1">
      <c r="A41" s="435"/>
      <c r="B41" s="423" t="s">
        <v>398</v>
      </c>
      <c r="C41" s="284"/>
      <c r="D41" s="284"/>
      <c r="E41" s="284"/>
      <c r="F41" s="284"/>
      <c r="G41" s="285"/>
    </row>
    <row r="42" spans="1:7" ht="15" customHeight="1">
      <c r="A42" s="429">
        <v>28</v>
      </c>
      <c r="B42" s="478" t="s">
        <v>391</v>
      </c>
      <c r="C42" s="431">
        <v>290260720.10371298</v>
      </c>
      <c r="D42" s="431">
        <v>289264032.8139711</v>
      </c>
      <c r="E42" s="431">
        <v>241639004.83403173</v>
      </c>
      <c r="F42" s="431">
        <v>220354395.05208892</v>
      </c>
      <c r="G42" s="434">
        <v>233178657.76290429</v>
      </c>
    </row>
    <row r="43" spans="1:7" ht="15">
      <c r="A43" s="429">
        <v>29</v>
      </c>
      <c r="B43" s="430" t="s">
        <v>392</v>
      </c>
      <c r="C43" s="431">
        <v>219387246.52870348</v>
      </c>
      <c r="D43" s="432">
        <v>240778295.8594408</v>
      </c>
      <c r="E43" s="432">
        <v>193745939.50013483</v>
      </c>
      <c r="F43" s="432">
        <v>160867671.24180427</v>
      </c>
      <c r="G43" s="433">
        <v>156134617.9647122</v>
      </c>
    </row>
    <row r="44" spans="1:7" ht="15">
      <c r="A44" s="473">
        <v>30</v>
      </c>
      <c r="B44" s="474" t="s">
        <v>390</v>
      </c>
      <c r="C44" s="533">
        <v>1.3230519307590507</v>
      </c>
      <c r="D44" s="533">
        <v>1.2013708784733439</v>
      </c>
      <c r="E44" s="533">
        <v>1.2471951951997609</v>
      </c>
      <c r="F44" s="533">
        <v>1.3697866908315508</v>
      </c>
      <c r="G44" s="536">
        <v>1.4934462376281263</v>
      </c>
    </row>
    <row r="45" spans="1:7" ht="15">
      <c r="A45" s="473"/>
      <c r="B45" s="423" t="s">
        <v>497</v>
      </c>
      <c r="C45" s="284"/>
      <c r="D45" s="284"/>
      <c r="E45" s="284"/>
      <c r="F45" s="284"/>
      <c r="G45" s="285"/>
    </row>
    <row r="46" spans="1:7" ht="15">
      <c r="A46" s="473">
        <v>31</v>
      </c>
      <c r="B46" s="474" t="s">
        <v>504</v>
      </c>
      <c r="C46" s="475">
        <v>859381553.06921077</v>
      </c>
      <c r="D46" s="476">
        <v>863149939.6906848</v>
      </c>
      <c r="E46" s="476">
        <v>853169392.72288966</v>
      </c>
      <c r="F46" s="476">
        <v>828136009.79051459</v>
      </c>
      <c r="G46" s="477">
        <v>807343465.24172497</v>
      </c>
    </row>
    <row r="47" spans="1:7" ht="15">
      <c r="A47" s="473">
        <v>32</v>
      </c>
      <c r="B47" s="474" t="s">
        <v>517</v>
      </c>
      <c r="C47" s="475">
        <v>668514503.70425463</v>
      </c>
      <c r="D47" s="476">
        <v>679319083.87367308</v>
      </c>
      <c r="E47" s="476">
        <v>687992796.82591188</v>
      </c>
      <c r="F47" s="476">
        <v>685096938.77183557</v>
      </c>
      <c r="G47" s="477">
        <v>677070577.10934162</v>
      </c>
    </row>
    <row r="48" spans="1:7" thickBot="1">
      <c r="A48" s="111">
        <v>33</v>
      </c>
      <c r="B48" s="215" t="s">
        <v>531</v>
      </c>
      <c r="C48" s="537">
        <v>1.2855092123018383</v>
      </c>
      <c r="D48" s="538">
        <v>1.270610468895935</v>
      </c>
      <c r="E48" s="538">
        <v>1.2087866153293625</v>
      </c>
      <c r="F48" s="538">
        <v>1.1924066597142136</v>
      </c>
      <c r="G48" s="539">
        <v>1.2136403845543222</v>
      </c>
    </row>
    <row r="49" spans="1:2">
      <c r="A49" s="16"/>
    </row>
    <row r="50" spans="1:2" ht="39.75">
      <c r="B50" s="18" t="s">
        <v>476</v>
      </c>
    </row>
    <row r="51" spans="1:2" ht="65.25">
      <c r="B51" s="330" t="s">
        <v>397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H8" sqref="C8:H22"/>
    </sheetView>
  </sheetViews>
  <sheetFormatPr defaultColWidth="9.140625" defaultRowHeight="12.75"/>
  <cols>
    <col min="1" max="1" width="11.85546875" style="481" bestFit="1" customWidth="1"/>
    <col min="2" max="2" width="105.140625" style="481" bestFit="1" customWidth="1"/>
    <col min="3" max="3" width="15.140625" style="481" bestFit="1" customWidth="1"/>
    <col min="4" max="6" width="12.5703125" style="481" bestFit="1" customWidth="1"/>
    <col min="7" max="7" width="26.7109375" style="481" bestFit="1" customWidth="1"/>
    <col min="8" max="8" width="14.28515625" style="481" bestFit="1" customWidth="1"/>
    <col min="9" max="16384" width="9.140625" style="481"/>
  </cols>
  <sheetData>
    <row r="1" spans="1:8">
      <c r="A1" s="480" t="s">
        <v>188</v>
      </c>
      <c r="B1" s="621" t="str">
        <f>'1. key ratios'!B1</f>
        <v>ს.ს. "ტერაბანკი"</v>
      </c>
    </row>
    <row r="2" spans="1:8">
      <c r="A2" s="480" t="s">
        <v>189</v>
      </c>
    </row>
    <row r="3" spans="1:8">
      <c r="A3" s="482" t="s">
        <v>533</v>
      </c>
      <c r="B3" s="483">
        <f>'1. key ratios'!B2</f>
        <v>44469</v>
      </c>
    </row>
    <row r="5" spans="1:8">
      <c r="A5" s="670" t="s">
        <v>534</v>
      </c>
      <c r="B5" s="671"/>
      <c r="C5" s="676" t="s">
        <v>535</v>
      </c>
      <c r="D5" s="677"/>
      <c r="E5" s="677"/>
      <c r="F5" s="677"/>
      <c r="G5" s="677"/>
      <c r="H5" s="678"/>
    </row>
    <row r="6" spans="1:8">
      <c r="A6" s="672"/>
      <c r="B6" s="673"/>
      <c r="C6" s="679"/>
      <c r="D6" s="680"/>
      <c r="E6" s="680"/>
      <c r="F6" s="680"/>
      <c r="G6" s="680"/>
      <c r="H6" s="681"/>
    </row>
    <row r="7" spans="1:8" ht="25.5">
      <c r="A7" s="674"/>
      <c r="B7" s="675"/>
      <c r="C7" s="484" t="s">
        <v>536</v>
      </c>
      <c r="D7" s="484" t="s">
        <v>537</v>
      </c>
      <c r="E7" s="484" t="s">
        <v>538</v>
      </c>
      <c r="F7" s="484" t="s">
        <v>539</v>
      </c>
      <c r="G7" s="484" t="s">
        <v>713</v>
      </c>
      <c r="H7" s="484" t="s">
        <v>68</v>
      </c>
    </row>
    <row r="8" spans="1:8">
      <c r="A8" s="488">
        <v>1</v>
      </c>
      <c r="B8" s="487" t="s">
        <v>216</v>
      </c>
      <c r="C8" s="586">
        <v>156739548.84</v>
      </c>
      <c r="D8" s="586">
        <v>53700942.710000008</v>
      </c>
      <c r="E8" s="586">
        <v>61265212.530000001</v>
      </c>
      <c r="F8" s="586">
        <v>10790000</v>
      </c>
      <c r="G8" s="586"/>
      <c r="H8" s="586">
        <f>SUM(C8:G8)</f>
        <v>282495704.08000004</v>
      </c>
    </row>
    <row r="9" spans="1:8">
      <c r="A9" s="488">
        <v>2</v>
      </c>
      <c r="B9" s="487" t="s">
        <v>217</v>
      </c>
      <c r="C9" s="586"/>
      <c r="D9" s="586"/>
      <c r="E9" s="586"/>
      <c r="F9" s="586"/>
      <c r="G9" s="586"/>
      <c r="H9" s="586">
        <f t="shared" ref="H9:H21" si="0">SUM(C9:G9)</f>
        <v>0</v>
      </c>
    </row>
    <row r="10" spans="1:8">
      <c r="A10" s="488">
        <v>3</v>
      </c>
      <c r="B10" s="487" t="s">
        <v>218</v>
      </c>
      <c r="C10" s="586"/>
      <c r="D10" s="586"/>
      <c r="E10" s="586"/>
      <c r="F10" s="586"/>
      <c r="G10" s="586"/>
      <c r="H10" s="586">
        <f t="shared" si="0"/>
        <v>0</v>
      </c>
    </row>
    <row r="11" spans="1:8">
      <c r="A11" s="488">
        <v>4</v>
      </c>
      <c r="B11" s="487" t="s">
        <v>219</v>
      </c>
      <c r="C11" s="586"/>
      <c r="D11" s="586"/>
      <c r="E11" s="586"/>
      <c r="F11" s="586"/>
      <c r="G11" s="586"/>
      <c r="H11" s="586">
        <f t="shared" si="0"/>
        <v>0</v>
      </c>
    </row>
    <row r="12" spans="1:8">
      <c r="A12" s="488">
        <v>5</v>
      </c>
      <c r="B12" s="487" t="s">
        <v>220</v>
      </c>
      <c r="C12" s="586"/>
      <c r="D12" s="586"/>
      <c r="E12" s="586"/>
      <c r="F12" s="586"/>
      <c r="G12" s="586"/>
      <c r="H12" s="586">
        <f t="shared" si="0"/>
        <v>0</v>
      </c>
    </row>
    <row r="13" spans="1:8">
      <c r="A13" s="488">
        <v>6</v>
      </c>
      <c r="B13" s="487" t="s">
        <v>221</v>
      </c>
      <c r="C13" s="586">
        <v>38508314.939999998</v>
      </c>
      <c r="D13" s="586">
        <v>0</v>
      </c>
      <c r="E13" s="586">
        <v>0</v>
      </c>
      <c r="F13" s="586">
        <v>3754831.44</v>
      </c>
      <c r="G13" s="586"/>
      <c r="H13" s="586">
        <f t="shared" si="0"/>
        <v>42263146.379999995</v>
      </c>
    </row>
    <row r="14" spans="1:8">
      <c r="A14" s="488">
        <v>7</v>
      </c>
      <c r="B14" s="487" t="s">
        <v>73</v>
      </c>
      <c r="C14" s="586">
        <v>0</v>
      </c>
      <c r="D14" s="586">
        <v>113176391.93329878</v>
      </c>
      <c r="E14" s="586">
        <v>109862274.15620001</v>
      </c>
      <c r="F14" s="586">
        <v>247148854.58879998</v>
      </c>
      <c r="G14" s="586">
        <v>397644.62430000002</v>
      </c>
      <c r="H14" s="586">
        <f t="shared" si="0"/>
        <v>470585165.30259877</v>
      </c>
    </row>
    <row r="15" spans="1:8">
      <c r="A15" s="488">
        <v>8</v>
      </c>
      <c r="B15" s="487" t="s">
        <v>74</v>
      </c>
      <c r="C15" s="586">
        <v>0</v>
      </c>
      <c r="D15" s="586">
        <v>19914326.429300014</v>
      </c>
      <c r="E15" s="586">
        <v>128134324.05330022</v>
      </c>
      <c r="F15" s="586">
        <v>138542789.98349994</v>
      </c>
      <c r="G15" s="586">
        <v>343535.75159999996</v>
      </c>
      <c r="H15" s="586">
        <f t="shared" si="0"/>
        <v>286934976.21770024</v>
      </c>
    </row>
    <row r="16" spans="1:8">
      <c r="A16" s="488">
        <v>9</v>
      </c>
      <c r="B16" s="487" t="s">
        <v>75</v>
      </c>
      <c r="C16" s="586">
        <v>0</v>
      </c>
      <c r="D16" s="586">
        <v>5711036.9865999995</v>
      </c>
      <c r="E16" s="586">
        <v>35028207.305199988</v>
      </c>
      <c r="F16" s="586">
        <v>75489359.446999997</v>
      </c>
      <c r="G16" s="586">
        <v>194141.80859999999</v>
      </c>
      <c r="H16" s="586">
        <f t="shared" si="0"/>
        <v>116422745.54739998</v>
      </c>
    </row>
    <row r="17" spans="1:8">
      <c r="A17" s="488">
        <v>10</v>
      </c>
      <c r="B17" s="602" t="s">
        <v>561</v>
      </c>
      <c r="C17" s="586">
        <v>0</v>
      </c>
      <c r="D17" s="586">
        <v>550689.61</v>
      </c>
      <c r="E17" s="586">
        <v>2636087.87</v>
      </c>
      <c r="F17" s="586">
        <v>4791459.879999998</v>
      </c>
      <c r="G17" s="586">
        <v>748469.38</v>
      </c>
      <c r="H17" s="586">
        <f t="shared" si="0"/>
        <v>8726706.7399999984</v>
      </c>
    </row>
    <row r="18" spans="1:8">
      <c r="A18" s="488">
        <v>11</v>
      </c>
      <c r="B18" s="487" t="s">
        <v>70</v>
      </c>
      <c r="C18" s="586">
        <v>0</v>
      </c>
      <c r="D18" s="586">
        <v>1025110.4349</v>
      </c>
      <c r="E18" s="586">
        <v>7444454.8887999952</v>
      </c>
      <c r="F18" s="586">
        <v>32673512.449299987</v>
      </c>
      <c r="G18" s="586">
        <v>0</v>
      </c>
      <c r="H18" s="586">
        <f t="shared" si="0"/>
        <v>41143077.772999987</v>
      </c>
    </row>
    <row r="19" spans="1:8">
      <c r="A19" s="488">
        <v>12</v>
      </c>
      <c r="B19" s="487" t="s">
        <v>71</v>
      </c>
      <c r="C19" s="586"/>
      <c r="D19" s="586"/>
      <c r="E19" s="586"/>
      <c r="F19" s="586"/>
      <c r="G19" s="586"/>
      <c r="H19" s="586">
        <f t="shared" si="0"/>
        <v>0</v>
      </c>
    </row>
    <row r="20" spans="1:8">
      <c r="A20" s="488">
        <v>13</v>
      </c>
      <c r="B20" s="487" t="s">
        <v>72</v>
      </c>
      <c r="C20" s="586"/>
      <c r="D20" s="586"/>
      <c r="E20" s="586"/>
      <c r="F20" s="586"/>
      <c r="G20" s="586"/>
      <c r="H20" s="586">
        <f t="shared" si="0"/>
        <v>0</v>
      </c>
    </row>
    <row r="21" spans="1:8">
      <c r="A21" s="488">
        <v>14</v>
      </c>
      <c r="B21" s="487" t="s">
        <v>540</v>
      </c>
      <c r="C21" s="586">
        <v>43889819.460000008</v>
      </c>
      <c r="D21" s="586"/>
      <c r="E21" s="586"/>
      <c r="F21" s="586">
        <v>7003357.165000001</v>
      </c>
      <c r="G21" s="586">
        <v>25507608.829999998</v>
      </c>
      <c r="H21" s="586">
        <f t="shared" si="0"/>
        <v>76400785.455000013</v>
      </c>
    </row>
    <row r="22" spans="1:8">
      <c r="A22" s="489">
        <v>15</v>
      </c>
      <c r="B22" s="486" t="s">
        <v>68</v>
      </c>
      <c r="C22" s="586">
        <f>SUM(C18:C21)+SUM(C8:C16)</f>
        <v>239137683.24000001</v>
      </c>
      <c r="D22" s="586">
        <f t="shared" ref="D22:G22" si="1">SUM(D18:D21)+SUM(D8:D16)</f>
        <v>193527808.49409881</v>
      </c>
      <c r="E22" s="586">
        <f t="shared" si="1"/>
        <v>341734472.93350017</v>
      </c>
      <c r="F22" s="586">
        <f t="shared" si="1"/>
        <v>515402705.07359993</v>
      </c>
      <c r="G22" s="586">
        <f t="shared" si="1"/>
        <v>26442931.0145</v>
      </c>
      <c r="H22" s="586">
        <f>SUM(H18:H21)+SUM(H8:H16)</f>
        <v>1316245600.7556989</v>
      </c>
    </row>
    <row r="26" spans="1:8" ht="38.25">
      <c r="B26" s="603" t="s">
        <v>712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C1" zoomScaleNormal="100" workbookViewId="0">
      <selection activeCell="C23" sqref="C7:I23"/>
    </sheetView>
  </sheetViews>
  <sheetFormatPr defaultColWidth="9.140625" defaultRowHeight="12.75"/>
  <cols>
    <col min="1" max="1" width="11.85546875" style="490" bestFit="1" customWidth="1"/>
    <col min="2" max="2" width="114.7109375" style="481" customWidth="1"/>
    <col min="3" max="3" width="22.42578125" style="481" customWidth="1"/>
    <col min="4" max="4" width="23.5703125" style="481" customWidth="1"/>
    <col min="5" max="8" width="22.140625" style="481" customWidth="1"/>
    <col min="9" max="9" width="41.42578125" style="481" customWidth="1"/>
    <col min="10" max="16384" width="9.140625" style="481"/>
  </cols>
  <sheetData>
    <row r="1" spans="1:9">
      <c r="A1" s="480" t="s">
        <v>188</v>
      </c>
      <c r="B1" s="621" t="str">
        <f>'1. key ratios'!B1</f>
        <v>ს.ს. "ტერაბანკი"</v>
      </c>
    </row>
    <row r="2" spans="1:9">
      <c r="A2" s="480" t="s">
        <v>189</v>
      </c>
    </row>
    <row r="3" spans="1:9">
      <c r="A3" s="482" t="s">
        <v>541</v>
      </c>
      <c r="B3" s="483">
        <f>'1. key ratios'!B2</f>
        <v>44469</v>
      </c>
    </row>
    <row r="4" spans="1:9">
      <c r="C4" s="491" t="s">
        <v>542</v>
      </c>
      <c r="D4" s="491" t="s">
        <v>543</v>
      </c>
      <c r="E4" s="491" t="s">
        <v>544</v>
      </c>
      <c r="F4" s="491" t="s">
        <v>545</v>
      </c>
      <c r="G4" s="491" t="s">
        <v>546</v>
      </c>
      <c r="H4" s="491" t="s">
        <v>547</v>
      </c>
      <c r="I4" s="491" t="s">
        <v>550</v>
      </c>
    </row>
    <row r="5" spans="1:9" ht="33.950000000000003" customHeight="1">
      <c r="A5" s="670" t="s">
        <v>551</v>
      </c>
      <c r="B5" s="671"/>
      <c r="C5" s="684" t="s">
        <v>552</v>
      </c>
      <c r="D5" s="684"/>
      <c r="E5" s="684" t="s">
        <v>553</v>
      </c>
      <c r="F5" s="684" t="s">
        <v>554</v>
      </c>
      <c r="G5" s="682" t="s">
        <v>555</v>
      </c>
      <c r="H5" s="682" t="s">
        <v>556</v>
      </c>
      <c r="I5" s="492" t="s">
        <v>557</v>
      </c>
    </row>
    <row r="6" spans="1:9" ht="38.25">
      <c r="A6" s="674"/>
      <c r="B6" s="675"/>
      <c r="C6" s="526" t="s">
        <v>558</v>
      </c>
      <c r="D6" s="526" t="s">
        <v>559</v>
      </c>
      <c r="E6" s="684"/>
      <c r="F6" s="684"/>
      <c r="G6" s="683"/>
      <c r="H6" s="683"/>
      <c r="I6" s="492" t="s">
        <v>560</v>
      </c>
    </row>
    <row r="7" spans="1:9">
      <c r="A7" s="493">
        <v>1</v>
      </c>
      <c r="B7" s="485" t="s">
        <v>216</v>
      </c>
      <c r="C7" s="587"/>
      <c r="D7" s="587">
        <v>248233857.50999993</v>
      </c>
      <c r="E7" s="587"/>
      <c r="F7" s="587"/>
      <c r="G7" s="587"/>
      <c r="H7" s="587"/>
      <c r="I7" s="495">
        <f t="shared" ref="I7:I23" si="0">C7+D7-E7-F7-G7</f>
        <v>248233857.50999993</v>
      </c>
    </row>
    <row r="8" spans="1:9">
      <c r="A8" s="493">
        <v>2</v>
      </c>
      <c r="B8" s="485" t="s">
        <v>217</v>
      </c>
      <c r="C8" s="587"/>
      <c r="D8" s="587"/>
      <c r="E8" s="587"/>
      <c r="F8" s="587"/>
      <c r="G8" s="587"/>
      <c r="H8" s="587"/>
      <c r="I8" s="495">
        <f t="shared" si="0"/>
        <v>0</v>
      </c>
    </row>
    <row r="9" spans="1:9">
      <c r="A9" s="493">
        <v>3</v>
      </c>
      <c r="B9" s="485" t="s">
        <v>218</v>
      </c>
      <c r="C9" s="587"/>
      <c r="D9" s="587"/>
      <c r="E9" s="587"/>
      <c r="F9" s="587"/>
      <c r="G9" s="587"/>
      <c r="H9" s="587"/>
      <c r="I9" s="495">
        <f t="shared" si="0"/>
        <v>0</v>
      </c>
    </row>
    <row r="10" spans="1:9">
      <c r="A10" s="493">
        <v>4</v>
      </c>
      <c r="B10" s="485" t="s">
        <v>219</v>
      </c>
      <c r="C10" s="587"/>
      <c r="D10" s="587"/>
      <c r="E10" s="587"/>
      <c r="F10" s="587"/>
      <c r="G10" s="587"/>
      <c r="H10" s="587"/>
      <c r="I10" s="495">
        <f t="shared" si="0"/>
        <v>0</v>
      </c>
    </row>
    <row r="11" spans="1:9">
      <c r="A11" s="493">
        <v>5</v>
      </c>
      <c r="B11" s="485" t="s">
        <v>220</v>
      </c>
      <c r="C11" s="587"/>
      <c r="D11" s="587"/>
      <c r="E11" s="587"/>
      <c r="F11" s="587"/>
      <c r="G11" s="587"/>
      <c r="H11" s="587"/>
      <c r="I11" s="495">
        <f t="shared" si="0"/>
        <v>0</v>
      </c>
    </row>
    <row r="12" spans="1:9">
      <c r="A12" s="493">
        <v>6</v>
      </c>
      <c r="B12" s="485" t="s">
        <v>221</v>
      </c>
      <c r="C12" s="587">
        <v>74905.22</v>
      </c>
      <c r="D12" s="587">
        <v>42263146.38000001</v>
      </c>
      <c r="E12" s="587">
        <v>74905.22</v>
      </c>
      <c r="F12" s="587"/>
      <c r="G12" s="587"/>
      <c r="H12" s="587"/>
      <c r="I12" s="495">
        <f t="shared" si="0"/>
        <v>42263146.38000001</v>
      </c>
    </row>
    <row r="13" spans="1:9">
      <c r="A13" s="493">
        <v>7</v>
      </c>
      <c r="B13" s="485" t="s">
        <v>73</v>
      </c>
      <c r="C13" s="587">
        <v>12687804.671300001</v>
      </c>
      <c r="D13" s="587">
        <v>503592958.65870053</v>
      </c>
      <c r="E13" s="587">
        <v>11375953.137397889</v>
      </c>
      <c r="F13" s="587">
        <v>7693139.8489880012</v>
      </c>
      <c r="G13" s="587"/>
      <c r="H13" s="587">
        <v>0</v>
      </c>
      <c r="I13" s="495">
        <f t="shared" si="0"/>
        <v>497211670.34361464</v>
      </c>
    </row>
    <row r="14" spans="1:9">
      <c r="A14" s="493">
        <v>8</v>
      </c>
      <c r="B14" s="487" t="s">
        <v>74</v>
      </c>
      <c r="C14" s="587">
        <v>43842149.576499999</v>
      </c>
      <c r="D14" s="587">
        <v>266753394.82670003</v>
      </c>
      <c r="E14" s="587">
        <v>23320547.879787993</v>
      </c>
      <c r="F14" s="587">
        <v>4484378.9000500105</v>
      </c>
      <c r="G14" s="587"/>
      <c r="H14" s="587">
        <v>1429763.9200000002</v>
      </c>
      <c r="I14" s="495">
        <f t="shared" si="0"/>
        <v>282790617.62336206</v>
      </c>
    </row>
    <row r="15" spans="1:9">
      <c r="A15" s="493">
        <v>9</v>
      </c>
      <c r="B15" s="485" t="s">
        <v>75</v>
      </c>
      <c r="C15" s="587">
        <v>7997574.6347000049</v>
      </c>
      <c r="D15" s="587">
        <v>108425170.91270001</v>
      </c>
      <c r="E15" s="587">
        <v>397680.93911400018</v>
      </c>
      <c r="F15" s="587">
        <v>1930773.9718340014</v>
      </c>
      <c r="G15" s="587"/>
      <c r="H15" s="587">
        <v>0</v>
      </c>
      <c r="I15" s="495">
        <f t="shared" si="0"/>
        <v>114094290.636452</v>
      </c>
    </row>
    <row r="16" spans="1:9">
      <c r="A16" s="493">
        <v>10</v>
      </c>
      <c r="B16" s="602" t="s">
        <v>561</v>
      </c>
      <c r="C16" s="587">
        <v>16073017.720000004</v>
      </c>
      <c r="D16" s="587">
        <v>349599.77999999997</v>
      </c>
      <c r="E16" s="587">
        <v>7695910.759999997</v>
      </c>
      <c r="F16" s="587">
        <v>0</v>
      </c>
      <c r="G16" s="587"/>
      <c r="H16" s="587">
        <v>1396028.06</v>
      </c>
      <c r="I16" s="495">
        <f t="shared" si="0"/>
        <v>8726706.7400000058</v>
      </c>
    </row>
    <row r="17" spans="1:9">
      <c r="A17" s="493">
        <v>11</v>
      </c>
      <c r="B17" s="485" t="s">
        <v>70</v>
      </c>
      <c r="C17" s="587">
        <v>46478.94</v>
      </c>
      <c r="D17" s="587">
        <v>41120684.816000059</v>
      </c>
      <c r="E17" s="587">
        <v>24223.673000000003</v>
      </c>
      <c r="F17" s="587">
        <v>806098.59982799797</v>
      </c>
      <c r="G17" s="587"/>
      <c r="H17" s="587">
        <v>3465.14</v>
      </c>
      <c r="I17" s="495">
        <f t="shared" si="0"/>
        <v>40336841.483172059</v>
      </c>
    </row>
    <row r="18" spans="1:9">
      <c r="A18" s="493">
        <v>12</v>
      </c>
      <c r="B18" s="485" t="s">
        <v>71</v>
      </c>
      <c r="C18" s="587"/>
      <c r="D18" s="587"/>
      <c r="E18" s="587"/>
      <c r="F18" s="587"/>
      <c r="G18" s="587"/>
      <c r="H18" s="587"/>
      <c r="I18" s="495">
        <f t="shared" si="0"/>
        <v>0</v>
      </c>
    </row>
    <row r="19" spans="1:9">
      <c r="A19" s="496">
        <v>13</v>
      </c>
      <c r="B19" s="487" t="s">
        <v>72</v>
      </c>
      <c r="C19" s="587"/>
      <c r="D19" s="587"/>
      <c r="E19" s="587"/>
      <c r="F19" s="587"/>
      <c r="G19" s="587"/>
      <c r="H19" s="587"/>
      <c r="I19" s="495">
        <f t="shared" si="0"/>
        <v>0</v>
      </c>
    </row>
    <row r="20" spans="1:9">
      <c r="A20" s="493">
        <v>14</v>
      </c>
      <c r="B20" s="485" t="s">
        <v>540</v>
      </c>
      <c r="C20" s="587">
        <v>29152825.31000001</v>
      </c>
      <c r="D20" s="587">
        <v>97538174.728999913</v>
      </c>
      <c r="E20" s="587">
        <v>27054947.699000008</v>
      </c>
      <c r="F20" s="587"/>
      <c r="G20" s="587"/>
      <c r="H20" s="587"/>
      <c r="I20" s="495">
        <f t="shared" si="0"/>
        <v>99636052.339999914</v>
      </c>
    </row>
    <row r="21" spans="1:9" s="498" customFormat="1">
      <c r="A21" s="497">
        <v>15</v>
      </c>
      <c r="B21" s="486" t="s">
        <v>68</v>
      </c>
      <c r="C21" s="586">
        <f>SUM(C7:C15)+SUM(C17:C20)</f>
        <v>93801738.352500021</v>
      </c>
      <c r="D21" s="586">
        <f t="shared" ref="D21:H21" si="1">SUM(D7:D15)+SUM(D17:D20)</f>
        <v>1307927387.8331003</v>
      </c>
      <c r="E21" s="586">
        <f t="shared" si="1"/>
        <v>62248258.548299886</v>
      </c>
      <c r="F21" s="586">
        <f t="shared" si="1"/>
        <v>14914391.32070001</v>
      </c>
      <c r="G21" s="586">
        <f t="shared" si="1"/>
        <v>0</v>
      </c>
      <c r="H21" s="586">
        <f t="shared" si="1"/>
        <v>1433229.06</v>
      </c>
      <c r="I21" s="495">
        <f t="shared" si="0"/>
        <v>1324566476.3166006</v>
      </c>
    </row>
    <row r="22" spans="1:9">
      <c r="A22" s="499">
        <v>16</v>
      </c>
      <c r="B22" s="500" t="s">
        <v>562</v>
      </c>
      <c r="C22" s="587">
        <v>64574007.822499998</v>
      </c>
      <c r="D22" s="587">
        <v>880612369.17410076</v>
      </c>
      <c r="E22" s="587">
        <v>35118405.629299879</v>
      </c>
      <c r="F22" s="587">
        <v>14814391.32070001</v>
      </c>
      <c r="G22" s="587">
        <v>0</v>
      </c>
      <c r="H22" s="587">
        <v>1433229.0600000005</v>
      </c>
      <c r="I22" s="495">
        <f t="shared" si="0"/>
        <v>895253580.04660082</v>
      </c>
    </row>
    <row r="23" spans="1:9">
      <c r="A23" s="499">
        <v>17</v>
      </c>
      <c r="B23" s="500" t="s">
        <v>563</v>
      </c>
      <c r="C23" s="587"/>
      <c r="D23" s="587">
        <v>127205313.37</v>
      </c>
      <c r="E23" s="587"/>
      <c r="F23" s="587">
        <v>100000</v>
      </c>
      <c r="G23" s="587"/>
      <c r="H23" s="587"/>
      <c r="I23" s="495">
        <f t="shared" si="0"/>
        <v>127105313.37</v>
      </c>
    </row>
    <row r="26" spans="1:9" ht="42.6" customHeight="1">
      <c r="B26" s="603" t="s">
        <v>712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workbookViewId="0">
      <selection activeCell="E23" sqref="E23"/>
    </sheetView>
  </sheetViews>
  <sheetFormatPr defaultColWidth="9.140625" defaultRowHeight="12.75"/>
  <cols>
    <col min="1" max="1" width="11" style="481" bestFit="1" customWidth="1"/>
    <col min="2" max="2" width="93.42578125" style="481" customWidth="1"/>
    <col min="3" max="8" width="22" style="481" customWidth="1"/>
    <col min="9" max="9" width="42.28515625" style="481" bestFit="1" customWidth="1"/>
    <col min="10" max="16384" width="9.140625" style="481"/>
  </cols>
  <sheetData>
    <row r="1" spans="1:9">
      <c r="A1" s="480" t="s">
        <v>188</v>
      </c>
      <c r="B1" s="621" t="str">
        <f>'1. key ratios'!B1</f>
        <v>ს.ს. "ტერაბანკი"</v>
      </c>
    </row>
    <row r="2" spans="1:9">
      <c r="A2" s="480" t="s">
        <v>189</v>
      </c>
    </row>
    <row r="3" spans="1:9">
      <c r="A3" s="482" t="s">
        <v>564</v>
      </c>
      <c r="B3" s="483">
        <f>'1. key ratios'!B2</f>
        <v>44469</v>
      </c>
    </row>
    <row r="4" spans="1:9">
      <c r="C4" s="491" t="s">
        <v>542</v>
      </c>
      <c r="D4" s="491" t="s">
        <v>543</v>
      </c>
      <c r="E4" s="491" t="s">
        <v>544</v>
      </c>
      <c r="F4" s="491" t="s">
        <v>545</v>
      </c>
      <c r="G4" s="491" t="s">
        <v>546</v>
      </c>
      <c r="H4" s="491" t="s">
        <v>547</v>
      </c>
      <c r="I4" s="491" t="s">
        <v>550</v>
      </c>
    </row>
    <row r="5" spans="1:9" ht="41.45" customHeight="1">
      <c r="A5" s="670" t="s">
        <v>716</v>
      </c>
      <c r="B5" s="671"/>
      <c r="C5" s="684" t="s">
        <v>552</v>
      </c>
      <c r="D5" s="684"/>
      <c r="E5" s="684" t="s">
        <v>553</v>
      </c>
      <c r="F5" s="684" t="s">
        <v>554</v>
      </c>
      <c r="G5" s="682" t="s">
        <v>555</v>
      </c>
      <c r="H5" s="682" t="s">
        <v>556</v>
      </c>
      <c r="I5" s="492" t="s">
        <v>557</v>
      </c>
    </row>
    <row r="6" spans="1:9" ht="41.45" customHeight="1">
      <c r="A6" s="674"/>
      <c r="B6" s="675"/>
      <c r="C6" s="526" t="s">
        <v>558</v>
      </c>
      <c r="D6" s="526" t="s">
        <v>559</v>
      </c>
      <c r="E6" s="684"/>
      <c r="F6" s="684"/>
      <c r="G6" s="683"/>
      <c r="H6" s="683"/>
      <c r="I6" s="492" t="s">
        <v>560</v>
      </c>
    </row>
    <row r="7" spans="1:9">
      <c r="A7" s="494">
        <v>1</v>
      </c>
      <c r="B7" s="501" t="s">
        <v>565</v>
      </c>
      <c r="C7" s="587">
        <v>2472252.4800000004</v>
      </c>
      <c r="D7" s="587">
        <v>348457132.00999993</v>
      </c>
      <c r="E7" s="587">
        <v>1184358.2100000002</v>
      </c>
      <c r="F7" s="587">
        <v>1255361.3799999994</v>
      </c>
      <c r="G7" s="587">
        <v>0</v>
      </c>
      <c r="H7" s="587">
        <v>113077.22</v>
      </c>
      <c r="I7" s="495">
        <f t="shared" ref="I7:I34" si="0">C7+D7-E7-F7-G7</f>
        <v>348489664.89999998</v>
      </c>
    </row>
    <row r="8" spans="1:9">
      <c r="A8" s="494">
        <v>2</v>
      </c>
      <c r="B8" s="501" t="s">
        <v>566</v>
      </c>
      <c r="C8" s="587">
        <v>839287.51</v>
      </c>
      <c r="D8" s="587">
        <v>77024213.710000038</v>
      </c>
      <c r="E8" s="587">
        <v>423058.8600000001</v>
      </c>
      <c r="F8" s="587">
        <v>676483.22000000009</v>
      </c>
      <c r="G8" s="587">
        <v>0</v>
      </c>
      <c r="H8" s="587">
        <v>103720.82</v>
      </c>
      <c r="I8" s="495">
        <f t="shared" si="0"/>
        <v>76763959.140000045</v>
      </c>
    </row>
    <row r="9" spans="1:9">
      <c r="A9" s="494">
        <v>3</v>
      </c>
      <c r="B9" s="501" t="s">
        <v>567</v>
      </c>
      <c r="C9" s="587">
        <v>0</v>
      </c>
      <c r="D9" s="587">
        <v>21482036.250000004</v>
      </c>
      <c r="E9" s="587">
        <v>7784.95</v>
      </c>
      <c r="F9" s="587">
        <v>427372.98</v>
      </c>
      <c r="G9" s="587">
        <v>0</v>
      </c>
      <c r="H9" s="587">
        <v>0</v>
      </c>
      <c r="I9" s="495">
        <f t="shared" si="0"/>
        <v>21046878.320000004</v>
      </c>
    </row>
    <row r="10" spans="1:9">
      <c r="A10" s="494">
        <v>4</v>
      </c>
      <c r="B10" s="501" t="s">
        <v>568</v>
      </c>
      <c r="C10" s="587">
        <v>502760.45999999996</v>
      </c>
      <c r="D10" s="587">
        <v>77454218.629999995</v>
      </c>
      <c r="E10" s="587">
        <v>946794.71000000008</v>
      </c>
      <c r="F10" s="587">
        <v>1371266.63</v>
      </c>
      <c r="G10" s="587">
        <v>0</v>
      </c>
      <c r="H10" s="587">
        <v>0</v>
      </c>
      <c r="I10" s="495">
        <f t="shared" si="0"/>
        <v>75638917.75</v>
      </c>
    </row>
    <row r="11" spans="1:9">
      <c r="A11" s="494">
        <v>5</v>
      </c>
      <c r="B11" s="501" t="s">
        <v>569</v>
      </c>
      <c r="C11" s="587">
        <v>9191171.3200000003</v>
      </c>
      <c r="D11" s="587">
        <v>78776053.600000009</v>
      </c>
      <c r="E11" s="587">
        <v>5345510.3499999996</v>
      </c>
      <c r="F11" s="587">
        <v>1134342.7300000002</v>
      </c>
      <c r="G11" s="587">
        <v>0</v>
      </c>
      <c r="H11" s="587">
        <v>0</v>
      </c>
      <c r="I11" s="495">
        <f t="shared" si="0"/>
        <v>81487371.840000018</v>
      </c>
    </row>
    <row r="12" spans="1:9">
      <c r="A12" s="494">
        <v>6</v>
      </c>
      <c r="B12" s="501" t="s">
        <v>570</v>
      </c>
      <c r="C12" s="587">
        <v>821322.10999999987</v>
      </c>
      <c r="D12" s="587">
        <v>30675109.530000012</v>
      </c>
      <c r="E12" s="587">
        <v>622251.76</v>
      </c>
      <c r="F12" s="587">
        <v>556467.07999999996</v>
      </c>
      <c r="G12" s="587">
        <v>0</v>
      </c>
      <c r="H12" s="587">
        <v>2224.86</v>
      </c>
      <c r="I12" s="495">
        <f t="shared" si="0"/>
        <v>30317712.800000012</v>
      </c>
    </row>
    <row r="13" spans="1:9">
      <c r="A13" s="494">
        <v>7</v>
      </c>
      <c r="B13" s="501" t="s">
        <v>571</v>
      </c>
      <c r="C13" s="587">
        <v>41014.160000000003</v>
      </c>
      <c r="D13" s="587">
        <v>40857770.229999997</v>
      </c>
      <c r="E13" s="587">
        <v>304868.83999999997</v>
      </c>
      <c r="F13" s="587">
        <v>755812.53999999992</v>
      </c>
      <c r="G13" s="587">
        <v>0</v>
      </c>
      <c r="H13" s="587">
        <v>0</v>
      </c>
      <c r="I13" s="495">
        <f t="shared" si="0"/>
        <v>39838103.00999999</v>
      </c>
    </row>
    <row r="14" spans="1:9">
      <c r="A14" s="494">
        <v>8</v>
      </c>
      <c r="B14" s="501" t="s">
        <v>572</v>
      </c>
      <c r="C14" s="587">
        <v>1260639.1299999997</v>
      </c>
      <c r="D14" s="587">
        <v>41144406.860000014</v>
      </c>
      <c r="E14" s="587">
        <v>642474.84</v>
      </c>
      <c r="F14" s="587">
        <v>771156.88000000035</v>
      </c>
      <c r="G14" s="587">
        <v>0</v>
      </c>
      <c r="H14" s="587">
        <v>51242.25</v>
      </c>
      <c r="I14" s="495">
        <f t="shared" si="0"/>
        <v>40991414.270000011</v>
      </c>
    </row>
    <row r="15" spans="1:9">
      <c r="A15" s="494">
        <v>9</v>
      </c>
      <c r="B15" s="501" t="s">
        <v>573</v>
      </c>
      <c r="C15" s="587">
        <v>40000</v>
      </c>
      <c r="D15" s="587">
        <v>32353890.760000009</v>
      </c>
      <c r="E15" s="587">
        <v>270413.15999999997</v>
      </c>
      <c r="F15" s="587">
        <v>597186.56999999995</v>
      </c>
      <c r="G15" s="587">
        <v>0</v>
      </c>
      <c r="H15" s="587">
        <v>0</v>
      </c>
      <c r="I15" s="495">
        <f t="shared" si="0"/>
        <v>31526291.030000009</v>
      </c>
    </row>
    <row r="16" spans="1:9">
      <c r="A16" s="494">
        <v>10</v>
      </c>
      <c r="B16" s="501" t="s">
        <v>574</v>
      </c>
      <c r="C16" s="587">
        <v>827507.62</v>
      </c>
      <c r="D16" s="587">
        <v>10644356.75</v>
      </c>
      <c r="E16" s="587">
        <v>603503.07999999996</v>
      </c>
      <c r="F16" s="587">
        <v>141026.48000000004</v>
      </c>
      <c r="G16" s="587">
        <v>0</v>
      </c>
      <c r="H16" s="587">
        <v>0</v>
      </c>
      <c r="I16" s="495">
        <f t="shared" si="0"/>
        <v>10727334.809999999</v>
      </c>
    </row>
    <row r="17" spans="1:9">
      <c r="A17" s="494">
        <v>11</v>
      </c>
      <c r="B17" s="501" t="s">
        <v>575</v>
      </c>
      <c r="C17" s="587">
        <v>963379</v>
      </c>
      <c r="D17" s="587">
        <v>6189802.0099999998</v>
      </c>
      <c r="E17" s="587">
        <v>545934.99999999988</v>
      </c>
      <c r="F17" s="587">
        <v>102757.40000000001</v>
      </c>
      <c r="G17" s="587">
        <v>0</v>
      </c>
      <c r="H17" s="587">
        <v>0</v>
      </c>
      <c r="I17" s="495">
        <f t="shared" si="0"/>
        <v>6504488.6099999994</v>
      </c>
    </row>
    <row r="18" spans="1:9">
      <c r="A18" s="494">
        <v>12</v>
      </c>
      <c r="B18" s="501" t="s">
        <v>576</v>
      </c>
      <c r="C18" s="587">
        <v>6495519.9800000004</v>
      </c>
      <c r="D18" s="587">
        <v>59263080.600000054</v>
      </c>
      <c r="E18" s="587">
        <v>3467794.4499999983</v>
      </c>
      <c r="F18" s="587">
        <v>1010717.38</v>
      </c>
      <c r="G18" s="587">
        <v>0</v>
      </c>
      <c r="H18" s="587">
        <v>393550.98</v>
      </c>
      <c r="I18" s="495">
        <f t="shared" si="0"/>
        <v>61280088.75000006</v>
      </c>
    </row>
    <row r="19" spans="1:9">
      <c r="A19" s="494">
        <v>13</v>
      </c>
      <c r="B19" s="501" t="s">
        <v>577</v>
      </c>
      <c r="C19" s="587">
        <v>1629490.3</v>
      </c>
      <c r="D19" s="587">
        <v>13691006.539999995</v>
      </c>
      <c r="E19" s="587">
        <v>674243.8899999999</v>
      </c>
      <c r="F19" s="587">
        <v>258526.16</v>
      </c>
      <c r="G19" s="587">
        <v>0</v>
      </c>
      <c r="H19" s="587">
        <v>700</v>
      </c>
      <c r="I19" s="495">
        <f t="shared" si="0"/>
        <v>14387726.789999995</v>
      </c>
    </row>
    <row r="20" spans="1:9">
      <c r="A20" s="494">
        <v>14</v>
      </c>
      <c r="B20" s="501" t="s">
        <v>578</v>
      </c>
      <c r="C20" s="587">
        <v>12153782.950000001</v>
      </c>
      <c r="D20" s="587">
        <v>78033932.450000003</v>
      </c>
      <c r="E20" s="587">
        <v>6306354.0999999996</v>
      </c>
      <c r="F20" s="587">
        <v>1073841.8899999997</v>
      </c>
      <c r="G20" s="587">
        <v>0</v>
      </c>
      <c r="H20" s="587">
        <v>12987.3</v>
      </c>
      <c r="I20" s="495">
        <f t="shared" si="0"/>
        <v>82807519.410000011</v>
      </c>
    </row>
    <row r="21" spans="1:9">
      <c r="A21" s="494">
        <v>15</v>
      </c>
      <c r="B21" s="501" t="s">
        <v>579</v>
      </c>
      <c r="C21" s="587">
        <v>4148636.0500000021</v>
      </c>
      <c r="D21" s="587">
        <v>29650425.040000003</v>
      </c>
      <c r="E21" s="587">
        <v>2693723.5300000003</v>
      </c>
      <c r="F21" s="587">
        <v>300719.18999999994</v>
      </c>
      <c r="G21" s="587">
        <v>0</v>
      </c>
      <c r="H21" s="587">
        <v>11000</v>
      </c>
      <c r="I21" s="495">
        <f t="shared" si="0"/>
        <v>30804618.370000001</v>
      </c>
    </row>
    <row r="22" spans="1:9">
      <c r="A22" s="494">
        <v>16</v>
      </c>
      <c r="B22" s="501" t="s">
        <v>580</v>
      </c>
      <c r="C22" s="587">
        <v>0</v>
      </c>
      <c r="D22" s="587">
        <v>459952.24999999994</v>
      </c>
      <c r="E22" s="587">
        <v>0</v>
      </c>
      <c r="F22" s="587">
        <v>9063.8700000000008</v>
      </c>
      <c r="G22" s="587">
        <v>0</v>
      </c>
      <c r="H22" s="587">
        <v>0</v>
      </c>
      <c r="I22" s="495">
        <f t="shared" si="0"/>
        <v>450888.37999999995</v>
      </c>
    </row>
    <row r="23" spans="1:9">
      <c r="A23" s="494">
        <v>17</v>
      </c>
      <c r="B23" s="501" t="s">
        <v>581</v>
      </c>
      <c r="C23" s="587">
        <v>1892414.0899999999</v>
      </c>
      <c r="D23" s="587">
        <v>3366158.67</v>
      </c>
      <c r="E23" s="587">
        <v>783147.55999999994</v>
      </c>
      <c r="F23" s="587">
        <v>40107.480000000003</v>
      </c>
      <c r="G23" s="587">
        <v>0</v>
      </c>
      <c r="H23" s="587">
        <v>0</v>
      </c>
      <c r="I23" s="495">
        <f t="shared" si="0"/>
        <v>4435317.72</v>
      </c>
    </row>
    <row r="24" spans="1:9">
      <c r="A24" s="494">
        <v>18</v>
      </c>
      <c r="B24" s="501" t="s">
        <v>582</v>
      </c>
      <c r="C24" s="587">
        <v>0</v>
      </c>
      <c r="D24" s="587">
        <v>21756118.190000001</v>
      </c>
      <c r="E24" s="587">
        <v>61.48</v>
      </c>
      <c r="F24" s="587">
        <v>391205.71</v>
      </c>
      <c r="G24" s="587">
        <v>0</v>
      </c>
      <c r="H24" s="587">
        <v>0</v>
      </c>
      <c r="I24" s="495">
        <f t="shared" si="0"/>
        <v>21364851</v>
      </c>
    </row>
    <row r="25" spans="1:9">
      <c r="A25" s="494">
        <v>19</v>
      </c>
      <c r="B25" s="501" t="s">
        <v>583</v>
      </c>
      <c r="C25" s="587">
        <v>36283.230000000003</v>
      </c>
      <c r="D25" s="587">
        <v>6783840.1799999988</v>
      </c>
      <c r="E25" s="587">
        <v>18141.61</v>
      </c>
      <c r="F25" s="587">
        <v>134828.09999999998</v>
      </c>
      <c r="G25" s="587">
        <v>0</v>
      </c>
      <c r="H25" s="587">
        <v>0</v>
      </c>
      <c r="I25" s="495">
        <f t="shared" si="0"/>
        <v>6667153.6999999993</v>
      </c>
    </row>
    <row r="26" spans="1:9">
      <c r="A26" s="494">
        <v>20</v>
      </c>
      <c r="B26" s="501" t="s">
        <v>584</v>
      </c>
      <c r="C26" s="587">
        <v>367506.04000000004</v>
      </c>
      <c r="D26" s="587">
        <v>26715505.169999998</v>
      </c>
      <c r="E26" s="587">
        <v>362000.45999999996</v>
      </c>
      <c r="F26" s="587">
        <v>491029.61</v>
      </c>
      <c r="G26" s="587">
        <v>0</v>
      </c>
      <c r="H26" s="587">
        <v>247350.99</v>
      </c>
      <c r="I26" s="495">
        <f t="shared" si="0"/>
        <v>26229981.139999997</v>
      </c>
    </row>
    <row r="27" spans="1:9">
      <c r="A27" s="494">
        <v>21</v>
      </c>
      <c r="B27" s="501" t="s">
        <v>585</v>
      </c>
      <c r="C27" s="587">
        <v>78284.27</v>
      </c>
      <c r="D27" s="587">
        <v>5214577.8499999996</v>
      </c>
      <c r="E27" s="587">
        <v>35413.449999999997</v>
      </c>
      <c r="F27" s="587">
        <v>103182.20000000001</v>
      </c>
      <c r="G27" s="587">
        <v>0</v>
      </c>
      <c r="H27" s="587">
        <v>47712.55</v>
      </c>
      <c r="I27" s="495">
        <f t="shared" si="0"/>
        <v>5154266.4699999988</v>
      </c>
    </row>
    <row r="28" spans="1:9">
      <c r="A28" s="494">
        <v>22</v>
      </c>
      <c r="B28" s="501" t="s">
        <v>586</v>
      </c>
      <c r="C28" s="587">
        <v>51048.619999999995</v>
      </c>
      <c r="D28" s="587">
        <v>1469738.1400000001</v>
      </c>
      <c r="E28" s="587">
        <v>116433.59999999999</v>
      </c>
      <c r="F28" s="587">
        <v>14388.15</v>
      </c>
      <c r="G28" s="587">
        <v>0</v>
      </c>
      <c r="H28" s="587">
        <v>0</v>
      </c>
      <c r="I28" s="495">
        <f t="shared" si="0"/>
        <v>1389965.0100000002</v>
      </c>
    </row>
    <row r="29" spans="1:9">
      <c r="A29" s="494">
        <v>23</v>
      </c>
      <c r="B29" s="501" t="s">
        <v>587</v>
      </c>
      <c r="C29" s="587">
        <v>9055484.2699999996</v>
      </c>
      <c r="D29" s="587">
        <v>55501069.480000049</v>
      </c>
      <c r="E29" s="587">
        <v>4322727.99</v>
      </c>
      <c r="F29" s="587">
        <v>919806.56000000064</v>
      </c>
      <c r="G29" s="587">
        <v>0</v>
      </c>
      <c r="H29" s="587">
        <v>262347.93</v>
      </c>
      <c r="I29" s="495">
        <f t="shared" si="0"/>
        <v>59314019.20000004</v>
      </c>
    </row>
    <row r="30" spans="1:9">
      <c r="A30" s="494">
        <v>24</v>
      </c>
      <c r="B30" s="501" t="s">
        <v>588</v>
      </c>
      <c r="C30" s="587">
        <v>5683617.6900000004</v>
      </c>
      <c r="D30" s="587">
        <v>80750089.669999927</v>
      </c>
      <c r="E30" s="587">
        <v>2754957.7199999993</v>
      </c>
      <c r="F30" s="587">
        <v>1495558.93</v>
      </c>
      <c r="G30" s="587">
        <v>0</v>
      </c>
      <c r="H30" s="587">
        <v>0</v>
      </c>
      <c r="I30" s="495">
        <f t="shared" si="0"/>
        <v>82183190.709999919</v>
      </c>
    </row>
    <row r="31" spans="1:9">
      <c r="A31" s="494">
        <v>25</v>
      </c>
      <c r="B31" s="501" t="s">
        <v>589</v>
      </c>
      <c r="C31" s="587">
        <v>3469570.19</v>
      </c>
      <c r="D31" s="587">
        <v>47989558.039999977</v>
      </c>
      <c r="E31" s="587">
        <v>1435795.08</v>
      </c>
      <c r="F31" s="587">
        <v>638467.13999999943</v>
      </c>
      <c r="G31" s="587">
        <v>0</v>
      </c>
      <c r="H31" s="587">
        <v>187314.16000000003</v>
      </c>
      <c r="I31" s="495">
        <f t="shared" si="0"/>
        <v>49384866.009999976</v>
      </c>
    </row>
    <row r="32" spans="1:9">
      <c r="A32" s="494">
        <v>26</v>
      </c>
      <c r="B32" s="501" t="s">
        <v>590</v>
      </c>
      <c r="C32" s="587">
        <v>2627762.7599985218</v>
      </c>
      <c r="D32" s="587">
        <v>14685308.430000002</v>
      </c>
      <c r="E32" s="587">
        <v>1325560.0399999986</v>
      </c>
      <c r="F32" s="587">
        <v>243715.14</v>
      </c>
      <c r="G32" s="587">
        <v>0</v>
      </c>
      <c r="H32" s="587">
        <v>0</v>
      </c>
      <c r="I32" s="495">
        <f t="shared" si="0"/>
        <v>15743796.009998523</v>
      </c>
    </row>
    <row r="33" spans="1:9">
      <c r="A33" s="494">
        <v>27</v>
      </c>
      <c r="B33" s="494" t="s">
        <v>165</v>
      </c>
      <c r="C33" s="587">
        <v>29152825.31000001</v>
      </c>
      <c r="D33" s="587">
        <v>97538174.728999913</v>
      </c>
      <c r="E33" s="587">
        <v>27054947.699000008</v>
      </c>
      <c r="F33" s="587">
        <v>0</v>
      </c>
      <c r="G33" s="587">
        <v>0</v>
      </c>
      <c r="H33" s="587">
        <v>0</v>
      </c>
      <c r="I33" s="495">
        <f t="shared" si="0"/>
        <v>99636052.339999914</v>
      </c>
    </row>
    <row r="34" spans="1:9">
      <c r="A34" s="494">
        <v>28</v>
      </c>
      <c r="B34" s="486" t="s">
        <v>68</v>
      </c>
      <c r="C34" s="586">
        <f>SUM(C7:C33)</f>
        <v>93801559.539998531</v>
      </c>
      <c r="D34" s="586">
        <f t="shared" ref="D34:H34" si="1">SUM(D7:D33)</f>
        <v>1307927525.7689996</v>
      </c>
      <c r="E34" s="586">
        <f t="shared" si="1"/>
        <v>62248256.419</v>
      </c>
      <c r="F34" s="586">
        <f t="shared" si="1"/>
        <v>14914391.399999999</v>
      </c>
      <c r="G34" s="586">
        <f t="shared" si="1"/>
        <v>0</v>
      </c>
      <c r="H34" s="586">
        <f t="shared" si="1"/>
        <v>1433229.06</v>
      </c>
      <c r="I34" s="495">
        <f t="shared" si="0"/>
        <v>1324566437.4899981</v>
      </c>
    </row>
    <row r="36" spans="1:9">
      <c r="B36" s="502"/>
    </row>
    <row r="42" spans="1:9">
      <c r="A42" s="498"/>
      <c r="B42" s="498"/>
    </row>
    <row r="43" spans="1:9">
      <c r="A43" s="498"/>
      <c r="B43" s="49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2" sqref="B2"/>
    </sheetView>
  </sheetViews>
  <sheetFormatPr defaultColWidth="9.140625" defaultRowHeight="12.75"/>
  <cols>
    <col min="1" max="1" width="11.85546875" style="481" bestFit="1" customWidth="1"/>
    <col min="2" max="2" width="108" style="481" bestFit="1" customWidth="1"/>
    <col min="3" max="3" width="35.5703125" style="481" customWidth="1"/>
    <col min="4" max="4" width="38.42578125" style="481" customWidth="1"/>
    <col min="5" max="16384" width="9.140625" style="481"/>
  </cols>
  <sheetData>
    <row r="1" spans="1:4">
      <c r="A1" s="480" t="s">
        <v>188</v>
      </c>
      <c r="B1" s="621" t="str">
        <f>'1. key ratios'!B1</f>
        <v>ს.ს. "ტერაბანკი"</v>
      </c>
    </row>
    <row r="2" spans="1:4">
      <c r="A2" s="480" t="s">
        <v>189</v>
      </c>
    </row>
    <row r="3" spans="1:4">
      <c r="A3" s="482" t="s">
        <v>591</v>
      </c>
      <c r="B3" s="483">
        <f>'1. key ratios'!B2</f>
        <v>44469</v>
      </c>
    </row>
    <row r="5" spans="1:4" ht="51">
      <c r="A5" s="685" t="s">
        <v>592</v>
      </c>
      <c r="B5" s="685"/>
      <c r="C5" s="484" t="s">
        <v>593</v>
      </c>
      <c r="D5" s="484" t="s">
        <v>594</v>
      </c>
    </row>
    <row r="6" spans="1:4">
      <c r="A6" s="503">
        <v>1</v>
      </c>
      <c r="B6" s="504" t="s">
        <v>595</v>
      </c>
      <c r="C6" s="586">
        <v>53338051.870000102</v>
      </c>
      <c r="D6" s="586">
        <v>100000</v>
      </c>
    </row>
    <row r="7" spans="1:4">
      <c r="A7" s="505">
        <v>2</v>
      </c>
      <c r="B7" s="504" t="s">
        <v>596</v>
      </c>
      <c r="C7" s="586">
        <f>SUM(C8:C11)</f>
        <v>8576667.2604785115</v>
      </c>
      <c r="D7" s="586">
        <f>SUM(D8:D11)</f>
        <v>0</v>
      </c>
    </row>
    <row r="8" spans="1:4">
      <c r="A8" s="505">
        <v>2.1</v>
      </c>
      <c r="B8" s="506" t="s">
        <v>597</v>
      </c>
      <c r="C8" s="587">
        <v>3982812.1902430002</v>
      </c>
      <c r="D8" s="587">
        <v>0</v>
      </c>
    </row>
    <row r="9" spans="1:4">
      <c r="A9" s="505">
        <v>2.2000000000000002</v>
      </c>
      <c r="B9" s="506" t="s">
        <v>598</v>
      </c>
      <c r="C9" s="587">
        <v>4593855.0702355113</v>
      </c>
      <c r="D9" s="587">
        <v>0</v>
      </c>
    </row>
    <row r="10" spans="1:4">
      <c r="A10" s="505">
        <v>2.2999999999999998</v>
      </c>
      <c r="B10" s="506" t="s">
        <v>599</v>
      </c>
      <c r="C10" s="587">
        <v>0</v>
      </c>
      <c r="D10" s="587">
        <v>0</v>
      </c>
    </row>
    <row r="11" spans="1:4">
      <c r="A11" s="505">
        <v>2.4</v>
      </c>
      <c r="B11" s="506" t="s">
        <v>600</v>
      </c>
      <c r="C11" s="587">
        <v>0</v>
      </c>
      <c r="D11" s="587">
        <v>0</v>
      </c>
    </row>
    <row r="12" spans="1:4">
      <c r="A12" s="503">
        <v>3</v>
      </c>
      <c r="B12" s="504" t="s">
        <v>601</v>
      </c>
      <c r="C12" s="586">
        <f>SUM(C13:C18)</f>
        <v>10682820.180479005</v>
      </c>
      <c r="D12" s="586">
        <f>SUM(D13:D18)</f>
        <v>0</v>
      </c>
    </row>
    <row r="13" spans="1:4">
      <c r="A13" s="505">
        <v>3.1</v>
      </c>
      <c r="B13" s="506" t="s">
        <v>602</v>
      </c>
      <c r="C13" s="587">
        <v>1433229.06</v>
      </c>
      <c r="D13" s="587">
        <v>0</v>
      </c>
    </row>
    <row r="14" spans="1:4">
      <c r="A14" s="505">
        <v>3.2</v>
      </c>
      <c r="B14" s="506" t="s">
        <v>603</v>
      </c>
      <c r="C14" s="587">
        <v>2810649.8692180011</v>
      </c>
      <c r="D14" s="587">
        <v>0</v>
      </c>
    </row>
    <row r="15" spans="1:4">
      <c r="A15" s="505">
        <v>3.3</v>
      </c>
      <c r="B15" s="506" t="s">
        <v>604</v>
      </c>
      <c r="C15" s="587">
        <v>2947060.6479350007</v>
      </c>
      <c r="D15" s="587">
        <v>0</v>
      </c>
    </row>
    <row r="16" spans="1:4">
      <c r="A16" s="505">
        <v>3.4</v>
      </c>
      <c r="B16" s="506" t="s">
        <v>605</v>
      </c>
      <c r="C16" s="587">
        <v>2505402.3255560002</v>
      </c>
      <c r="D16" s="587">
        <v>0</v>
      </c>
    </row>
    <row r="17" spans="1:4">
      <c r="A17" s="505">
        <v>3.5</v>
      </c>
      <c r="B17" s="506" t="s">
        <v>606</v>
      </c>
      <c r="C17" s="587">
        <v>664282.56776999997</v>
      </c>
      <c r="D17" s="587">
        <v>0</v>
      </c>
    </row>
    <row r="18" spans="1:4">
      <c r="A18" s="505">
        <v>3.6</v>
      </c>
      <c r="B18" s="506" t="s">
        <v>607</v>
      </c>
      <c r="C18" s="587">
        <v>322195.70999999996</v>
      </c>
      <c r="D18" s="587">
        <v>0</v>
      </c>
    </row>
    <row r="19" spans="1:4">
      <c r="A19" s="507">
        <v>4</v>
      </c>
      <c r="B19" s="504" t="s">
        <v>608</v>
      </c>
      <c r="C19" s="586">
        <f>C6+C7-C12</f>
        <v>51231898.949999608</v>
      </c>
      <c r="D19" s="586">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B2" sqref="B2"/>
    </sheetView>
  </sheetViews>
  <sheetFormatPr defaultColWidth="9.140625" defaultRowHeight="12.75"/>
  <cols>
    <col min="1" max="1" width="11.85546875" style="481" bestFit="1" customWidth="1"/>
    <col min="2" max="2" width="124.7109375" style="481" customWidth="1"/>
    <col min="3" max="3" width="21.5703125" style="481" customWidth="1"/>
    <col min="4" max="4" width="49.140625" style="481" customWidth="1"/>
    <col min="5" max="16384" width="9.140625" style="481"/>
  </cols>
  <sheetData>
    <row r="1" spans="1:4">
      <c r="A1" s="480" t="s">
        <v>188</v>
      </c>
      <c r="B1" s="621" t="str">
        <f>'1. key ratios'!B1</f>
        <v>ს.ს. "ტერაბანკი"</v>
      </c>
    </row>
    <row r="2" spans="1:4">
      <c r="A2" s="480" t="s">
        <v>189</v>
      </c>
    </row>
    <row r="3" spans="1:4">
      <c r="A3" s="482" t="s">
        <v>609</v>
      </c>
      <c r="B3" s="483">
        <f>'1. key ratios'!B2</f>
        <v>44469</v>
      </c>
    </row>
    <row r="4" spans="1:4">
      <c r="A4" s="482"/>
    </row>
    <row r="5" spans="1:4" ht="15" customHeight="1">
      <c r="A5" s="686" t="s">
        <v>610</v>
      </c>
      <c r="B5" s="687"/>
      <c r="C5" s="676" t="s">
        <v>611</v>
      </c>
      <c r="D5" s="690" t="s">
        <v>612</v>
      </c>
    </row>
    <row r="6" spans="1:4">
      <c r="A6" s="688"/>
      <c r="B6" s="689"/>
      <c r="C6" s="679"/>
      <c r="D6" s="690"/>
    </row>
    <row r="7" spans="1:4">
      <c r="A7" s="486">
        <v>1</v>
      </c>
      <c r="B7" s="486" t="s">
        <v>613</v>
      </c>
      <c r="C7" s="586">
        <v>64730877.587499999</v>
      </c>
      <c r="D7" s="508"/>
    </row>
    <row r="8" spans="1:4">
      <c r="A8" s="494">
        <v>2</v>
      </c>
      <c r="B8" s="494" t="s">
        <v>614</v>
      </c>
      <c r="C8" s="587">
        <v>12488468.696958546</v>
      </c>
      <c r="D8" s="508"/>
    </row>
    <row r="9" spans="1:4">
      <c r="A9" s="494">
        <v>3</v>
      </c>
      <c r="B9" s="509" t="s">
        <v>615</v>
      </c>
      <c r="C9" s="587">
        <v>0</v>
      </c>
      <c r="D9" s="508"/>
    </row>
    <row r="10" spans="1:4">
      <c r="A10" s="494">
        <v>4</v>
      </c>
      <c r="B10" s="494" t="s">
        <v>616</v>
      </c>
      <c r="C10" s="587">
        <f>SUM(C11:C18)</f>
        <v>12645517.274460128</v>
      </c>
      <c r="D10" s="508"/>
    </row>
    <row r="11" spans="1:4">
      <c r="A11" s="494">
        <v>5</v>
      </c>
      <c r="B11" s="510" t="s">
        <v>617</v>
      </c>
      <c r="C11" s="587">
        <v>2112961.6646999996</v>
      </c>
      <c r="D11" s="508"/>
    </row>
    <row r="12" spans="1:4">
      <c r="A12" s="494">
        <v>6</v>
      </c>
      <c r="B12" s="510" t="s">
        <v>618</v>
      </c>
      <c r="C12" s="587">
        <v>3616015.3707999974</v>
      </c>
      <c r="D12" s="508"/>
    </row>
    <row r="13" spans="1:4">
      <c r="A13" s="494">
        <v>7</v>
      </c>
      <c r="B13" s="510" t="s">
        <v>619</v>
      </c>
      <c r="C13" s="587">
        <v>4607510.2017297251</v>
      </c>
      <c r="D13" s="508"/>
    </row>
    <row r="14" spans="1:4">
      <c r="A14" s="494">
        <v>8</v>
      </c>
      <c r="B14" s="510" t="s">
        <v>620</v>
      </c>
      <c r="C14" s="587">
        <v>109546.7746</v>
      </c>
      <c r="D14" s="587">
        <v>0</v>
      </c>
    </row>
    <row r="15" spans="1:4">
      <c r="A15" s="494">
        <v>9</v>
      </c>
      <c r="B15" s="510" t="s">
        <v>621</v>
      </c>
      <c r="C15" s="587">
        <v>0</v>
      </c>
      <c r="D15" s="587">
        <v>0</v>
      </c>
    </row>
    <row r="16" spans="1:4">
      <c r="A16" s="494">
        <v>10</v>
      </c>
      <c r="B16" s="510" t="s">
        <v>622</v>
      </c>
      <c r="C16" s="587">
        <v>1431100.4</v>
      </c>
      <c r="D16" s="508"/>
    </row>
    <row r="17" spans="1:4">
      <c r="A17" s="494">
        <v>11</v>
      </c>
      <c r="B17" s="510" t="s">
        <v>623</v>
      </c>
      <c r="C17" s="587">
        <v>0</v>
      </c>
      <c r="D17" s="587">
        <v>0</v>
      </c>
    </row>
    <row r="18" spans="1:4" ht="25.5">
      <c r="A18" s="494">
        <v>12</v>
      </c>
      <c r="B18" s="510" t="s">
        <v>624</v>
      </c>
      <c r="C18" s="587">
        <v>768382.86263040465</v>
      </c>
      <c r="D18" s="508"/>
    </row>
    <row r="19" spans="1:4">
      <c r="A19" s="486">
        <v>13</v>
      </c>
      <c r="B19" s="511" t="s">
        <v>625</v>
      </c>
      <c r="C19" s="586">
        <f>C7+C8+C9-C10</f>
        <v>64573829.009998418</v>
      </c>
      <c r="D19" s="512"/>
    </row>
    <row r="22" spans="1:4">
      <c r="B22" s="480"/>
    </row>
    <row r="23" spans="1:4">
      <c r="B23" s="480"/>
    </row>
    <row r="24" spans="1:4">
      <c r="B24" s="48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C10" sqref="C10"/>
    </sheetView>
  </sheetViews>
  <sheetFormatPr defaultColWidth="9.140625" defaultRowHeight="12.75"/>
  <cols>
    <col min="1" max="1" width="11.85546875" style="481" bestFit="1" customWidth="1"/>
    <col min="2" max="2" width="80.7109375" style="481" customWidth="1"/>
    <col min="3" max="3" width="15.5703125" style="481" customWidth="1"/>
    <col min="4" max="5" width="22.28515625" style="481" customWidth="1"/>
    <col min="6" max="6" width="23.42578125" style="481" customWidth="1"/>
    <col min="7" max="14" width="22.28515625" style="481" customWidth="1"/>
    <col min="15" max="15" width="23.28515625" style="481" bestFit="1" customWidth="1"/>
    <col min="16" max="16" width="21.7109375" style="481" bestFit="1" customWidth="1"/>
    <col min="17" max="19" width="19" style="481" bestFit="1" customWidth="1"/>
    <col min="20" max="20" width="16.140625" style="481" customWidth="1"/>
    <col min="21" max="21" width="10.42578125" style="481" bestFit="1" customWidth="1"/>
    <col min="22" max="22" width="20" style="481" customWidth="1"/>
    <col min="23" max="16384" width="9.140625" style="481"/>
  </cols>
  <sheetData>
    <row r="1" spans="1:22">
      <c r="A1" s="480" t="s">
        <v>188</v>
      </c>
      <c r="B1" s="621" t="str">
        <f>'1. key ratios'!B1</f>
        <v>ს.ს. "ტერაბანკი"</v>
      </c>
    </row>
    <row r="2" spans="1:22">
      <c r="A2" s="480" t="s">
        <v>189</v>
      </c>
      <c r="B2" s="490"/>
      <c r="C2" s="490"/>
    </row>
    <row r="3" spans="1:22">
      <c r="A3" s="482" t="s">
        <v>626</v>
      </c>
      <c r="B3" s="483">
        <f>'1. key ratios'!B2</f>
        <v>44469</v>
      </c>
    </row>
    <row r="5" spans="1:22" ht="15" customHeight="1">
      <c r="A5" s="676" t="s">
        <v>627</v>
      </c>
      <c r="B5" s="678"/>
      <c r="C5" s="693" t="s">
        <v>628</v>
      </c>
      <c r="D5" s="694"/>
      <c r="E5" s="694"/>
      <c r="F5" s="694"/>
      <c r="G5" s="694"/>
      <c r="H5" s="694"/>
      <c r="I5" s="694"/>
      <c r="J5" s="694"/>
      <c r="K5" s="694"/>
      <c r="L5" s="694"/>
      <c r="M5" s="694"/>
      <c r="N5" s="694"/>
      <c r="O5" s="694"/>
      <c r="P5" s="694"/>
      <c r="Q5" s="694"/>
      <c r="R5" s="694"/>
      <c r="S5" s="694"/>
      <c r="T5" s="694"/>
      <c r="U5" s="695"/>
      <c r="V5" s="513"/>
    </row>
    <row r="6" spans="1:22">
      <c r="A6" s="691"/>
      <c r="B6" s="692"/>
      <c r="C6" s="696" t="s">
        <v>68</v>
      </c>
      <c r="D6" s="698" t="s">
        <v>629</v>
      </c>
      <c r="E6" s="698"/>
      <c r="F6" s="683"/>
      <c r="G6" s="699" t="s">
        <v>630</v>
      </c>
      <c r="H6" s="700"/>
      <c r="I6" s="700"/>
      <c r="J6" s="700"/>
      <c r="K6" s="701"/>
      <c r="L6" s="514"/>
      <c r="M6" s="702" t="s">
        <v>631</v>
      </c>
      <c r="N6" s="702"/>
      <c r="O6" s="683"/>
      <c r="P6" s="683"/>
      <c r="Q6" s="683"/>
      <c r="R6" s="683"/>
      <c r="S6" s="683"/>
      <c r="T6" s="683"/>
      <c r="U6" s="683"/>
      <c r="V6" s="514"/>
    </row>
    <row r="7" spans="1:22" ht="25.5">
      <c r="A7" s="679"/>
      <c r="B7" s="681"/>
      <c r="C7" s="697"/>
      <c r="D7" s="601"/>
      <c r="E7" s="492" t="s">
        <v>632</v>
      </c>
      <c r="F7" s="492" t="s">
        <v>633</v>
      </c>
      <c r="G7" s="490"/>
      <c r="H7" s="492" t="s">
        <v>632</v>
      </c>
      <c r="I7" s="492" t="s">
        <v>659</v>
      </c>
      <c r="J7" s="492" t="s">
        <v>634</v>
      </c>
      <c r="K7" s="492" t="s">
        <v>635</v>
      </c>
      <c r="L7" s="527"/>
      <c r="M7" s="526" t="s">
        <v>636</v>
      </c>
      <c r="N7" s="492" t="s">
        <v>634</v>
      </c>
      <c r="O7" s="492" t="s">
        <v>637</v>
      </c>
      <c r="P7" s="492" t="s">
        <v>638</v>
      </c>
      <c r="Q7" s="492" t="s">
        <v>639</v>
      </c>
      <c r="R7" s="492" t="s">
        <v>640</v>
      </c>
      <c r="S7" s="492" t="s">
        <v>641</v>
      </c>
      <c r="T7" s="600" t="s">
        <v>642</v>
      </c>
      <c r="U7" s="492" t="s">
        <v>643</v>
      </c>
      <c r="V7" s="513"/>
    </row>
    <row r="8" spans="1:22">
      <c r="A8" s="515">
        <v>1</v>
      </c>
      <c r="B8" s="486" t="s">
        <v>644</v>
      </c>
      <c r="C8" s="586">
        <v>933507766.64999914</v>
      </c>
      <c r="D8" s="587">
        <v>754043137.50999892</v>
      </c>
      <c r="E8" s="587">
        <v>22124786.200000003</v>
      </c>
      <c r="F8" s="587">
        <v>0</v>
      </c>
      <c r="G8" s="587">
        <v>114890800.13000005</v>
      </c>
      <c r="H8" s="587">
        <v>9866629.2599999998</v>
      </c>
      <c r="I8" s="587">
        <v>5313595.709999999</v>
      </c>
      <c r="J8" s="587">
        <v>1646845.1</v>
      </c>
      <c r="K8" s="587">
        <v>283130.96999999997</v>
      </c>
      <c r="L8" s="587">
        <v>64573829.009998485</v>
      </c>
      <c r="M8" s="587">
        <v>10703087.689999999</v>
      </c>
      <c r="N8" s="587">
        <v>1648751.0399999998</v>
      </c>
      <c r="O8" s="587">
        <v>6437066.5800000001</v>
      </c>
      <c r="P8" s="587">
        <v>5652840.4799999986</v>
      </c>
      <c r="Q8" s="587">
        <v>2862152.4800000004</v>
      </c>
      <c r="R8" s="587">
        <v>163352.38</v>
      </c>
      <c r="S8" s="587">
        <v>0</v>
      </c>
      <c r="T8" s="587">
        <v>0</v>
      </c>
      <c r="U8" s="587">
        <v>1067071.5099985218</v>
      </c>
    </row>
    <row r="9" spans="1:22">
      <c r="A9" s="494">
        <v>1.1000000000000001</v>
      </c>
      <c r="B9" s="516" t="s">
        <v>645</v>
      </c>
      <c r="C9" s="589"/>
      <c r="D9" s="587"/>
      <c r="E9" s="587"/>
      <c r="F9" s="587"/>
      <c r="G9" s="587"/>
      <c r="H9" s="587"/>
      <c r="I9" s="587"/>
      <c r="J9" s="587"/>
      <c r="K9" s="587"/>
      <c r="L9" s="587"/>
      <c r="M9" s="587"/>
      <c r="N9" s="587"/>
      <c r="O9" s="587"/>
      <c r="P9" s="587"/>
      <c r="Q9" s="587"/>
      <c r="R9" s="587"/>
      <c r="S9" s="587"/>
      <c r="T9" s="587"/>
      <c r="U9" s="587"/>
    </row>
    <row r="10" spans="1:22">
      <c r="A10" s="494">
        <v>1.2</v>
      </c>
      <c r="B10" s="516" t="s">
        <v>646</v>
      </c>
      <c r="C10" s="589"/>
      <c r="D10" s="587"/>
      <c r="E10" s="587"/>
      <c r="F10" s="587"/>
      <c r="G10" s="587"/>
      <c r="H10" s="587"/>
      <c r="I10" s="587"/>
      <c r="J10" s="587"/>
      <c r="K10" s="587"/>
      <c r="L10" s="587"/>
      <c r="M10" s="587"/>
      <c r="N10" s="587"/>
      <c r="O10" s="587"/>
      <c r="P10" s="587"/>
      <c r="Q10" s="587"/>
      <c r="R10" s="587"/>
      <c r="S10" s="587"/>
      <c r="T10" s="587"/>
      <c r="U10" s="587"/>
    </row>
    <row r="11" spans="1:22">
      <c r="A11" s="494">
        <v>1.3</v>
      </c>
      <c r="B11" s="516" t="s">
        <v>647</v>
      </c>
      <c r="C11" s="589"/>
      <c r="D11" s="587"/>
      <c r="E11" s="587"/>
      <c r="F11" s="587"/>
      <c r="G11" s="587"/>
      <c r="H11" s="587"/>
      <c r="I11" s="587"/>
      <c r="J11" s="587"/>
      <c r="K11" s="587"/>
      <c r="L11" s="587"/>
      <c r="M11" s="587"/>
      <c r="N11" s="587"/>
      <c r="O11" s="587"/>
      <c r="P11" s="587"/>
      <c r="Q11" s="587"/>
      <c r="R11" s="587"/>
      <c r="S11" s="587"/>
      <c r="T11" s="587"/>
      <c r="U11" s="587"/>
    </row>
    <row r="12" spans="1:22">
      <c r="A12" s="494">
        <v>1.4</v>
      </c>
      <c r="B12" s="516" t="s">
        <v>648</v>
      </c>
      <c r="C12" s="589">
        <v>37658491.75</v>
      </c>
      <c r="D12" s="587">
        <v>37180203.57</v>
      </c>
      <c r="E12" s="587">
        <v>0</v>
      </c>
      <c r="F12" s="587">
        <v>0</v>
      </c>
      <c r="G12" s="587">
        <v>79370.66</v>
      </c>
      <c r="H12" s="587">
        <v>79370.66</v>
      </c>
      <c r="I12" s="587">
        <v>0</v>
      </c>
      <c r="J12" s="587">
        <v>0</v>
      </c>
      <c r="K12" s="587">
        <v>0</v>
      </c>
      <c r="L12" s="587">
        <v>398917.52</v>
      </c>
      <c r="M12" s="587">
        <v>0</v>
      </c>
      <c r="N12" s="587">
        <v>0</v>
      </c>
      <c r="O12" s="587">
        <v>58038.89</v>
      </c>
      <c r="P12" s="587">
        <v>0</v>
      </c>
      <c r="Q12" s="587">
        <v>0</v>
      </c>
      <c r="R12" s="587">
        <v>0</v>
      </c>
      <c r="S12" s="587">
        <v>0</v>
      </c>
      <c r="T12" s="587">
        <v>0</v>
      </c>
      <c r="U12" s="587">
        <v>0</v>
      </c>
    </row>
    <row r="13" spans="1:22">
      <c r="A13" s="494">
        <v>1.5</v>
      </c>
      <c r="B13" s="516" t="s">
        <v>649</v>
      </c>
      <c r="C13" s="589">
        <v>414441839.33999991</v>
      </c>
      <c r="D13" s="587">
        <v>334817224.80999988</v>
      </c>
      <c r="E13" s="587">
        <v>13289494.080000002</v>
      </c>
      <c r="F13" s="587">
        <v>0</v>
      </c>
      <c r="G13" s="587">
        <v>57132167.930000022</v>
      </c>
      <c r="H13" s="587">
        <v>7729601.3200000012</v>
      </c>
      <c r="I13" s="587">
        <v>3143608.2599999993</v>
      </c>
      <c r="J13" s="587">
        <v>701257.29</v>
      </c>
      <c r="K13" s="587">
        <v>283130.96999999997</v>
      </c>
      <c r="L13" s="587">
        <v>22492446.599999994</v>
      </c>
      <c r="M13" s="587">
        <v>5064039.12</v>
      </c>
      <c r="N13" s="587">
        <v>480333.48</v>
      </c>
      <c r="O13" s="587">
        <v>2453234.7399999998</v>
      </c>
      <c r="P13" s="587">
        <v>1712380.42</v>
      </c>
      <c r="Q13" s="587">
        <v>1405923.0400000003</v>
      </c>
      <c r="R13" s="587">
        <v>0</v>
      </c>
      <c r="S13" s="587">
        <v>0</v>
      </c>
      <c r="T13" s="587">
        <v>0</v>
      </c>
      <c r="U13" s="587">
        <v>154828.09999999998</v>
      </c>
    </row>
    <row r="14" spans="1:22">
      <c r="A14" s="494">
        <v>1.6</v>
      </c>
      <c r="B14" s="516" t="s">
        <v>650</v>
      </c>
      <c r="C14" s="589">
        <v>481407435.55999917</v>
      </c>
      <c r="D14" s="587">
        <v>382045709.12999904</v>
      </c>
      <c r="E14" s="587">
        <v>8835292.1199999992</v>
      </c>
      <c r="F14" s="587">
        <v>0</v>
      </c>
      <c r="G14" s="587">
        <v>57679261.540000044</v>
      </c>
      <c r="H14" s="587">
        <v>2057657.2799999991</v>
      </c>
      <c r="I14" s="587">
        <v>2169987.4499999993</v>
      </c>
      <c r="J14" s="587">
        <v>945587.80999999994</v>
      </c>
      <c r="K14" s="587">
        <v>0</v>
      </c>
      <c r="L14" s="587">
        <v>41682464.889998496</v>
      </c>
      <c r="M14" s="587">
        <v>5639048.5699999994</v>
      </c>
      <c r="N14" s="587">
        <v>1168417.5599999998</v>
      </c>
      <c r="O14" s="587">
        <v>3925792.95</v>
      </c>
      <c r="P14" s="587">
        <v>3940460.0599999991</v>
      </c>
      <c r="Q14" s="587">
        <v>1456229.4400000002</v>
      </c>
      <c r="R14" s="587">
        <v>163352.38</v>
      </c>
      <c r="S14" s="587">
        <v>0</v>
      </c>
      <c r="T14" s="587">
        <v>0</v>
      </c>
      <c r="U14" s="587">
        <v>912243.40999852167</v>
      </c>
    </row>
    <row r="15" spans="1:22">
      <c r="A15" s="515">
        <v>2</v>
      </c>
      <c r="B15" s="486" t="s">
        <v>651</v>
      </c>
      <c r="C15" s="586">
        <v>127105313.36999999</v>
      </c>
      <c r="D15" s="587">
        <v>127105313.36999999</v>
      </c>
      <c r="E15" s="587">
        <v>0</v>
      </c>
      <c r="F15" s="587">
        <v>0</v>
      </c>
      <c r="G15" s="587">
        <v>0</v>
      </c>
      <c r="H15" s="587">
        <v>0</v>
      </c>
      <c r="I15" s="587">
        <v>0</v>
      </c>
      <c r="J15" s="587">
        <v>0</v>
      </c>
      <c r="K15" s="587">
        <v>0</v>
      </c>
      <c r="L15" s="587">
        <v>0</v>
      </c>
      <c r="M15" s="587">
        <v>0</v>
      </c>
      <c r="N15" s="587">
        <v>0</v>
      </c>
      <c r="O15" s="587">
        <v>0</v>
      </c>
      <c r="P15" s="587">
        <v>0</v>
      </c>
      <c r="Q15" s="587">
        <v>0</v>
      </c>
      <c r="R15" s="587">
        <v>0</v>
      </c>
      <c r="S15" s="587">
        <v>0</v>
      </c>
      <c r="T15" s="587">
        <v>0</v>
      </c>
      <c r="U15" s="587">
        <v>0</v>
      </c>
    </row>
    <row r="16" spans="1:22">
      <c r="A16" s="494">
        <v>2.1</v>
      </c>
      <c r="B16" s="516" t="s">
        <v>645</v>
      </c>
      <c r="C16" s="589">
        <v>18231978.27</v>
      </c>
      <c r="D16" s="587">
        <v>18231978.27</v>
      </c>
      <c r="E16" s="587">
        <v>0</v>
      </c>
      <c r="F16" s="587">
        <v>0</v>
      </c>
      <c r="G16" s="587">
        <v>0</v>
      </c>
      <c r="H16" s="587">
        <v>0</v>
      </c>
      <c r="I16" s="587">
        <v>0</v>
      </c>
      <c r="J16" s="587">
        <v>0</v>
      </c>
      <c r="K16" s="587">
        <v>0</v>
      </c>
      <c r="L16" s="587">
        <v>0</v>
      </c>
      <c r="M16" s="587">
        <v>0</v>
      </c>
      <c r="N16" s="587">
        <v>0</v>
      </c>
      <c r="O16" s="587">
        <v>0</v>
      </c>
      <c r="P16" s="587">
        <v>0</v>
      </c>
      <c r="Q16" s="587">
        <v>0</v>
      </c>
      <c r="R16" s="587">
        <v>0</v>
      </c>
      <c r="S16" s="587">
        <v>0</v>
      </c>
      <c r="T16" s="587">
        <v>0</v>
      </c>
      <c r="U16" s="587">
        <v>0</v>
      </c>
    </row>
    <row r="17" spans="1:21">
      <c r="A17" s="494">
        <v>2.2000000000000002</v>
      </c>
      <c r="B17" s="516" t="s">
        <v>646</v>
      </c>
      <c r="C17" s="589">
        <v>74873335.099999994</v>
      </c>
      <c r="D17" s="587">
        <v>74873335.099999994</v>
      </c>
      <c r="E17" s="587">
        <v>0</v>
      </c>
      <c r="F17" s="587">
        <v>0</v>
      </c>
      <c r="G17" s="587">
        <v>0</v>
      </c>
      <c r="H17" s="587">
        <v>0</v>
      </c>
      <c r="I17" s="587">
        <v>0</v>
      </c>
      <c r="J17" s="587">
        <v>0</v>
      </c>
      <c r="K17" s="587">
        <v>0</v>
      </c>
      <c r="L17" s="587">
        <v>0</v>
      </c>
      <c r="M17" s="587">
        <v>0</v>
      </c>
      <c r="N17" s="587">
        <v>0</v>
      </c>
      <c r="O17" s="587">
        <v>0</v>
      </c>
      <c r="P17" s="587">
        <v>0</v>
      </c>
      <c r="Q17" s="587">
        <v>0</v>
      </c>
      <c r="R17" s="587">
        <v>0</v>
      </c>
      <c r="S17" s="587">
        <v>0</v>
      </c>
      <c r="T17" s="587">
        <v>0</v>
      </c>
      <c r="U17" s="587">
        <v>0</v>
      </c>
    </row>
    <row r="18" spans="1:21">
      <c r="A18" s="494">
        <v>2.2999999999999998</v>
      </c>
      <c r="B18" s="516" t="s">
        <v>647</v>
      </c>
      <c r="C18" s="589">
        <v>0</v>
      </c>
      <c r="D18" s="587">
        <v>0</v>
      </c>
      <c r="E18" s="587">
        <v>0</v>
      </c>
      <c r="F18" s="587">
        <v>0</v>
      </c>
      <c r="G18" s="587">
        <v>0</v>
      </c>
      <c r="H18" s="587">
        <v>0</v>
      </c>
      <c r="I18" s="587">
        <v>0</v>
      </c>
      <c r="J18" s="587">
        <v>0</v>
      </c>
      <c r="K18" s="587">
        <v>0</v>
      </c>
      <c r="L18" s="587">
        <v>0</v>
      </c>
      <c r="M18" s="587">
        <v>0</v>
      </c>
      <c r="N18" s="587">
        <v>0</v>
      </c>
      <c r="O18" s="587">
        <v>0</v>
      </c>
      <c r="P18" s="587">
        <v>0</v>
      </c>
      <c r="Q18" s="587">
        <v>0</v>
      </c>
      <c r="R18" s="587">
        <v>0</v>
      </c>
      <c r="S18" s="587">
        <v>0</v>
      </c>
      <c r="T18" s="587">
        <v>0</v>
      </c>
      <c r="U18" s="587">
        <v>0</v>
      </c>
    </row>
    <row r="19" spans="1:21">
      <c r="A19" s="494">
        <v>2.4</v>
      </c>
      <c r="B19" s="516" t="s">
        <v>648</v>
      </c>
      <c r="C19" s="589">
        <v>34000000</v>
      </c>
      <c r="D19" s="587">
        <v>34000000</v>
      </c>
      <c r="E19" s="587">
        <v>0</v>
      </c>
      <c r="F19" s="587">
        <v>0</v>
      </c>
      <c r="G19" s="587">
        <v>0</v>
      </c>
      <c r="H19" s="587">
        <v>0</v>
      </c>
      <c r="I19" s="587">
        <v>0</v>
      </c>
      <c r="J19" s="587">
        <v>0</v>
      </c>
      <c r="K19" s="587">
        <v>0</v>
      </c>
      <c r="L19" s="587">
        <v>0</v>
      </c>
      <c r="M19" s="587">
        <v>0</v>
      </c>
      <c r="N19" s="587">
        <v>0</v>
      </c>
      <c r="O19" s="587">
        <v>0</v>
      </c>
      <c r="P19" s="587">
        <v>0</v>
      </c>
      <c r="Q19" s="587">
        <v>0</v>
      </c>
      <c r="R19" s="587">
        <v>0</v>
      </c>
      <c r="S19" s="587">
        <v>0</v>
      </c>
      <c r="T19" s="587">
        <v>0</v>
      </c>
      <c r="U19" s="587">
        <v>0</v>
      </c>
    </row>
    <row r="20" spans="1:21">
      <c r="A20" s="494">
        <v>2.5</v>
      </c>
      <c r="B20" s="516" t="s">
        <v>649</v>
      </c>
      <c r="C20" s="589">
        <v>0</v>
      </c>
      <c r="D20" s="587">
        <v>0</v>
      </c>
      <c r="E20" s="587">
        <v>0</v>
      </c>
      <c r="F20" s="587">
        <v>0</v>
      </c>
      <c r="G20" s="587">
        <v>0</v>
      </c>
      <c r="H20" s="587">
        <v>0</v>
      </c>
      <c r="I20" s="587">
        <v>0</v>
      </c>
      <c r="J20" s="587">
        <v>0</v>
      </c>
      <c r="K20" s="587">
        <v>0</v>
      </c>
      <c r="L20" s="587">
        <v>0</v>
      </c>
      <c r="M20" s="587">
        <v>0</v>
      </c>
      <c r="N20" s="587">
        <v>0</v>
      </c>
      <c r="O20" s="587">
        <v>0</v>
      </c>
      <c r="P20" s="587">
        <v>0</v>
      </c>
      <c r="Q20" s="587">
        <v>0</v>
      </c>
      <c r="R20" s="587">
        <v>0</v>
      </c>
      <c r="S20" s="587">
        <v>0</v>
      </c>
      <c r="T20" s="587">
        <v>0</v>
      </c>
      <c r="U20" s="587">
        <v>0</v>
      </c>
    </row>
    <row r="21" spans="1:21">
      <c r="A21" s="494">
        <v>2.6</v>
      </c>
      <c r="B21" s="516" t="s">
        <v>650</v>
      </c>
      <c r="C21" s="589">
        <v>0</v>
      </c>
      <c r="D21" s="587">
        <v>0</v>
      </c>
      <c r="E21" s="587">
        <v>0</v>
      </c>
      <c r="F21" s="587">
        <v>0</v>
      </c>
      <c r="G21" s="587">
        <v>0</v>
      </c>
      <c r="H21" s="587">
        <v>0</v>
      </c>
      <c r="I21" s="587">
        <v>0</v>
      </c>
      <c r="J21" s="587">
        <v>0</v>
      </c>
      <c r="K21" s="587">
        <v>0</v>
      </c>
      <c r="L21" s="587">
        <v>0</v>
      </c>
      <c r="M21" s="587">
        <v>0</v>
      </c>
      <c r="N21" s="587">
        <v>0</v>
      </c>
      <c r="O21" s="587">
        <v>0</v>
      </c>
      <c r="P21" s="587">
        <v>0</v>
      </c>
      <c r="Q21" s="587">
        <v>0</v>
      </c>
      <c r="R21" s="587">
        <v>0</v>
      </c>
      <c r="S21" s="587">
        <v>0</v>
      </c>
      <c r="T21" s="587">
        <v>0</v>
      </c>
      <c r="U21" s="587">
        <v>0</v>
      </c>
    </row>
    <row r="22" spans="1:21">
      <c r="A22" s="515">
        <v>3</v>
      </c>
      <c r="B22" s="486" t="s">
        <v>652</v>
      </c>
      <c r="C22" s="586">
        <v>82621386.997800082</v>
      </c>
      <c r="D22" s="587">
        <v>54166235.712999992</v>
      </c>
      <c r="E22" s="587">
        <v>2440000</v>
      </c>
      <c r="F22" s="590"/>
      <c r="G22" s="587">
        <v>0</v>
      </c>
      <c r="H22" s="590"/>
      <c r="I22" s="590"/>
      <c r="J22" s="590"/>
      <c r="K22" s="590"/>
      <c r="L22" s="587">
        <v>0</v>
      </c>
      <c r="M22" s="590"/>
      <c r="N22" s="590"/>
      <c r="O22" s="590"/>
      <c r="P22" s="590"/>
      <c r="Q22" s="590"/>
      <c r="R22" s="590"/>
      <c r="S22" s="590"/>
      <c r="T22" s="590"/>
      <c r="U22" s="587">
        <v>0</v>
      </c>
    </row>
    <row r="23" spans="1:21">
      <c r="A23" s="494">
        <v>3.1</v>
      </c>
      <c r="B23" s="516" t="s">
        <v>645</v>
      </c>
      <c r="C23" s="589">
        <v>0</v>
      </c>
      <c r="D23" s="587">
        <v>0</v>
      </c>
      <c r="E23" s="587">
        <v>0</v>
      </c>
      <c r="F23" s="590"/>
      <c r="G23" s="587">
        <v>0</v>
      </c>
      <c r="H23" s="590"/>
      <c r="I23" s="590"/>
      <c r="J23" s="590"/>
      <c r="K23" s="590"/>
      <c r="L23" s="587">
        <v>0</v>
      </c>
      <c r="M23" s="590"/>
      <c r="N23" s="590"/>
      <c r="O23" s="590"/>
      <c r="P23" s="590"/>
      <c r="Q23" s="590"/>
      <c r="R23" s="590"/>
      <c r="S23" s="590"/>
      <c r="T23" s="590"/>
      <c r="U23" s="587">
        <v>0</v>
      </c>
    </row>
    <row r="24" spans="1:21">
      <c r="A24" s="494">
        <v>3.2</v>
      </c>
      <c r="B24" s="516" t="s">
        <v>646</v>
      </c>
      <c r="C24" s="589">
        <v>0</v>
      </c>
      <c r="D24" s="587">
        <v>0</v>
      </c>
      <c r="E24" s="587">
        <v>0</v>
      </c>
      <c r="F24" s="590"/>
      <c r="G24" s="587">
        <v>0</v>
      </c>
      <c r="H24" s="590"/>
      <c r="I24" s="590"/>
      <c r="J24" s="590"/>
      <c r="K24" s="590"/>
      <c r="L24" s="587">
        <v>0</v>
      </c>
      <c r="M24" s="590"/>
      <c r="N24" s="590"/>
      <c r="O24" s="590"/>
      <c r="P24" s="590"/>
      <c r="Q24" s="590"/>
      <c r="R24" s="590"/>
      <c r="S24" s="590"/>
      <c r="T24" s="590"/>
      <c r="U24" s="587">
        <v>0</v>
      </c>
    </row>
    <row r="25" spans="1:21">
      <c r="A25" s="494">
        <v>3.3</v>
      </c>
      <c r="B25" s="516" t="s">
        <v>647</v>
      </c>
      <c r="C25" s="589">
        <v>0</v>
      </c>
      <c r="D25" s="587">
        <v>0</v>
      </c>
      <c r="E25" s="587">
        <v>0</v>
      </c>
      <c r="F25" s="590"/>
      <c r="G25" s="587">
        <v>0</v>
      </c>
      <c r="H25" s="590"/>
      <c r="I25" s="590"/>
      <c r="J25" s="590"/>
      <c r="K25" s="590"/>
      <c r="L25" s="587">
        <v>0</v>
      </c>
      <c r="M25" s="590"/>
      <c r="N25" s="590"/>
      <c r="O25" s="590"/>
      <c r="P25" s="590"/>
      <c r="Q25" s="590"/>
      <c r="R25" s="590"/>
      <c r="S25" s="590"/>
      <c r="T25" s="590"/>
      <c r="U25" s="587">
        <v>0</v>
      </c>
    </row>
    <row r="26" spans="1:21">
      <c r="A26" s="494">
        <v>3.4</v>
      </c>
      <c r="B26" s="516" t="s">
        <v>648</v>
      </c>
      <c r="C26" s="589">
        <v>2499512.9470000002</v>
      </c>
      <c r="D26" s="587">
        <v>601140</v>
      </c>
      <c r="E26" s="587">
        <v>0</v>
      </c>
      <c r="F26" s="590"/>
      <c r="G26" s="587">
        <v>0</v>
      </c>
      <c r="H26" s="590"/>
      <c r="I26" s="590"/>
      <c r="J26" s="590"/>
      <c r="K26" s="590"/>
      <c r="L26" s="587">
        <v>0</v>
      </c>
      <c r="M26" s="590"/>
      <c r="N26" s="590"/>
      <c r="O26" s="590"/>
      <c r="P26" s="590"/>
      <c r="Q26" s="590"/>
      <c r="R26" s="590"/>
      <c r="S26" s="590"/>
      <c r="T26" s="590"/>
      <c r="U26" s="587">
        <v>0</v>
      </c>
    </row>
    <row r="27" spans="1:21">
      <c r="A27" s="494">
        <v>3.5</v>
      </c>
      <c r="B27" s="516" t="s">
        <v>649</v>
      </c>
      <c r="C27" s="589">
        <v>80121874.050800085</v>
      </c>
      <c r="D27" s="587">
        <v>53565095.712999992</v>
      </c>
      <c r="E27" s="587">
        <v>2440000</v>
      </c>
      <c r="F27" s="590"/>
      <c r="G27" s="587">
        <v>1069018.0677</v>
      </c>
      <c r="H27" s="590"/>
      <c r="I27" s="590"/>
      <c r="J27" s="590"/>
      <c r="K27" s="590"/>
      <c r="L27" s="587">
        <v>49510</v>
      </c>
      <c r="M27" s="590"/>
      <c r="N27" s="590"/>
      <c r="O27" s="590"/>
      <c r="P27" s="590"/>
      <c r="Q27" s="590"/>
      <c r="R27" s="590"/>
      <c r="S27" s="590"/>
      <c r="T27" s="590"/>
      <c r="U27" s="587">
        <v>0</v>
      </c>
    </row>
    <row r="28" spans="1:21">
      <c r="A28" s="494">
        <v>3.6</v>
      </c>
      <c r="B28" s="516" t="s">
        <v>650</v>
      </c>
      <c r="C28" s="589">
        <v>0</v>
      </c>
      <c r="D28" s="587">
        <v>0</v>
      </c>
      <c r="E28" s="587">
        <v>0</v>
      </c>
      <c r="F28" s="590"/>
      <c r="G28" s="587">
        <v>0</v>
      </c>
      <c r="H28" s="590"/>
      <c r="I28" s="590"/>
      <c r="J28" s="590"/>
      <c r="K28" s="590"/>
      <c r="L28" s="587">
        <v>0</v>
      </c>
      <c r="M28" s="590"/>
      <c r="N28" s="590"/>
      <c r="O28" s="590"/>
      <c r="P28" s="590"/>
      <c r="Q28" s="590"/>
      <c r="R28" s="590"/>
      <c r="S28" s="590"/>
      <c r="T28" s="590"/>
      <c r="U28" s="587">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heetViews>
  <sheetFormatPr defaultColWidth="9.140625" defaultRowHeight="12.75"/>
  <cols>
    <col min="1" max="1" width="11.85546875" style="481" bestFit="1" customWidth="1"/>
    <col min="2" max="2" width="90.28515625" style="481" bestFit="1" customWidth="1"/>
    <col min="3" max="3" width="20.140625" style="481" customWidth="1"/>
    <col min="4" max="4" width="22.28515625" style="481" customWidth="1"/>
    <col min="5" max="5" width="17.140625" style="481" customWidth="1"/>
    <col min="6" max="7" width="22.28515625" style="481" customWidth="1"/>
    <col min="8" max="8" width="17.140625" style="481" customWidth="1"/>
    <col min="9" max="14" width="22.28515625" style="481" customWidth="1"/>
    <col min="15" max="15" width="23.28515625" style="481" bestFit="1" customWidth="1"/>
    <col min="16" max="16" width="21.7109375" style="481" bestFit="1" customWidth="1"/>
    <col min="17" max="19" width="19" style="481" bestFit="1" customWidth="1"/>
    <col min="20" max="20" width="15.42578125" style="481" customWidth="1"/>
    <col min="21" max="21" width="20" style="481" customWidth="1"/>
    <col min="22" max="16384" width="9.140625" style="481"/>
  </cols>
  <sheetData>
    <row r="1" spans="1:21">
      <c r="A1" s="480" t="s">
        <v>188</v>
      </c>
      <c r="B1" s="621" t="str">
        <f>'1. key ratios'!B1</f>
        <v>ს.ს. "ტერაბანკი"</v>
      </c>
    </row>
    <row r="2" spans="1:21">
      <c r="A2" s="480" t="s">
        <v>189</v>
      </c>
    </row>
    <row r="3" spans="1:21">
      <c r="A3" s="482" t="s">
        <v>653</v>
      </c>
      <c r="B3" s="483">
        <f>'1. key ratios'!B2</f>
        <v>44469</v>
      </c>
      <c r="C3" s="483"/>
    </row>
    <row r="4" spans="1:21">
      <c r="A4" s="482"/>
      <c r="B4" s="483"/>
      <c r="C4" s="483"/>
    </row>
    <row r="5" spans="1:21" ht="13.5" customHeight="1">
      <c r="A5" s="703" t="s">
        <v>654</v>
      </c>
      <c r="B5" s="704"/>
      <c r="C5" s="709" t="s">
        <v>655</v>
      </c>
      <c r="D5" s="710"/>
      <c r="E5" s="710"/>
      <c r="F5" s="710"/>
      <c r="G5" s="710"/>
      <c r="H5" s="710"/>
      <c r="I5" s="710"/>
      <c r="J5" s="710"/>
      <c r="K5" s="710"/>
      <c r="L5" s="710"/>
      <c r="M5" s="710"/>
      <c r="N5" s="710"/>
      <c r="O5" s="710"/>
      <c r="P5" s="710"/>
      <c r="Q5" s="710"/>
      <c r="R5" s="710"/>
      <c r="S5" s="710"/>
      <c r="T5" s="711"/>
      <c r="U5" s="513"/>
    </row>
    <row r="6" spans="1:21">
      <c r="A6" s="705"/>
      <c r="B6" s="706"/>
      <c r="C6" s="690" t="s">
        <v>68</v>
      </c>
      <c r="D6" s="709" t="s">
        <v>656</v>
      </c>
      <c r="E6" s="710"/>
      <c r="F6" s="711"/>
      <c r="G6" s="709" t="s">
        <v>657</v>
      </c>
      <c r="H6" s="710"/>
      <c r="I6" s="710"/>
      <c r="J6" s="710"/>
      <c r="K6" s="711"/>
      <c r="L6" s="712" t="s">
        <v>658</v>
      </c>
      <c r="M6" s="713"/>
      <c r="N6" s="713"/>
      <c r="O6" s="713"/>
      <c r="P6" s="713"/>
      <c r="Q6" s="713"/>
      <c r="R6" s="713"/>
      <c r="S6" s="713"/>
      <c r="T6" s="714"/>
      <c r="U6" s="514"/>
    </row>
    <row r="7" spans="1:21" ht="25.5">
      <c r="A7" s="707"/>
      <c r="B7" s="708"/>
      <c r="C7" s="690"/>
      <c r="E7" s="526" t="s">
        <v>632</v>
      </c>
      <c r="F7" s="492" t="s">
        <v>633</v>
      </c>
      <c r="H7" s="526" t="s">
        <v>632</v>
      </c>
      <c r="I7" s="492" t="s">
        <v>659</v>
      </c>
      <c r="J7" s="492" t="s">
        <v>634</v>
      </c>
      <c r="K7" s="492" t="s">
        <v>635</v>
      </c>
      <c r="L7" s="517"/>
      <c r="M7" s="526" t="s">
        <v>636</v>
      </c>
      <c r="N7" s="492" t="s">
        <v>634</v>
      </c>
      <c r="O7" s="492" t="s">
        <v>637</v>
      </c>
      <c r="P7" s="492" t="s">
        <v>638</v>
      </c>
      <c r="Q7" s="492" t="s">
        <v>639</v>
      </c>
      <c r="R7" s="492" t="s">
        <v>640</v>
      </c>
      <c r="S7" s="492" t="s">
        <v>641</v>
      </c>
      <c r="T7" s="600" t="s">
        <v>642</v>
      </c>
      <c r="U7" s="513"/>
    </row>
    <row r="8" spans="1:21">
      <c r="A8" s="517">
        <v>1</v>
      </c>
      <c r="B8" s="511" t="s">
        <v>644</v>
      </c>
      <c r="C8" s="591">
        <v>933507766.64999378</v>
      </c>
      <c r="D8" s="587">
        <v>754043137.50999892</v>
      </c>
      <c r="E8" s="587">
        <v>22124786.199999999</v>
      </c>
      <c r="F8" s="587">
        <v>0</v>
      </c>
      <c r="G8" s="587">
        <v>114890800.13</v>
      </c>
      <c r="H8" s="587">
        <v>9866629.2599999998</v>
      </c>
      <c r="I8" s="587">
        <v>5313595.7100000009</v>
      </c>
      <c r="J8" s="587">
        <v>1646845.1</v>
      </c>
      <c r="K8" s="587">
        <v>283130.96999999997</v>
      </c>
      <c r="L8" s="587">
        <v>64573829.009998374</v>
      </c>
      <c r="M8" s="587">
        <v>10702853.690000001</v>
      </c>
      <c r="N8" s="587">
        <v>1648751.0399999998</v>
      </c>
      <c r="O8" s="587">
        <v>6437066.580000001</v>
      </c>
      <c r="P8" s="587">
        <v>5652840.4799999995</v>
      </c>
      <c r="Q8" s="587">
        <v>2862152.48</v>
      </c>
      <c r="R8" s="587">
        <v>163352.38</v>
      </c>
      <c r="S8" s="587">
        <v>0</v>
      </c>
      <c r="T8" s="587">
        <v>0</v>
      </c>
    </row>
    <row r="9" spans="1:21">
      <c r="A9" s="516">
        <v>1.1000000000000001</v>
      </c>
      <c r="B9" s="516" t="s">
        <v>660</v>
      </c>
      <c r="C9" s="589">
        <v>885831801.08999646</v>
      </c>
      <c r="D9" s="587">
        <v>709889205.54999828</v>
      </c>
      <c r="E9" s="587">
        <v>21586306.259999998</v>
      </c>
      <c r="F9" s="587">
        <v>0</v>
      </c>
      <c r="G9" s="587">
        <v>113344191.84000003</v>
      </c>
      <c r="H9" s="587">
        <v>9692856.3099999987</v>
      </c>
      <c r="I9" s="587">
        <v>5149162.04</v>
      </c>
      <c r="J9" s="587">
        <v>1611857.33</v>
      </c>
      <c r="K9" s="587">
        <v>283130.96999999997</v>
      </c>
      <c r="L9" s="587">
        <v>62598403.699999973</v>
      </c>
      <c r="M9" s="587">
        <v>10443923.760000004</v>
      </c>
      <c r="N9" s="587">
        <v>1442922.6400000001</v>
      </c>
      <c r="O9" s="587">
        <v>6150123.0999999978</v>
      </c>
      <c r="P9" s="587">
        <v>5175743.09</v>
      </c>
      <c r="Q9" s="587">
        <v>2858934.05</v>
      </c>
      <c r="R9" s="587">
        <v>163352.38</v>
      </c>
      <c r="S9" s="587">
        <v>0</v>
      </c>
      <c r="T9" s="587">
        <v>0</v>
      </c>
    </row>
    <row r="10" spans="1:21">
      <c r="A10" s="518" t="s">
        <v>252</v>
      </c>
      <c r="B10" s="518" t="s">
        <v>661</v>
      </c>
      <c r="C10" s="592">
        <v>817846880.08999765</v>
      </c>
      <c r="D10" s="587">
        <v>642819163.88999879</v>
      </c>
      <c r="E10" s="587">
        <v>21511474.109999996</v>
      </c>
      <c r="F10" s="587">
        <v>0</v>
      </c>
      <c r="G10" s="587">
        <v>112896931.03000003</v>
      </c>
      <c r="H10" s="587">
        <v>9613485.6499999985</v>
      </c>
      <c r="I10" s="587">
        <v>5149162.04</v>
      </c>
      <c r="J10" s="587">
        <v>1611857.33</v>
      </c>
      <c r="K10" s="587">
        <v>283130.96999999997</v>
      </c>
      <c r="L10" s="587">
        <v>62130785.169999979</v>
      </c>
      <c r="M10" s="587">
        <v>10390747.160000002</v>
      </c>
      <c r="N10" s="587">
        <v>1401908.48</v>
      </c>
      <c r="O10" s="587">
        <v>6150123.0999999978</v>
      </c>
      <c r="P10" s="587">
        <v>5112846.8099999996</v>
      </c>
      <c r="Q10" s="587">
        <v>2822023.7699999996</v>
      </c>
      <c r="R10" s="587">
        <v>163352.38</v>
      </c>
      <c r="S10" s="587">
        <v>0</v>
      </c>
      <c r="T10" s="587">
        <v>0</v>
      </c>
    </row>
    <row r="11" spans="1:21">
      <c r="A11" s="519" t="s">
        <v>662</v>
      </c>
      <c r="B11" s="519" t="s">
        <v>663</v>
      </c>
      <c r="C11" s="593">
        <v>500936838.90000021</v>
      </c>
      <c r="D11" s="587">
        <v>407161477.5999999</v>
      </c>
      <c r="E11" s="587">
        <v>10434721.299999999</v>
      </c>
      <c r="F11" s="587">
        <v>0</v>
      </c>
      <c r="G11" s="587">
        <v>64675542.730000094</v>
      </c>
      <c r="H11" s="587">
        <v>3969223.8699999996</v>
      </c>
      <c r="I11" s="587">
        <v>2066235.5000000002</v>
      </c>
      <c r="J11" s="587">
        <v>335014.48</v>
      </c>
      <c r="K11" s="587">
        <v>283130.96999999997</v>
      </c>
      <c r="L11" s="587">
        <v>29099818.570000004</v>
      </c>
      <c r="M11" s="587">
        <v>4623668.12</v>
      </c>
      <c r="N11" s="587">
        <v>1353926.9</v>
      </c>
      <c r="O11" s="587">
        <v>3533471.32</v>
      </c>
      <c r="P11" s="587">
        <v>618802.08000000007</v>
      </c>
      <c r="Q11" s="587">
        <v>2179033.69</v>
      </c>
      <c r="R11" s="587">
        <v>127355.21</v>
      </c>
      <c r="S11" s="587">
        <v>0</v>
      </c>
      <c r="T11" s="587">
        <v>0</v>
      </c>
    </row>
    <row r="12" spans="1:21">
      <c r="A12" s="519" t="s">
        <v>664</v>
      </c>
      <c r="B12" s="519" t="s">
        <v>665</v>
      </c>
      <c r="C12" s="593">
        <v>188788860.84000003</v>
      </c>
      <c r="D12" s="587">
        <v>133708464.22999997</v>
      </c>
      <c r="E12" s="587">
        <v>3469382.6</v>
      </c>
      <c r="F12" s="587">
        <v>0</v>
      </c>
      <c r="G12" s="587">
        <v>36749997.609999992</v>
      </c>
      <c r="H12" s="587">
        <v>5247224.83</v>
      </c>
      <c r="I12" s="587">
        <v>2777680.88</v>
      </c>
      <c r="J12" s="587">
        <v>453263.41</v>
      </c>
      <c r="K12" s="587">
        <v>0</v>
      </c>
      <c r="L12" s="587">
        <v>18330399.000000004</v>
      </c>
      <c r="M12" s="587">
        <v>3653640.5500000007</v>
      </c>
      <c r="N12" s="587">
        <v>47981.58</v>
      </c>
      <c r="O12" s="587">
        <v>906775.45000000007</v>
      </c>
      <c r="P12" s="587">
        <v>1847715.19</v>
      </c>
      <c r="Q12" s="587">
        <v>276236.23</v>
      </c>
      <c r="R12" s="587">
        <v>0</v>
      </c>
      <c r="S12" s="587">
        <v>0</v>
      </c>
      <c r="T12" s="587">
        <v>0</v>
      </c>
    </row>
    <row r="13" spans="1:21">
      <c r="A13" s="519" t="s">
        <v>666</v>
      </c>
      <c r="B13" s="519" t="s">
        <v>667</v>
      </c>
      <c r="C13" s="593">
        <v>50017969.310000025</v>
      </c>
      <c r="D13" s="587">
        <v>34449411.68999999</v>
      </c>
      <c r="E13" s="587">
        <v>2433460.71</v>
      </c>
      <c r="F13" s="587">
        <v>0</v>
      </c>
      <c r="G13" s="587">
        <v>8543366.5200000014</v>
      </c>
      <c r="H13" s="587">
        <v>395684.12</v>
      </c>
      <c r="I13" s="587">
        <v>266855.65000000002</v>
      </c>
      <c r="J13" s="587">
        <v>332396.33</v>
      </c>
      <c r="K13" s="587">
        <v>0</v>
      </c>
      <c r="L13" s="587">
        <v>7025191.1000000006</v>
      </c>
      <c r="M13" s="587">
        <v>1327563.99</v>
      </c>
      <c r="N13" s="587">
        <v>0</v>
      </c>
      <c r="O13" s="587">
        <v>1119083.58</v>
      </c>
      <c r="P13" s="587">
        <v>848643.7</v>
      </c>
      <c r="Q13" s="587">
        <v>0</v>
      </c>
      <c r="R13" s="587">
        <v>0</v>
      </c>
      <c r="S13" s="587">
        <v>0</v>
      </c>
      <c r="T13" s="587">
        <v>0</v>
      </c>
    </row>
    <row r="14" spans="1:21">
      <c r="A14" s="519" t="s">
        <v>668</v>
      </c>
      <c r="B14" s="519" t="s">
        <v>669</v>
      </c>
      <c r="C14" s="593">
        <v>78103211.040000007</v>
      </c>
      <c r="D14" s="587">
        <v>67499810.369999975</v>
      </c>
      <c r="E14" s="587">
        <v>5173909.5</v>
      </c>
      <c r="F14" s="587">
        <v>0</v>
      </c>
      <c r="G14" s="587">
        <v>2928024.1700000004</v>
      </c>
      <c r="H14" s="587">
        <v>1352.83</v>
      </c>
      <c r="I14" s="587">
        <v>38390.01</v>
      </c>
      <c r="J14" s="587">
        <v>491183.11</v>
      </c>
      <c r="K14" s="587">
        <v>0</v>
      </c>
      <c r="L14" s="587">
        <v>7675376.4999999991</v>
      </c>
      <c r="M14" s="587">
        <v>785874.5</v>
      </c>
      <c r="N14" s="587">
        <v>0</v>
      </c>
      <c r="O14" s="587">
        <v>590792.75</v>
      </c>
      <c r="P14" s="587">
        <v>1797685.8399999999</v>
      </c>
      <c r="Q14" s="587">
        <v>366753.85</v>
      </c>
      <c r="R14" s="587">
        <v>35997.17</v>
      </c>
      <c r="S14" s="587">
        <v>0</v>
      </c>
      <c r="T14" s="587">
        <v>0</v>
      </c>
    </row>
    <row r="15" spans="1:21">
      <c r="A15" s="520">
        <v>1.2</v>
      </c>
      <c r="B15" s="520" t="s">
        <v>670</v>
      </c>
      <c r="C15" s="594">
        <v>47756364.920000263</v>
      </c>
      <c r="D15" s="587">
        <v>13931312.389999993</v>
      </c>
      <c r="E15" s="587">
        <v>431726.13000000012</v>
      </c>
      <c r="F15" s="587">
        <v>0</v>
      </c>
      <c r="G15" s="587">
        <v>11334419.820000004</v>
      </c>
      <c r="H15" s="587">
        <v>969285.69</v>
      </c>
      <c r="I15" s="587">
        <v>514916.21000000014</v>
      </c>
      <c r="J15" s="587">
        <v>161185.75</v>
      </c>
      <c r="K15" s="587">
        <v>28313.08</v>
      </c>
      <c r="L15" s="587">
        <v>22490632.709999993</v>
      </c>
      <c r="M15" s="587">
        <v>3452446.5800000005</v>
      </c>
      <c r="N15" s="587">
        <v>448746.48999999987</v>
      </c>
      <c r="O15" s="587">
        <v>2489673.0700000003</v>
      </c>
      <c r="P15" s="587">
        <v>2672550.37</v>
      </c>
      <c r="Q15" s="587">
        <v>1429467.1699999997</v>
      </c>
      <c r="R15" s="587">
        <v>144348.62</v>
      </c>
      <c r="S15" s="587">
        <v>0</v>
      </c>
      <c r="T15" s="587">
        <v>0</v>
      </c>
    </row>
    <row r="16" spans="1:21">
      <c r="A16" s="516">
        <v>1.3</v>
      </c>
      <c r="B16" s="520" t="s">
        <v>671</v>
      </c>
      <c r="C16" s="595"/>
      <c r="D16" s="595"/>
      <c r="E16" s="595"/>
      <c r="F16" s="595"/>
      <c r="G16" s="595"/>
      <c r="H16" s="595"/>
      <c r="I16" s="595"/>
      <c r="J16" s="595"/>
      <c r="K16" s="595"/>
      <c r="L16" s="595"/>
      <c r="M16" s="595"/>
      <c r="N16" s="595"/>
      <c r="O16" s="595"/>
      <c r="P16" s="595"/>
      <c r="Q16" s="595"/>
      <c r="R16" s="595"/>
      <c r="S16" s="595"/>
      <c r="T16" s="595"/>
    </row>
    <row r="17" spans="1:20" ht="25.5">
      <c r="A17" s="521" t="s">
        <v>672</v>
      </c>
      <c r="B17" s="522" t="s">
        <v>673</v>
      </c>
      <c r="C17" s="596">
        <v>876348554.70599639</v>
      </c>
      <c r="D17" s="588">
        <v>701036198.22399795</v>
      </c>
      <c r="E17" s="588">
        <v>21530749.587999996</v>
      </c>
      <c r="F17" s="588">
        <v>0</v>
      </c>
      <c r="G17" s="588">
        <v>113322099.70200002</v>
      </c>
      <c r="H17" s="588">
        <v>9688468.3299999982</v>
      </c>
      <c r="I17" s="588">
        <v>5178032.3140000002</v>
      </c>
      <c r="J17" s="588">
        <v>1638466.2180000001</v>
      </c>
      <c r="K17" s="588">
        <v>283130.96999999997</v>
      </c>
      <c r="L17" s="588">
        <v>61990256.779999971</v>
      </c>
      <c r="M17" s="588">
        <v>10241923.860000001</v>
      </c>
      <c r="N17" s="588">
        <v>1442922.6400000001</v>
      </c>
      <c r="O17" s="588">
        <v>6169365.129999999</v>
      </c>
      <c r="P17" s="588">
        <v>5046085.129999999</v>
      </c>
      <c r="Q17" s="588">
        <v>2858934.0599999996</v>
      </c>
      <c r="R17" s="588">
        <v>152337.61000000002</v>
      </c>
      <c r="S17" s="588">
        <v>0</v>
      </c>
      <c r="T17" s="588">
        <v>0</v>
      </c>
    </row>
    <row r="18" spans="1:20" ht="25.5">
      <c r="A18" s="523" t="s">
        <v>674</v>
      </c>
      <c r="B18" s="523" t="s">
        <v>675</v>
      </c>
      <c r="C18" s="597">
        <v>789347584.93999779</v>
      </c>
      <c r="D18" s="588">
        <v>617261017.8599987</v>
      </c>
      <c r="E18" s="588">
        <v>20357407.809999995</v>
      </c>
      <c r="F18" s="588">
        <v>0</v>
      </c>
      <c r="G18" s="588">
        <v>111690421.54000005</v>
      </c>
      <c r="H18" s="588">
        <v>9613286.3499999996</v>
      </c>
      <c r="I18" s="588">
        <v>5143096.4000000004</v>
      </c>
      <c r="J18" s="588">
        <v>1534250.1199999999</v>
      </c>
      <c r="K18" s="588">
        <v>283130.96999999997</v>
      </c>
      <c r="L18" s="588">
        <v>60396145.539999969</v>
      </c>
      <c r="M18" s="588">
        <v>10075121.830000002</v>
      </c>
      <c r="N18" s="588">
        <v>1401908.48</v>
      </c>
      <c r="O18" s="588">
        <v>5915315.1399999997</v>
      </c>
      <c r="P18" s="588">
        <v>4507602.1499999985</v>
      </c>
      <c r="Q18" s="588">
        <v>2814391.92</v>
      </c>
      <c r="R18" s="588">
        <v>152337.61000000002</v>
      </c>
      <c r="S18" s="588">
        <v>0</v>
      </c>
      <c r="T18" s="588">
        <v>0</v>
      </c>
    </row>
    <row r="19" spans="1:20">
      <c r="A19" s="521" t="s">
        <v>676</v>
      </c>
      <c r="B19" s="521" t="s">
        <v>677</v>
      </c>
      <c r="C19" s="598">
        <v>833197743.27400053</v>
      </c>
      <c r="D19" s="588">
        <v>679259892.05599999</v>
      </c>
      <c r="E19" s="588">
        <v>14614685.111999996</v>
      </c>
      <c r="F19" s="588">
        <v>0</v>
      </c>
      <c r="G19" s="588">
        <v>99801120.588000044</v>
      </c>
      <c r="H19" s="588">
        <v>10239000.140000001</v>
      </c>
      <c r="I19" s="588">
        <v>4217277.8659999995</v>
      </c>
      <c r="J19" s="588">
        <v>909054.35199999996</v>
      </c>
      <c r="K19" s="588">
        <v>146853.47000000003</v>
      </c>
      <c r="L19" s="588">
        <v>54136730.63000001</v>
      </c>
      <c r="M19" s="588">
        <v>11232632.059999997</v>
      </c>
      <c r="N19" s="588">
        <v>1554747.45</v>
      </c>
      <c r="O19" s="588">
        <v>6603983.4199999999</v>
      </c>
      <c r="P19" s="588">
        <v>2278731.36</v>
      </c>
      <c r="Q19" s="588">
        <v>3392686.4000000008</v>
      </c>
      <c r="R19" s="588">
        <v>148942.06</v>
      </c>
      <c r="S19" s="588">
        <v>0</v>
      </c>
      <c r="T19" s="588">
        <v>0</v>
      </c>
    </row>
    <row r="20" spans="1:20">
      <c r="A20" s="523" t="s">
        <v>678</v>
      </c>
      <c r="B20" s="523" t="s">
        <v>679</v>
      </c>
      <c r="C20" s="597">
        <v>754866072.19999981</v>
      </c>
      <c r="D20" s="588">
        <v>606712101.12000012</v>
      </c>
      <c r="E20" s="588">
        <v>13549882.939999992</v>
      </c>
      <c r="F20" s="588">
        <v>0</v>
      </c>
      <c r="G20" s="588">
        <v>96968435.930000007</v>
      </c>
      <c r="H20" s="588">
        <v>9800290.9600000028</v>
      </c>
      <c r="I20" s="588">
        <v>3630129.9899999993</v>
      </c>
      <c r="J20" s="588">
        <v>719413.89</v>
      </c>
      <c r="K20" s="588">
        <v>146853.47000000003</v>
      </c>
      <c r="L20" s="588">
        <v>51185535.150000021</v>
      </c>
      <c r="M20" s="588">
        <v>10715883.699999999</v>
      </c>
      <c r="N20" s="588">
        <v>1533305.61</v>
      </c>
      <c r="O20" s="588">
        <v>6209523.4299999997</v>
      </c>
      <c r="P20" s="588">
        <v>1956989.0400000003</v>
      </c>
      <c r="Q20" s="588">
        <v>3059681.0200000009</v>
      </c>
      <c r="R20" s="588">
        <v>70872.06</v>
      </c>
      <c r="S20" s="588">
        <v>0</v>
      </c>
      <c r="T20" s="588">
        <v>0</v>
      </c>
    </row>
    <row r="21" spans="1:20">
      <c r="A21" s="524">
        <v>1.4</v>
      </c>
      <c r="B21" s="532" t="s">
        <v>714</v>
      </c>
      <c r="C21" s="599">
        <v>4025456.5660000001</v>
      </c>
      <c r="D21" s="588">
        <v>3950735.3740000003</v>
      </c>
      <c r="E21" s="588">
        <v>648119.47800000012</v>
      </c>
      <c r="F21" s="588">
        <v>0</v>
      </c>
      <c r="G21" s="588">
        <v>55479.161999999997</v>
      </c>
      <c r="H21" s="588">
        <v>0</v>
      </c>
      <c r="I21" s="588">
        <v>28870.274000000001</v>
      </c>
      <c r="J21" s="588">
        <v>26608.887999999999</v>
      </c>
      <c r="K21" s="588">
        <v>0</v>
      </c>
      <c r="L21" s="588">
        <v>19242.03</v>
      </c>
      <c r="M21" s="588">
        <v>0</v>
      </c>
      <c r="N21" s="588">
        <v>0</v>
      </c>
      <c r="O21" s="588">
        <v>19242.03</v>
      </c>
      <c r="P21" s="588">
        <v>0</v>
      </c>
      <c r="Q21" s="588">
        <v>0</v>
      </c>
      <c r="R21" s="588">
        <v>0</v>
      </c>
      <c r="S21" s="588">
        <v>0</v>
      </c>
      <c r="T21" s="588">
        <v>0</v>
      </c>
    </row>
    <row r="22" spans="1:20">
      <c r="A22" s="524">
        <v>1.5</v>
      </c>
      <c r="B22" s="532" t="s">
        <v>715</v>
      </c>
      <c r="C22" s="599">
        <v>0</v>
      </c>
      <c r="D22" s="588">
        <v>0</v>
      </c>
      <c r="E22" s="588">
        <v>0</v>
      </c>
      <c r="F22" s="588">
        <v>0</v>
      </c>
      <c r="G22" s="588">
        <v>0</v>
      </c>
      <c r="H22" s="588">
        <v>0</v>
      </c>
      <c r="I22" s="588">
        <v>0</v>
      </c>
      <c r="J22" s="588">
        <v>0</v>
      </c>
      <c r="K22" s="588">
        <v>0</v>
      </c>
      <c r="L22" s="588">
        <v>0</v>
      </c>
      <c r="M22" s="588">
        <v>0</v>
      </c>
      <c r="N22" s="588">
        <v>0</v>
      </c>
      <c r="O22" s="588">
        <v>0</v>
      </c>
      <c r="P22" s="588">
        <v>0</v>
      </c>
      <c r="Q22" s="588">
        <v>0</v>
      </c>
      <c r="R22" s="588">
        <v>0</v>
      </c>
      <c r="S22" s="588">
        <v>0</v>
      </c>
      <c r="T22" s="588">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workbookViewId="0">
      <selection activeCell="B2" sqref="B2"/>
    </sheetView>
  </sheetViews>
  <sheetFormatPr defaultColWidth="9.140625" defaultRowHeight="12.75"/>
  <cols>
    <col min="1" max="1" width="11.85546875" style="481" bestFit="1" customWidth="1"/>
    <col min="2" max="2" width="93.42578125" style="481" customWidth="1"/>
    <col min="3" max="3" width="14.5703125" style="481" customWidth="1"/>
    <col min="4" max="4" width="14.85546875" style="481" bestFit="1" customWidth="1"/>
    <col min="5" max="5" width="13.85546875" style="481" bestFit="1" customWidth="1"/>
    <col min="6" max="6" width="18" style="513" bestFit="1" customWidth="1"/>
    <col min="7" max="7" width="12" style="513" bestFit="1" customWidth="1"/>
    <col min="8" max="8" width="11.140625" style="481" bestFit="1" customWidth="1"/>
    <col min="9" max="9" width="9.85546875" style="481" bestFit="1" customWidth="1"/>
    <col min="10" max="10" width="14.85546875" style="513" bestFit="1" customWidth="1"/>
    <col min="11" max="11" width="13.85546875" style="513" bestFit="1" customWidth="1"/>
    <col min="12" max="12" width="18" style="513" bestFit="1" customWidth="1"/>
    <col min="13" max="14" width="11.140625" style="513" bestFit="1" customWidth="1"/>
    <col min="15" max="15" width="19" style="481" bestFit="1" customWidth="1"/>
    <col min="16" max="16384" width="9.140625" style="481"/>
  </cols>
  <sheetData>
    <row r="1" spans="1:15">
      <c r="A1" s="480" t="s">
        <v>188</v>
      </c>
      <c r="B1" s="621" t="str">
        <f>'1. key ratios'!B1</f>
        <v>ს.ს. "ტერაბანკი"</v>
      </c>
      <c r="F1" s="481"/>
      <c r="G1" s="481"/>
      <c r="J1" s="481"/>
      <c r="K1" s="481"/>
      <c r="L1" s="481"/>
      <c r="M1" s="481"/>
      <c r="N1" s="481"/>
    </row>
    <row r="2" spans="1:15">
      <c r="A2" s="480" t="s">
        <v>189</v>
      </c>
      <c r="F2" s="481"/>
      <c r="G2" s="481"/>
      <c r="J2" s="481"/>
      <c r="K2" s="481"/>
      <c r="L2" s="481"/>
      <c r="M2" s="481"/>
      <c r="N2" s="481"/>
    </row>
    <row r="3" spans="1:15">
      <c r="A3" s="482" t="s">
        <v>682</v>
      </c>
      <c r="B3" s="483">
        <f>'1. key ratios'!B2</f>
        <v>44469</v>
      </c>
      <c r="F3" s="481"/>
      <c r="G3" s="481"/>
      <c r="J3" s="481"/>
      <c r="K3" s="481"/>
      <c r="L3" s="481"/>
      <c r="M3" s="481"/>
      <c r="N3" s="481"/>
    </row>
    <row r="4" spans="1:15">
      <c r="F4" s="481"/>
      <c r="G4" s="481"/>
      <c r="J4" s="481"/>
      <c r="K4" s="481"/>
      <c r="L4" s="481"/>
      <c r="M4" s="481"/>
      <c r="N4" s="481"/>
    </row>
    <row r="5" spans="1:15" ht="37.5" customHeight="1">
      <c r="A5" s="670" t="s">
        <v>683</v>
      </c>
      <c r="B5" s="671"/>
      <c r="C5" s="715" t="s">
        <v>684</v>
      </c>
      <c r="D5" s="716"/>
      <c r="E5" s="716"/>
      <c r="F5" s="716"/>
      <c r="G5" s="716"/>
      <c r="H5" s="717"/>
      <c r="I5" s="715" t="s">
        <v>685</v>
      </c>
      <c r="J5" s="718"/>
      <c r="K5" s="718"/>
      <c r="L5" s="718"/>
      <c r="M5" s="718"/>
      <c r="N5" s="719"/>
      <c r="O5" s="720" t="s">
        <v>555</v>
      </c>
    </row>
    <row r="6" spans="1:15" ht="39.6" customHeight="1">
      <c r="A6" s="674"/>
      <c r="B6" s="675"/>
      <c r="C6" s="525"/>
      <c r="D6" s="526" t="s">
        <v>686</v>
      </c>
      <c r="E6" s="526" t="s">
        <v>687</v>
      </c>
      <c r="F6" s="526" t="s">
        <v>688</v>
      </c>
      <c r="G6" s="526" t="s">
        <v>689</v>
      </c>
      <c r="H6" s="526" t="s">
        <v>690</v>
      </c>
      <c r="I6" s="527"/>
      <c r="J6" s="526" t="s">
        <v>686</v>
      </c>
      <c r="K6" s="526" t="s">
        <v>687</v>
      </c>
      <c r="L6" s="526" t="s">
        <v>688</v>
      </c>
      <c r="M6" s="526" t="s">
        <v>689</v>
      </c>
      <c r="N6" s="526" t="s">
        <v>690</v>
      </c>
      <c r="O6" s="721"/>
    </row>
    <row r="7" spans="1:15">
      <c r="A7" s="494">
        <v>1</v>
      </c>
      <c r="B7" s="501" t="s">
        <v>565</v>
      </c>
      <c r="C7" s="604">
        <v>67615881.805099994</v>
      </c>
      <c r="D7" s="587">
        <v>62768029.574499995</v>
      </c>
      <c r="E7" s="587">
        <v>2375599.7564000003</v>
      </c>
      <c r="F7" s="605">
        <v>1841220.3118999999</v>
      </c>
      <c r="G7" s="605">
        <v>473200.74780000001</v>
      </c>
      <c r="H7" s="587">
        <v>157831.41449999998</v>
      </c>
      <c r="I7" s="587">
        <v>2439719.6126999999</v>
      </c>
      <c r="J7" s="605">
        <v>1255361.4141000002</v>
      </c>
      <c r="K7" s="605">
        <v>237560.16409999999</v>
      </c>
      <c r="L7" s="605">
        <v>552366.14989999996</v>
      </c>
      <c r="M7" s="605">
        <v>236600.47010000001</v>
      </c>
      <c r="N7" s="605">
        <v>157831.41449999998</v>
      </c>
      <c r="O7" s="587">
        <v>0</v>
      </c>
    </row>
    <row r="8" spans="1:15">
      <c r="A8" s="494">
        <v>2</v>
      </c>
      <c r="B8" s="501" t="s">
        <v>566</v>
      </c>
      <c r="C8" s="604">
        <v>30254721.584200006</v>
      </c>
      <c r="D8" s="587">
        <v>28825518.761100002</v>
      </c>
      <c r="E8" s="587">
        <v>664820.52470000007</v>
      </c>
      <c r="F8" s="605">
        <v>640715.73140000005</v>
      </c>
      <c r="G8" s="605">
        <v>68419.391600000003</v>
      </c>
      <c r="H8" s="587">
        <v>55247.1754</v>
      </c>
      <c r="I8" s="587">
        <v>924636.83639999991</v>
      </c>
      <c r="J8" s="605">
        <v>576483.20750000002</v>
      </c>
      <c r="K8" s="605">
        <v>66482.048599999995</v>
      </c>
      <c r="L8" s="605">
        <v>192214.70909999998</v>
      </c>
      <c r="M8" s="605">
        <v>34209.695800000001</v>
      </c>
      <c r="N8" s="605">
        <v>55247.1754</v>
      </c>
      <c r="O8" s="587">
        <v>0</v>
      </c>
    </row>
    <row r="9" spans="1:15">
      <c r="A9" s="494">
        <v>3</v>
      </c>
      <c r="B9" s="501" t="s">
        <v>567</v>
      </c>
      <c r="C9" s="604">
        <v>21446499.4091</v>
      </c>
      <c r="D9" s="587">
        <v>21368649.878800001</v>
      </c>
      <c r="E9" s="587">
        <v>77849.530299999999</v>
      </c>
      <c r="F9" s="606">
        <v>0</v>
      </c>
      <c r="G9" s="606">
        <v>0</v>
      </c>
      <c r="H9" s="587">
        <v>0</v>
      </c>
      <c r="I9" s="587">
        <v>435157.92989999993</v>
      </c>
      <c r="J9" s="606">
        <v>427372.97689999995</v>
      </c>
      <c r="K9" s="606">
        <v>7784.9530000000004</v>
      </c>
      <c r="L9" s="606">
        <v>0</v>
      </c>
      <c r="M9" s="606">
        <v>0</v>
      </c>
      <c r="N9" s="606">
        <v>0</v>
      </c>
      <c r="O9" s="587">
        <v>0</v>
      </c>
    </row>
    <row r="10" spans="1:15">
      <c r="A10" s="494">
        <v>4</v>
      </c>
      <c r="B10" s="501" t="s">
        <v>568</v>
      </c>
      <c r="C10" s="604">
        <v>77006558.823700011</v>
      </c>
      <c r="D10" s="587">
        <v>68563328.225700006</v>
      </c>
      <c r="E10" s="587">
        <v>7940470.1324000005</v>
      </c>
      <c r="F10" s="606">
        <v>493321.58200000005</v>
      </c>
      <c r="G10" s="606">
        <v>9375.31</v>
      </c>
      <c r="H10" s="587">
        <v>63.573599999999999</v>
      </c>
      <c r="I10" s="587">
        <v>2318061.3425000003</v>
      </c>
      <c r="J10" s="606">
        <v>1371266.6129000001</v>
      </c>
      <c r="K10" s="606">
        <v>794047.04020000005</v>
      </c>
      <c r="L10" s="606">
        <v>147996.4558</v>
      </c>
      <c r="M10" s="606">
        <v>4687.66</v>
      </c>
      <c r="N10" s="606">
        <v>63.573599999999999</v>
      </c>
      <c r="O10" s="587">
        <v>0</v>
      </c>
    </row>
    <row r="11" spans="1:15">
      <c r="A11" s="494">
        <v>5</v>
      </c>
      <c r="B11" s="501" t="s">
        <v>569</v>
      </c>
      <c r="C11" s="604">
        <v>87556463.4234</v>
      </c>
      <c r="D11" s="587">
        <v>56717131.965599999</v>
      </c>
      <c r="E11" s="587">
        <v>21648160.1393</v>
      </c>
      <c r="F11" s="606">
        <v>7075333.4473000001</v>
      </c>
      <c r="G11" s="606">
        <v>2115487.3212000001</v>
      </c>
      <c r="H11" s="587">
        <v>350.55</v>
      </c>
      <c r="I11" s="587">
        <v>6479853.0521999998</v>
      </c>
      <c r="J11" s="606">
        <v>1134342.7165000001</v>
      </c>
      <c r="K11" s="606">
        <v>2164816.0651999996</v>
      </c>
      <c r="L11" s="606">
        <v>2122600.0548999999</v>
      </c>
      <c r="M11" s="606">
        <v>1057743.6655999999</v>
      </c>
      <c r="N11" s="606">
        <v>350.55</v>
      </c>
      <c r="O11" s="587">
        <v>0</v>
      </c>
    </row>
    <row r="12" spans="1:15">
      <c r="A12" s="494">
        <v>6</v>
      </c>
      <c r="B12" s="501" t="s">
        <v>570</v>
      </c>
      <c r="C12" s="604">
        <v>31318686.8356</v>
      </c>
      <c r="D12" s="587">
        <v>27823350.4298</v>
      </c>
      <c r="E12" s="587">
        <v>2674014.2958999998</v>
      </c>
      <c r="F12" s="606">
        <v>405694.45179999998</v>
      </c>
      <c r="G12" s="606">
        <v>364971.42809999996</v>
      </c>
      <c r="H12" s="587">
        <v>50656.23</v>
      </c>
      <c r="I12" s="587">
        <v>1178718.8700999999</v>
      </c>
      <c r="J12" s="606">
        <v>556467.09899999993</v>
      </c>
      <c r="K12" s="606">
        <v>267401.43440000003</v>
      </c>
      <c r="L12" s="606">
        <v>121708.352</v>
      </c>
      <c r="M12" s="606">
        <v>182485.75469999999</v>
      </c>
      <c r="N12" s="606">
        <v>50656.23</v>
      </c>
      <c r="O12" s="587">
        <v>0</v>
      </c>
    </row>
    <row r="13" spans="1:15">
      <c r="A13" s="494">
        <v>7</v>
      </c>
      <c r="B13" s="501" t="s">
        <v>571</v>
      </c>
      <c r="C13" s="604">
        <v>40757283.948299997</v>
      </c>
      <c r="D13" s="587">
        <v>37790624.220399998</v>
      </c>
      <c r="E13" s="587">
        <v>2925645.5679000001</v>
      </c>
      <c r="F13" s="606">
        <v>41014.160000000003</v>
      </c>
      <c r="G13" s="606">
        <v>0</v>
      </c>
      <c r="H13" s="587">
        <v>0</v>
      </c>
      <c r="I13" s="587">
        <v>1060681.3869</v>
      </c>
      <c r="J13" s="606">
        <v>755812.55449999997</v>
      </c>
      <c r="K13" s="606">
        <v>292564.58240000001</v>
      </c>
      <c r="L13" s="606">
        <v>12304.25</v>
      </c>
      <c r="M13" s="606">
        <v>0</v>
      </c>
      <c r="N13" s="606">
        <v>0</v>
      </c>
      <c r="O13" s="587">
        <v>0</v>
      </c>
    </row>
    <row r="14" spans="1:15">
      <c r="A14" s="494">
        <v>8</v>
      </c>
      <c r="B14" s="501" t="s">
        <v>572</v>
      </c>
      <c r="C14" s="604">
        <v>42222912.985299997</v>
      </c>
      <c r="D14" s="587">
        <v>38557847.940399997</v>
      </c>
      <c r="E14" s="587">
        <v>2404425.9126999998</v>
      </c>
      <c r="F14" s="606">
        <v>1152478.8422000001</v>
      </c>
      <c r="G14" s="606">
        <v>103743.41</v>
      </c>
      <c r="H14" s="587">
        <v>4416.88</v>
      </c>
      <c r="I14" s="587">
        <v>1413631.7215999998</v>
      </c>
      <c r="J14" s="606">
        <v>771156.87109999987</v>
      </c>
      <c r="K14" s="606">
        <v>240442.62219999998</v>
      </c>
      <c r="L14" s="606">
        <v>345743.63830000005</v>
      </c>
      <c r="M14" s="606">
        <v>51871.71</v>
      </c>
      <c r="N14" s="606">
        <v>4416.88</v>
      </c>
      <c r="O14" s="587">
        <v>0</v>
      </c>
    </row>
    <row r="15" spans="1:15">
      <c r="A15" s="494">
        <v>9</v>
      </c>
      <c r="B15" s="501" t="s">
        <v>573</v>
      </c>
      <c r="C15" s="604">
        <v>32206478.537500001</v>
      </c>
      <c r="D15" s="587">
        <v>29862346.784600001</v>
      </c>
      <c r="E15" s="587">
        <v>2304131.7528999997</v>
      </c>
      <c r="F15" s="606">
        <v>0</v>
      </c>
      <c r="G15" s="606">
        <v>0</v>
      </c>
      <c r="H15" s="587">
        <v>40000</v>
      </c>
      <c r="I15" s="587">
        <v>867599.71879999992</v>
      </c>
      <c r="J15" s="606">
        <v>597186.55689999997</v>
      </c>
      <c r="K15" s="606">
        <v>230413.16190000001</v>
      </c>
      <c r="L15" s="606">
        <v>0</v>
      </c>
      <c r="M15" s="606">
        <v>0</v>
      </c>
      <c r="N15" s="606">
        <v>40000</v>
      </c>
      <c r="O15" s="587">
        <v>0</v>
      </c>
    </row>
    <row r="16" spans="1:15">
      <c r="A16" s="494">
        <v>10</v>
      </c>
      <c r="B16" s="501" t="s">
        <v>574</v>
      </c>
      <c r="C16" s="604">
        <v>11431338.483099999</v>
      </c>
      <c r="D16" s="587">
        <v>7051322.7533</v>
      </c>
      <c r="E16" s="587">
        <v>3552508.1077999999</v>
      </c>
      <c r="F16" s="606">
        <v>827507.62200000009</v>
      </c>
      <c r="G16" s="606">
        <v>0</v>
      </c>
      <c r="H16" s="587">
        <v>0</v>
      </c>
      <c r="I16" s="587">
        <v>744529.56890000007</v>
      </c>
      <c r="J16" s="606">
        <v>141026.48500000002</v>
      </c>
      <c r="K16" s="606">
        <v>355250.80349999998</v>
      </c>
      <c r="L16" s="606">
        <v>248252.28039999999</v>
      </c>
      <c r="M16" s="606">
        <v>0</v>
      </c>
      <c r="N16" s="606">
        <v>0</v>
      </c>
      <c r="O16" s="587">
        <v>0</v>
      </c>
    </row>
    <row r="17" spans="1:15">
      <c r="A17" s="494">
        <v>11</v>
      </c>
      <c r="B17" s="501" t="s">
        <v>575</v>
      </c>
      <c r="C17" s="604">
        <v>7111293.8216999993</v>
      </c>
      <c r="D17" s="587">
        <v>5137869.8662999999</v>
      </c>
      <c r="E17" s="587">
        <v>1010044.959</v>
      </c>
      <c r="F17" s="606">
        <v>183795.02269999997</v>
      </c>
      <c r="G17" s="606">
        <v>779583.97369999997</v>
      </c>
      <c r="H17" s="587">
        <v>0</v>
      </c>
      <c r="I17" s="587">
        <v>648692.40540000005</v>
      </c>
      <c r="J17" s="606">
        <v>102757.41609999999</v>
      </c>
      <c r="K17" s="606">
        <v>101004.5006</v>
      </c>
      <c r="L17" s="606">
        <v>55138.501799999998</v>
      </c>
      <c r="M17" s="606">
        <v>389791.98690000002</v>
      </c>
      <c r="N17" s="606">
        <v>0</v>
      </c>
      <c r="O17" s="587">
        <v>0</v>
      </c>
    </row>
    <row r="18" spans="1:15">
      <c r="A18" s="494">
        <v>12</v>
      </c>
      <c r="B18" s="501" t="s">
        <v>576</v>
      </c>
      <c r="C18" s="604">
        <v>65334167.103500001</v>
      </c>
      <c r="D18" s="587">
        <v>50535864.788699999</v>
      </c>
      <c r="E18" s="587">
        <v>8302782.3314000014</v>
      </c>
      <c r="F18" s="606">
        <v>3731219.3076999998</v>
      </c>
      <c r="G18" s="606">
        <v>2492301.2336999997</v>
      </c>
      <c r="H18" s="587">
        <v>271999.44199999998</v>
      </c>
      <c r="I18" s="587">
        <v>4478511.7943999991</v>
      </c>
      <c r="J18" s="606">
        <v>1010717.3421000001</v>
      </c>
      <c r="K18" s="606">
        <v>830278.40189999994</v>
      </c>
      <c r="L18" s="606">
        <v>1119365.8372</v>
      </c>
      <c r="M18" s="606">
        <v>1246150.7711999998</v>
      </c>
      <c r="N18" s="606">
        <v>271999.44199999998</v>
      </c>
      <c r="O18" s="587">
        <v>0</v>
      </c>
    </row>
    <row r="19" spans="1:15">
      <c r="A19" s="494">
        <v>13</v>
      </c>
      <c r="B19" s="501" t="s">
        <v>577</v>
      </c>
      <c r="C19" s="604">
        <v>15228657.659999998</v>
      </c>
      <c r="D19" s="587">
        <v>12926309.468099998</v>
      </c>
      <c r="E19" s="587">
        <v>672857.88580000005</v>
      </c>
      <c r="F19" s="606">
        <v>1085730.1877000001</v>
      </c>
      <c r="G19" s="606">
        <v>525042.25840000005</v>
      </c>
      <c r="H19" s="587">
        <v>18717.86</v>
      </c>
      <c r="I19" s="587">
        <v>932770.06640000001</v>
      </c>
      <c r="J19" s="606">
        <v>258526.17689999999</v>
      </c>
      <c r="K19" s="606">
        <v>67285.79800000001</v>
      </c>
      <c r="L19" s="606">
        <v>325719.06599999999</v>
      </c>
      <c r="M19" s="606">
        <v>262521.1655</v>
      </c>
      <c r="N19" s="606">
        <v>18717.86</v>
      </c>
      <c r="O19" s="587">
        <v>0</v>
      </c>
    </row>
    <row r="20" spans="1:15">
      <c r="A20" s="494">
        <v>14</v>
      </c>
      <c r="B20" s="501" t="s">
        <v>578</v>
      </c>
      <c r="C20" s="604">
        <v>89582436.364500001</v>
      </c>
      <c r="D20" s="587">
        <v>53783742.689000003</v>
      </c>
      <c r="E20" s="587">
        <v>23644910.713999998</v>
      </c>
      <c r="F20" s="606">
        <v>10749956.996300001</v>
      </c>
      <c r="G20" s="606">
        <v>1373900.5752000001</v>
      </c>
      <c r="H20" s="587">
        <v>29925.39</v>
      </c>
      <c r="I20" s="587">
        <v>7380196.0044999998</v>
      </c>
      <c r="J20" s="606">
        <v>1073841.9013999999</v>
      </c>
      <c r="K20" s="606">
        <v>2364491.2313999999</v>
      </c>
      <c r="L20" s="606">
        <v>3224987.1684000003</v>
      </c>
      <c r="M20" s="606">
        <v>686950.31329999992</v>
      </c>
      <c r="N20" s="606">
        <v>29925.39</v>
      </c>
      <c r="O20" s="587">
        <v>0</v>
      </c>
    </row>
    <row r="21" spans="1:15">
      <c r="A21" s="494">
        <v>15</v>
      </c>
      <c r="B21" s="501" t="s">
        <v>579</v>
      </c>
      <c r="C21" s="604">
        <v>33653447.644999996</v>
      </c>
      <c r="D21" s="587">
        <v>15035958.491</v>
      </c>
      <c r="E21" s="587">
        <v>14468853.109300001</v>
      </c>
      <c r="F21" s="606">
        <v>4138122.4046999998</v>
      </c>
      <c r="G21" s="606">
        <v>10224.4</v>
      </c>
      <c r="H21" s="587">
        <v>289.24</v>
      </c>
      <c r="I21" s="587">
        <v>2994442.6959000006</v>
      </c>
      <c r="J21" s="606">
        <v>300719.16570000001</v>
      </c>
      <c r="K21" s="606">
        <v>1446885.3318</v>
      </c>
      <c r="L21" s="606">
        <v>1241436.7583999999</v>
      </c>
      <c r="M21" s="606">
        <v>5112.2</v>
      </c>
      <c r="N21" s="606">
        <v>289.24</v>
      </c>
      <c r="O21" s="587">
        <v>0</v>
      </c>
    </row>
    <row r="22" spans="1:15">
      <c r="A22" s="494">
        <v>16</v>
      </c>
      <c r="B22" s="501" t="s">
        <v>580</v>
      </c>
      <c r="C22" s="604">
        <v>453192.95909999998</v>
      </c>
      <c r="D22" s="587">
        <v>453192.95909999998</v>
      </c>
      <c r="E22" s="587">
        <v>0</v>
      </c>
      <c r="F22" s="606">
        <v>0</v>
      </c>
      <c r="G22" s="606">
        <v>0</v>
      </c>
      <c r="H22" s="587">
        <v>0</v>
      </c>
      <c r="I22" s="587">
        <v>9063.8652999999995</v>
      </c>
      <c r="J22" s="606">
        <v>9063.8652999999995</v>
      </c>
      <c r="K22" s="606">
        <v>0</v>
      </c>
      <c r="L22" s="606">
        <v>0</v>
      </c>
      <c r="M22" s="606">
        <v>0</v>
      </c>
      <c r="N22" s="606">
        <v>0</v>
      </c>
      <c r="O22" s="587">
        <v>0</v>
      </c>
    </row>
    <row r="23" spans="1:15">
      <c r="A23" s="494">
        <v>17</v>
      </c>
      <c r="B23" s="501" t="s">
        <v>581</v>
      </c>
      <c r="C23" s="604">
        <v>5242359.6614999995</v>
      </c>
      <c r="D23" s="587">
        <v>2005374.0297999997</v>
      </c>
      <c r="E23" s="587">
        <v>1344571.5462999998</v>
      </c>
      <c r="F23" s="606">
        <v>1487583.4153999998</v>
      </c>
      <c r="G23" s="606">
        <v>404830.67</v>
      </c>
      <c r="H23" s="587">
        <v>0</v>
      </c>
      <c r="I23" s="587">
        <v>823255.02689999994</v>
      </c>
      <c r="J23" s="606">
        <v>40107.477200000001</v>
      </c>
      <c r="K23" s="606">
        <v>134457.18090000001</v>
      </c>
      <c r="L23" s="606">
        <v>446275.02879999997</v>
      </c>
      <c r="M23" s="606">
        <v>202415.34</v>
      </c>
      <c r="N23" s="606">
        <v>0</v>
      </c>
      <c r="O23" s="587">
        <v>0</v>
      </c>
    </row>
    <row r="24" spans="1:15">
      <c r="A24" s="494">
        <v>18</v>
      </c>
      <c r="B24" s="501" t="s">
        <v>582</v>
      </c>
      <c r="C24" s="604">
        <v>19560901.158100002</v>
      </c>
      <c r="D24" s="587">
        <v>19560286.388100002</v>
      </c>
      <c r="E24" s="587">
        <v>614.77</v>
      </c>
      <c r="F24" s="606">
        <v>0</v>
      </c>
      <c r="G24" s="606">
        <v>0</v>
      </c>
      <c r="H24" s="587">
        <v>0</v>
      </c>
      <c r="I24" s="587">
        <v>391267.18830000004</v>
      </c>
      <c r="J24" s="606">
        <v>391205.70830000006</v>
      </c>
      <c r="K24" s="606">
        <v>61.48</v>
      </c>
      <c r="L24" s="606">
        <v>0</v>
      </c>
      <c r="M24" s="606">
        <v>0</v>
      </c>
      <c r="N24" s="606">
        <v>0</v>
      </c>
      <c r="O24" s="587">
        <v>0</v>
      </c>
    </row>
    <row r="25" spans="1:15">
      <c r="A25" s="494">
        <v>19</v>
      </c>
      <c r="B25" s="501" t="s">
        <v>583</v>
      </c>
      <c r="C25" s="604">
        <v>6777689.6042999998</v>
      </c>
      <c r="D25" s="587">
        <v>6741406.3752999995</v>
      </c>
      <c r="E25" s="587">
        <v>0</v>
      </c>
      <c r="F25" s="606">
        <v>0</v>
      </c>
      <c r="G25" s="606">
        <v>36283.228999999999</v>
      </c>
      <c r="H25" s="587">
        <v>0</v>
      </c>
      <c r="I25" s="587">
        <v>152969.72070000001</v>
      </c>
      <c r="J25" s="606">
        <v>134828.10620000001</v>
      </c>
      <c r="K25" s="606">
        <v>0</v>
      </c>
      <c r="L25" s="606">
        <v>0</v>
      </c>
      <c r="M25" s="606">
        <v>18141.6145</v>
      </c>
      <c r="N25" s="606">
        <v>0</v>
      </c>
      <c r="O25" s="587">
        <v>0</v>
      </c>
    </row>
    <row r="26" spans="1:15">
      <c r="A26" s="494">
        <v>20</v>
      </c>
      <c r="B26" s="501" t="s">
        <v>584</v>
      </c>
      <c r="C26" s="604">
        <v>26832910.197200004</v>
      </c>
      <c r="D26" s="587">
        <v>24551474.112900004</v>
      </c>
      <c r="E26" s="587">
        <v>1913930.0474999999</v>
      </c>
      <c r="F26" s="606">
        <v>259529.86</v>
      </c>
      <c r="G26" s="606">
        <v>30455.306799999998</v>
      </c>
      <c r="H26" s="587">
        <v>77520.87</v>
      </c>
      <c r="I26" s="587">
        <v>853030.05559999996</v>
      </c>
      <c r="J26" s="606">
        <v>491029.59600000002</v>
      </c>
      <c r="K26" s="606">
        <v>191392.99619999999</v>
      </c>
      <c r="L26" s="606">
        <v>77858.94</v>
      </c>
      <c r="M26" s="606">
        <v>15227.653399999999</v>
      </c>
      <c r="N26" s="606">
        <v>77520.87</v>
      </c>
      <c r="O26" s="587">
        <v>0</v>
      </c>
    </row>
    <row r="27" spans="1:15">
      <c r="A27" s="494">
        <v>21</v>
      </c>
      <c r="B27" s="501" t="s">
        <v>585</v>
      </c>
      <c r="C27" s="604">
        <v>5260711.7514000004</v>
      </c>
      <c r="D27" s="587">
        <v>5159109.0114000002</v>
      </c>
      <c r="E27" s="587">
        <v>23318.47</v>
      </c>
      <c r="F27" s="606">
        <v>30302.69</v>
      </c>
      <c r="G27" s="606">
        <v>47981.58</v>
      </c>
      <c r="H27" s="587">
        <v>0</v>
      </c>
      <c r="I27" s="587">
        <v>138595.66290000002</v>
      </c>
      <c r="J27" s="606">
        <v>103182.21290000001</v>
      </c>
      <c r="K27" s="606">
        <v>2331.85</v>
      </c>
      <c r="L27" s="606">
        <v>9090.81</v>
      </c>
      <c r="M27" s="606">
        <v>23990.79</v>
      </c>
      <c r="N27" s="606">
        <v>0</v>
      </c>
      <c r="O27" s="587">
        <v>0</v>
      </c>
    </row>
    <row r="28" spans="1:15">
      <c r="A28" s="494">
        <v>22</v>
      </c>
      <c r="B28" s="501" t="s">
        <v>586</v>
      </c>
      <c r="C28" s="604">
        <v>1509769.385</v>
      </c>
      <c r="D28" s="587">
        <v>719405.93669999996</v>
      </c>
      <c r="E28" s="587">
        <v>739314.82350000006</v>
      </c>
      <c r="F28" s="606">
        <v>12209.3048</v>
      </c>
      <c r="G28" s="606">
        <v>0</v>
      </c>
      <c r="H28" s="587">
        <v>38839.32</v>
      </c>
      <c r="I28" s="587">
        <v>130821.75519999999</v>
      </c>
      <c r="J28" s="606">
        <v>14388.1489</v>
      </c>
      <c r="K28" s="606">
        <v>73931.491699999999</v>
      </c>
      <c r="L28" s="606">
        <v>3662.7946000000002</v>
      </c>
      <c r="M28" s="606">
        <v>0</v>
      </c>
      <c r="N28" s="606">
        <v>38839.32</v>
      </c>
      <c r="O28" s="587">
        <v>0</v>
      </c>
    </row>
    <row r="29" spans="1:15">
      <c r="A29" s="494">
        <v>23</v>
      </c>
      <c r="B29" s="501" t="s">
        <v>587</v>
      </c>
      <c r="C29" s="604">
        <v>64107477.832799993</v>
      </c>
      <c r="D29" s="587">
        <v>45990334.958699994</v>
      </c>
      <c r="E29" s="587">
        <v>9061658.5866999999</v>
      </c>
      <c r="F29" s="606">
        <v>5711243.0223999992</v>
      </c>
      <c r="G29" s="606">
        <v>3282104.3649999998</v>
      </c>
      <c r="H29" s="587">
        <v>62136.9</v>
      </c>
      <c r="I29" s="587">
        <v>5242534.5647</v>
      </c>
      <c r="J29" s="606">
        <v>919806.53339999996</v>
      </c>
      <c r="K29" s="606">
        <v>906165.88770000008</v>
      </c>
      <c r="L29" s="606">
        <v>1713372.9793000002</v>
      </c>
      <c r="M29" s="606">
        <v>1641052.2642999999</v>
      </c>
      <c r="N29" s="606">
        <v>62136.9</v>
      </c>
      <c r="O29" s="587">
        <v>0</v>
      </c>
    </row>
    <row r="30" spans="1:15">
      <c r="A30" s="494">
        <v>24</v>
      </c>
      <c r="B30" s="501" t="s">
        <v>588</v>
      </c>
      <c r="C30" s="604">
        <v>83926774.146100029</v>
      </c>
      <c r="D30" s="587">
        <v>74973426.352300018</v>
      </c>
      <c r="E30" s="587">
        <v>3269730.0902000004</v>
      </c>
      <c r="F30" s="606">
        <v>2071403.2153</v>
      </c>
      <c r="G30" s="606">
        <v>3611301.7583000003</v>
      </c>
      <c r="H30" s="587">
        <v>912.73</v>
      </c>
      <c r="I30" s="587">
        <v>4250516.6468000002</v>
      </c>
      <c r="J30" s="606">
        <v>1495558.9315999998</v>
      </c>
      <c r="K30" s="606">
        <v>326973.10190000001</v>
      </c>
      <c r="L30" s="606">
        <v>621420.951</v>
      </c>
      <c r="M30" s="606">
        <v>1805650.9323</v>
      </c>
      <c r="N30" s="606">
        <v>912.73</v>
      </c>
      <c r="O30" s="587">
        <v>0</v>
      </c>
    </row>
    <row r="31" spans="1:15">
      <c r="A31" s="494">
        <v>25</v>
      </c>
      <c r="B31" s="501" t="s">
        <v>589</v>
      </c>
      <c r="C31" s="604">
        <v>50104042.6105</v>
      </c>
      <c r="D31" s="587">
        <v>44951675.405899994</v>
      </c>
      <c r="E31" s="587">
        <v>1682796.9982</v>
      </c>
      <c r="F31" s="606">
        <v>2648442.0877999999</v>
      </c>
      <c r="G31" s="606">
        <v>696290.97369999997</v>
      </c>
      <c r="H31" s="587">
        <v>124837.1449</v>
      </c>
      <c r="I31" s="587">
        <v>2074262.196</v>
      </c>
      <c r="J31" s="606">
        <v>638467.10560000001</v>
      </c>
      <c r="K31" s="606">
        <v>168279.7279</v>
      </c>
      <c r="L31" s="606">
        <v>794532.66509999998</v>
      </c>
      <c r="M31" s="606">
        <v>348145.55249999999</v>
      </c>
      <c r="N31" s="606">
        <v>124837.1449</v>
      </c>
      <c r="O31" s="587">
        <v>0</v>
      </c>
    </row>
    <row r="32" spans="1:15">
      <c r="A32" s="494">
        <v>26</v>
      </c>
      <c r="B32" s="501" t="s">
        <v>691</v>
      </c>
      <c r="C32" s="604">
        <v>17005108.638500009</v>
      </c>
      <c r="D32" s="587">
        <v>12189556.03490001</v>
      </c>
      <c r="E32" s="587">
        <v>2187790.0174000002</v>
      </c>
      <c r="F32" s="606">
        <v>1369715.9951999998</v>
      </c>
      <c r="G32" s="606">
        <v>1124719.9668999997</v>
      </c>
      <c r="H32" s="587">
        <v>133326.6240999999</v>
      </c>
      <c r="I32" s="587">
        <v>1569274.7053</v>
      </c>
      <c r="J32" s="606">
        <v>243715.13870000001</v>
      </c>
      <c r="K32" s="606">
        <v>218779.11630000011</v>
      </c>
      <c r="L32" s="606">
        <v>410914.85779999988</v>
      </c>
      <c r="M32" s="606">
        <v>562360.04839999985</v>
      </c>
      <c r="N32" s="606">
        <v>133505.54409999994</v>
      </c>
      <c r="O32" s="587">
        <v>0</v>
      </c>
    </row>
    <row r="33" spans="1:15">
      <c r="A33" s="494">
        <v>27</v>
      </c>
      <c r="B33" s="528" t="s">
        <v>68</v>
      </c>
      <c r="C33" s="607">
        <v>933507766.37450016</v>
      </c>
      <c r="D33" s="587">
        <v>754043137.40240002</v>
      </c>
      <c r="E33" s="587">
        <v>114890800.06959999</v>
      </c>
      <c r="F33" s="606">
        <v>45956539.658599995</v>
      </c>
      <c r="G33" s="606">
        <v>17550217.899400003</v>
      </c>
      <c r="H33" s="587">
        <v>1067071.3444999997</v>
      </c>
      <c r="I33" s="588">
        <v>49932794.394300006</v>
      </c>
      <c r="J33" s="606">
        <v>14814391.320700001</v>
      </c>
      <c r="K33" s="606">
        <v>11489080.971800001</v>
      </c>
      <c r="L33" s="606">
        <v>13786962.2488</v>
      </c>
      <c r="M33" s="606">
        <v>8775109.5885000005</v>
      </c>
      <c r="N33" s="606">
        <v>1067250.2644999998</v>
      </c>
      <c r="O33" s="587">
        <v>1299102</v>
      </c>
    </row>
    <row r="35" spans="1:15">
      <c r="B35" s="502"/>
      <c r="C35" s="502"/>
    </row>
    <row r="41" spans="1:15">
      <c r="A41" s="498"/>
      <c r="B41" s="498"/>
      <c r="C41" s="498"/>
    </row>
    <row r="42" spans="1:15">
      <c r="A42" s="498"/>
      <c r="B42" s="498"/>
      <c r="C42" s="49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1" sqref="B1"/>
    </sheetView>
  </sheetViews>
  <sheetFormatPr defaultColWidth="8.7109375" defaultRowHeight="12"/>
  <cols>
    <col min="1" max="1" width="11.85546875" style="529" bestFit="1" customWidth="1"/>
    <col min="2" max="2" width="80.140625" style="529" customWidth="1"/>
    <col min="3" max="11" width="28.28515625" style="529" customWidth="1"/>
    <col min="12" max="16384" width="8.7109375" style="529"/>
  </cols>
  <sheetData>
    <row r="1" spans="1:11" s="481" customFormat="1" ht="12.75">
      <c r="A1" s="480" t="s">
        <v>188</v>
      </c>
      <c r="B1" s="621" t="str">
        <f>'1. key ratios'!B1</f>
        <v>ს.ს. "ტერაბანკი"</v>
      </c>
    </row>
    <row r="2" spans="1:11" s="481" customFormat="1" ht="12.75">
      <c r="A2" s="480" t="s">
        <v>189</v>
      </c>
    </row>
    <row r="3" spans="1:11" s="481" customFormat="1" ht="12.75">
      <c r="A3" s="482" t="s">
        <v>692</v>
      </c>
      <c r="B3" s="483">
        <f>'1. key ratios'!B2</f>
        <v>44469</v>
      </c>
    </row>
    <row r="4" spans="1:11">
      <c r="C4" s="530" t="s">
        <v>542</v>
      </c>
      <c r="D4" s="530" t="s">
        <v>543</v>
      </c>
      <c r="E4" s="530" t="s">
        <v>544</v>
      </c>
      <c r="F4" s="530" t="s">
        <v>545</v>
      </c>
      <c r="G4" s="530" t="s">
        <v>546</v>
      </c>
      <c r="H4" s="530" t="s">
        <v>547</v>
      </c>
      <c r="I4" s="530" t="s">
        <v>548</v>
      </c>
      <c r="J4" s="530" t="s">
        <v>549</v>
      </c>
      <c r="K4" s="530" t="s">
        <v>550</v>
      </c>
    </row>
    <row r="5" spans="1:11" ht="104.1" customHeight="1">
      <c r="A5" s="722" t="s">
        <v>693</v>
      </c>
      <c r="B5" s="723"/>
      <c r="C5" s="484" t="s">
        <v>694</v>
      </c>
      <c r="D5" s="484" t="s">
        <v>680</v>
      </c>
      <c r="E5" s="484" t="s">
        <v>681</v>
      </c>
      <c r="F5" s="484" t="s">
        <v>695</v>
      </c>
      <c r="G5" s="484" t="s">
        <v>696</v>
      </c>
      <c r="H5" s="484" t="s">
        <v>697</v>
      </c>
      <c r="I5" s="484" t="s">
        <v>698</v>
      </c>
      <c r="J5" s="484" t="s">
        <v>699</v>
      </c>
      <c r="K5" s="484" t="s">
        <v>700</v>
      </c>
    </row>
    <row r="6" spans="1:11" ht="12.75">
      <c r="A6" s="494">
        <v>1</v>
      </c>
      <c r="B6" s="494" t="s">
        <v>701</v>
      </c>
      <c r="C6" s="587">
        <v>29767875.670000002</v>
      </c>
      <c r="D6" s="587">
        <v>4025456.5660000001</v>
      </c>
      <c r="E6" s="587">
        <v>0</v>
      </c>
      <c r="F6" s="587">
        <v>5272389.12</v>
      </c>
      <c r="G6" s="587">
        <v>789347584.93999779</v>
      </c>
      <c r="H6" s="587">
        <v>0</v>
      </c>
      <c r="I6" s="587">
        <v>47935248.410000004</v>
      </c>
      <c r="J6" s="587">
        <v>18079400.290000018</v>
      </c>
      <c r="K6" s="587">
        <v>39079811.654000521</v>
      </c>
    </row>
    <row r="7" spans="1:11" ht="12.75">
      <c r="A7" s="494">
        <v>2</v>
      </c>
      <c r="B7" s="494" t="s">
        <v>702</v>
      </c>
      <c r="C7" s="587">
        <v>0</v>
      </c>
      <c r="D7" s="587">
        <v>0</v>
      </c>
      <c r="E7" s="587">
        <v>0</v>
      </c>
      <c r="F7" s="587">
        <v>0</v>
      </c>
      <c r="G7" s="587">
        <v>0</v>
      </c>
      <c r="H7" s="587">
        <v>0</v>
      </c>
      <c r="I7" s="587">
        <v>0</v>
      </c>
      <c r="J7" s="587">
        <v>0</v>
      </c>
      <c r="K7" s="587">
        <v>34000000</v>
      </c>
    </row>
    <row r="8" spans="1:11" ht="12.75">
      <c r="A8" s="494">
        <v>3</v>
      </c>
      <c r="B8" s="494" t="s">
        <v>652</v>
      </c>
      <c r="C8" s="587">
        <v>20398635.649999999</v>
      </c>
      <c r="D8" s="587">
        <v>0</v>
      </c>
      <c r="E8" s="587">
        <v>0</v>
      </c>
      <c r="F8" s="587">
        <v>0</v>
      </c>
      <c r="G8" s="587">
        <v>17220741.48</v>
      </c>
      <c r="H8" s="587">
        <v>0</v>
      </c>
      <c r="I8" s="587">
        <v>2130495.56</v>
      </c>
      <c r="J8" s="587">
        <v>15067753.91</v>
      </c>
      <c r="K8" s="587">
        <v>27803760.397800088</v>
      </c>
    </row>
    <row r="9" spans="1:11" ht="12.75">
      <c r="A9" s="494">
        <v>4</v>
      </c>
      <c r="B9" s="516" t="s">
        <v>703</v>
      </c>
      <c r="C9" s="587">
        <v>170627.71999999997</v>
      </c>
      <c r="D9" s="587">
        <v>19242.03</v>
      </c>
      <c r="E9" s="587">
        <v>0</v>
      </c>
      <c r="F9" s="587">
        <v>0</v>
      </c>
      <c r="G9" s="587">
        <v>60396145.539999895</v>
      </c>
      <c r="H9" s="587">
        <v>0</v>
      </c>
      <c r="I9" s="587">
        <v>1404241.49</v>
      </c>
      <c r="J9" s="587">
        <v>915934.59000000008</v>
      </c>
      <c r="K9" s="587">
        <v>1667637.6399985179</v>
      </c>
    </row>
    <row r="10" spans="1:11" ht="12.75">
      <c r="A10" s="494">
        <v>5</v>
      </c>
      <c r="B10" s="516" t="s">
        <v>704</v>
      </c>
      <c r="C10" s="587">
        <v>0</v>
      </c>
      <c r="D10" s="587">
        <v>0</v>
      </c>
      <c r="E10" s="587">
        <v>0</v>
      </c>
      <c r="F10" s="587">
        <v>0</v>
      </c>
      <c r="G10" s="587">
        <v>0</v>
      </c>
      <c r="H10" s="587">
        <v>0</v>
      </c>
      <c r="I10" s="587">
        <v>0</v>
      </c>
      <c r="J10" s="587">
        <v>0</v>
      </c>
      <c r="K10" s="587">
        <v>0</v>
      </c>
    </row>
    <row r="11" spans="1:11" ht="12.75">
      <c r="A11" s="494">
        <v>6</v>
      </c>
      <c r="B11" s="516" t="s">
        <v>705</v>
      </c>
      <c r="C11" s="587">
        <v>11510</v>
      </c>
      <c r="D11" s="587">
        <v>0</v>
      </c>
      <c r="E11" s="587">
        <v>0</v>
      </c>
      <c r="F11" s="587">
        <v>0</v>
      </c>
      <c r="G11" s="587">
        <v>38000</v>
      </c>
      <c r="H11" s="587">
        <v>0</v>
      </c>
      <c r="I11" s="587">
        <v>0</v>
      </c>
      <c r="J11" s="587">
        <v>0</v>
      </c>
      <c r="K11" s="587">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E1" workbookViewId="0">
      <selection activeCell="R19" sqref="R19"/>
    </sheetView>
  </sheetViews>
  <sheetFormatPr defaultRowHeight="15"/>
  <cols>
    <col min="1" max="1" width="10" bestFit="1" customWidth="1"/>
    <col min="2" max="2" width="71.7109375" customWidth="1"/>
    <col min="3" max="3" width="10.5703125" bestFit="1" customWidth="1"/>
    <col min="4" max="4" width="12.42578125" bestFit="1" customWidth="1"/>
    <col min="5" max="5" width="11.42578125" bestFit="1" customWidth="1"/>
    <col min="6" max="6" width="15" bestFit="1" customWidth="1"/>
    <col min="7" max="7" width="9" bestFit="1" customWidth="1"/>
    <col min="8" max="8" width="7.7109375" bestFit="1" customWidth="1"/>
    <col min="9" max="9" width="10.5703125" bestFit="1" customWidth="1"/>
    <col min="10" max="10" width="12.42578125" bestFit="1" customWidth="1"/>
    <col min="11" max="11" width="11.42578125" bestFit="1" customWidth="1"/>
    <col min="12" max="12" width="15" bestFit="1" customWidth="1"/>
    <col min="13" max="13" width="9" bestFit="1" customWidth="1"/>
    <col min="14" max="14" width="7.7109375" bestFit="1" customWidth="1"/>
    <col min="15" max="15" width="16.7109375" bestFit="1" customWidth="1"/>
    <col min="16" max="16" width="33.7109375" bestFit="1" customWidth="1"/>
    <col min="17" max="17" width="33.140625" customWidth="1"/>
    <col min="18" max="18" width="37.140625" bestFit="1" customWidth="1"/>
    <col min="19" max="19" width="32.140625" bestFit="1" customWidth="1"/>
  </cols>
  <sheetData>
    <row r="1" spans="1:19">
      <c r="A1" s="480" t="s">
        <v>188</v>
      </c>
      <c r="B1" s="398" t="str">
        <f>'1. key ratios'!B1</f>
        <v>ს.ს. "ტერაბანკი"</v>
      </c>
    </row>
    <row r="2" spans="1:19">
      <c r="A2" s="480" t="s">
        <v>189</v>
      </c>
      <c r="B2" s="483">
        <f>'1. key ratios'!B2</f>
        <v>44469</v>
      </c>
    </row>
    <row r="3" spans="1:19">
      <c r="A3" s="482" t="s">
        <v>717</v>
      </c>
      <c r="B3" s="481"/>
    </row>
    <row r="4" spans="1:19">
      <c r="A4" s="482"/>
      <c r="B4" s="481"/>
    </row>
    <row r="5" spans="1:19" ht="24" customHeight="1">
      <c r="A5" s="725" t="s">
        <v>718</v>
      </c>
      <c r="B5" s="725"/>
      <c r="C5" s="726" t="s">
        <v>655</v>
      </c>
      <c r="D5" s="726"/>
      <c r="E5" s="726"/>
      <c r="F5" s="726"/>
      <c r="G5" s="726"/>
      <c r="H5" s="726"/>
      <c r="I5" s="726" t="s">
        <v>719</v>
      </c>
      <c r="J5" s="726"/>
      <c r="K5" s="726"/>
      <c r="L5" s="726"/>
      <c r="M5" s="726"/>
      <c r="N5" s="726"/>
      <c r="O5" s="724" t="s">
        <v>720</v>
      </c>
      <c r="P5" s="724" t="s">
        <v>721</v>
      </c>
      <c r="Q5" s="724" t="s">
        <v>722</v>
      </c>
      <c r="R5" s="724" t="s">
        <v>723</v>
      </c>
      <c r="S5" s="724" t="s">
        <v>724</v>
      </c>
    </row>
    <row r="6" spans="1:19" ht="36" customHeight="1">
      <c r="A6" s="725"/>
      <c r="B6" s="725"/>
      <c r="C6" s="608"/>
      <c r="D6" s="526" t="s">
        <v>686</v>
      </c>
      <c r="E6" s="526" t="s">
        <v>687</v>
      </c>
      <c r="F6" s="526" t="s">
        <v>688</v>
      </c>
      <c r="G6" s="526" t="s">
        <v>689</v>
      </c>
      <c r="H6" s="526" t="s">
        <v>690</v>
      </c>
      <c r="I6" s="608"/>
      <c r="J6" s="526" t="s">
        <v>686</v>
      </c>
      <c r="K6" s="526" t="s">
        <v>687</v>
      </c>
      <c r="L6" s="526" t="s">
        <v>688</v>
      </c>
      <c r="M6" s="526" t="s">
        <v>689</v>
      </c>
      <c r="N6" s="526" t="s">
        <v>690</v>
      </c>
      <c r="O6" s="724"/>
      <c r="P6" s="724"/>
      <c r="Q6" s="724"/>
      <c r="R6" s="724"/>
      <c r="S6" s="724"/>
    </row>
    <row r="7" spans="1:19">
      <c r="A7" s="609">
        <v>1</v>
      </c>
      <c r="B7" s="610" t="s">
        <v>725</v>
      </c>
      <c r="C7" s="617">
        <v>1067465.4210999999</v>
      </c>
      <c r="D7" s="617">
        <v>1056465.4210999999</v>
      </c>
      <c r="E7" s="617">
        <v>11000</v>
      </c>
      <c r="F7" s="617">
        <v>0</v>
      </c>
      <c r="G7" s="617">
        <v>0</v>
      </c>
      <c r="H7" s="617">
        <v>0</v>
      </c>
      <c r="I7" s="617">
        <v>22229.309000000001</v>
      </c>
      <c r="J7" s="617">
        <v>21129.309000000001</v>
      </c>
      <c r="K7" s="617">
        <v>1100</v>
      </c>
      <c r="L7" s="617">
        <v>0</v>
      </c>
      <c r="M7" s="617">
        <v>0</v>
      </c>
      <c r="N7" s="617">
        <v>0</v>
      </c>
      <c r="O7" s="617">
        <v>54</v>
      </c>
      <c r="P7" s="619">
        <v>0.37869999999999998</v>
      </c>
      <c r="Q7" s="619">
        <v>0.45540000000000008</v>
      </c>
      <c r="R7" s="619">
        <v>0.2586</v>
      </c>
      <c r="S7" s="617">
        <v>29.138300000000001</v>
      </c>
    </row>
    <row r="8" spans="1:19">
      <c r="A8" s="609">
        <v>2</v>
      </c>
      <c r="B8" s="611" t="s">
        <v>726</v>
      </c>
      <c r="C8" s="617">
        <v>89844611.683600008</v>
      </c>
      <c r="D8" s="617">
        <v>81419575.309799999</v>
      </c>
      <c r="E8" s="617">
        <v>4381397.3223999999</v>
      </c>
      <c r="F8" s="617">
        <v>2070247.9456</v>
      </c>
      <c r="G8" s="617">
        <v>1351174.0385</v>
      </c>
      <c r="H8" s="617">
        <v>622217.0673</v>
      </c>
      <c r="I8" s="617">
        <v>3722996.3593000006</v>
      </c>
      <c r="J8" s="617">
        <v>1365977.6163999999</v>
      </c>
      <c r="K8" s="617">
        <v>438140.03509999998</v>
      </c>
      <c r="L8" s="617">
        <v>621074.39939999999</v>
      </c>
      <c r="M8" s="617">
        <v>675587.24109999998</v>
      </c>
      <c r="N8" s="617">
        <v>622217.0673</v>
      </c>
      <c r="O8" s="617">
        <v>6746</v>
      </c>
      <c r="P8" s="619">
        <v>0.13036678459860487</v>
      </c>
      <c r="Q8" s="619">
        <v>0.1602894238229034</v>
      </c>
      <c r="R8" s="619">
        <v>0.1255</v>
      </c>
      <c r="S8" s="617">
        <v>45.159399999999998</v>
      </c>
    </row>
    <row r="9" spans="1:19">
      <c r="A9" s="609">
        <v>3</v>
      </c>
      <c r="B9" s="611" t="s">
        <v>728</v>
      </c>
      <c r="C9" s="617">
        <v>0</v>
      </c>
      <c r="D9" s="617">
        <v>0</v>
      </c>
      <c r="E9" s="617">
        <v>0</v>
      </c>
      <c r="F9" s="617">
        <v>0</v>
      </c>
      <c r="G9" s="617">
        <v>0</v>
      </c>
      <c r="H9" s="617">
        <v>0</v>
      </c>
      <c r="I9" s="617">
        <v>0</v>
      </c>
      <c r="J9" s="617">
        <v>0</v>
      </c>
      <c r="K9" s="617">
        <v>0</v>
      </c>
      <c r="L9" s="617">
        <v>0</v>
      </c>
      <c r="M9" s="617">
        <v>0</v>
      </c>
      <c r="N9" s="617">
        <v>0</v>
      </c>
      <c r="O9" s="617">
        <v>0</v>
      </c>
      <c r="P9" s="619">
        <v>0</v>
      </c>
      <c r="Q9" s="619">
        <v>0</v>
      </c>
      <c r="R9" s="619">
        <v>0</v>
      </c>
      <c r="S9" s="617">
        <v>0</v>
      </c>
    </row>
    <row r="10" spans="1:19">
      <c r="A10" s="609">
        <v>4</v>
      </c>
      <c r="B10" s="611" t="s">
        <v>729</v>
      </c>
      <c r="C10" s="617">
        <v>7987.48</v>
      </c>
      <c r="D10" s="617">
        <v>7987.48</v>
      </c>
      <c r="E10" s="617">
        <v>0</v>
      </c>
      <c r="F10" s="617">
        <v>0</v>
      </c>
      <c r="G10" s="617">
        <v>0</v>
      </c>
      <c r="H10" s="617">
        <v>0</v>
      </c>
      <c r="I10" s="617">
        <v>159.74</v>
      </c>
      <c r="J10" s="617">
        <v>159.74</v>
      </c>
      <c r="K10" s="617">
        <v>0</v>
      </c>
      <c r="L10" s="617">
        <v>0</v>
      </c>
      <c r="M10" s="617">
        <v>0</v>
      </c>
      <c r="N10" s="617">
        <v>0</v>
      </c>
      <c r="O10" s="617">
        <v>11</v>
      </c>
      <c r="P10" s="619">
        <v>0</v>
      </c>
      <c r="Q10" s="619">
        <v>0.22684711534755855</v>
      </c>
      <c r="R10" s="619">
        <v>0</v>
      </c>
      <c r="S10" s="617">
        <v>15.5762</v>
      </c>
    </row>
    <row r="11" spans="1:19">
      <c r="A11" s="609">
        <v>5</v>
      </c>
      <c r="B11" s="611" t="s">
        <v>730</v>
      </c>
      <c r="C11" s="617">
        <v>2655948.6208999995</v>
      </c>
      <c r="D11" s="617">
        <v>2364864.9083999996</v>
      </c>
      <c r="E11" s="617">
        <v>134467.64000000001</v>
      </c>
      <c r="F11" s="617">
        <v>43935.53</v>
      </c>
      <c r="G11" s="617">
        <v>10657.42</v>
      </c>
      <c r="H11" s="617">
        <v>102023.1225</v>
      </c>
      <c r="I11" s="617">
        <v>181395.4325</v>
      </c>
      <c r="J11" s="617">
        <v>47237.120000000003</v>
      </c>
      <c r="K11" s="617">
        <v>13446.87</v>
      </c>
      <c r="L11" s="617">
        <v>13180.68</v>
      </c>
      <c r="M11" s="617">
        <v>5328.72</v>
      </c>
      <c r="N11" s="617">
        <v>102202.0425</v>
      </c>
      <c r="O11" s="617">
        <v>3791</v>
      </c>
      <c r="P11" s="619">
        <v>0.14149808988637144</v>
      </c>
      <c r="Q11" s="619">
        <v>0.14996563280121217</v>
      </c>
      <c r="R11" s="619">
        <v>0.1411</v>
      </c>
      <c r="S11" s="617">
        <v>30.9636</v>
      </c>
    </row>
    <row r="12" spans="1:19">
      <c r="A12" s="609">
        <v>6</v>
      </c>
      <c r="B12" s="611" t="s">
        <v>731</v>
      </c>
      <c r="C12" s="617">
        <v>2258341.2875999999</v>
      </c>
      <c r="D12" s="617">
        <v>1827532.2644</v>
      </c>
      <c r="E12" s="617">
        <v>305031.16320000001</v>
      </c>
      <c r="F12" s="617">
        <v>69770.17</v>
      </c>
      <c r="G12" s="617">
        <v>41298.51</v>
      </c>
      <c r="H12" s="617">
        <v>14709.18</v>
      </c>
      <c r="I12" s="617">
        <v>123255.11669999998</v>
      </c>
      <c r="J12" s="617">
        <v>36462.399400000002</v>
      </c>
      <c r="K12" s="617">
        <v>30503.187300000001</v>
      </c>
      <c r="L12" s="617">
        <v>20931.060000000001</v>
      </c>
      <c r="M12" s="617">
        <v>20649.29</v>
      </c>
      <c r="N12" s="617">
        <v>14709.18</v>
      </c>
      <c r="O12" s="617">
        <v>1489</v>
      </c>
      <c r="P12" s="619">
        <v>0.27491475389601044</v>
      </c>
      <c r="Q12" s="619">
        <v>0.33795723533247457</v>
      </c>
      <c r="R12" s="619">
        <v>0.2782</v>
      </c>
      <c r="S12" s="617">
        <v>39.033299999999997</v>
      </c>
    </row>
    <row r="13" spans="1:19">
      <c r="A13" s="609">
        <v>7</v>
      </c>
      <c r="B13" s="611" t="s">
        <v>732</v>
      </c>
      <c r="C13" s="617">
        <v>102930152.32089999</v>
      </c>
      <c r="D13" s="617">
        <v>93832996.417599991</v>
      </c>
      <c r="E13" s="617">
        <v>3569184.8689000001</v>
      </c>
      <c r="F13" s="617">
        <v>4477375.6283</v>
      </c>
      <c r="G13" s="617">
        <v>1050595.4061</v>
      </c>
      <c r="H13" s="617">
        <v>0</v>
      </c>
      <c r="I13" s="617">
        <v>4102089.4062999999</v>
      </c>
      <c r="J13" s="617">
        <v>1876660.4473999999</v>
      </c>
      <c r="K13" s="617">
        <v>356918.46400000004</v>
      </c>
      <c r="L13" s="617">
        <v>1343212.7612999999</v>
      </c>
      <c r="M13" s="617">
        <v>525297.73359999992</v>
      </c>
      <c r="N13" s="617">
        <v>0</v>
      </c>
      <c r="O13" s="617">
        <v>1350</v>
      </c>
      <c r="P13" s="619">
        <v>0.12651129073674319</v>
      </c>
      <c r="Q13" s="619">
        <v>0.14096223650647846</v>
      </c>
      <c r="R13" s="619">
        <v>0.1089</v>
      </c>
      <c r="S13" s="617">
        <v>116.0694</v>
      </c>
    </row>
    <row r="14" spans="1:19">
      <c r="A14" s="616">
        <v>7.1</v>
      </c>
      <c r="B14" s="612" t="s">
        <v>733</v>
      </c>
      <c r="C14" s="617">
        <v>73324486.155900002</v>
      </c>
      <c r="D14" s="617">
        <v>67287237.091999993</v>
      </c>
      <c r="E14" s="617">
        <v>2310324.2116</v>
      </c>
      <c r="F14" s="617">
        <v>3429223.7023</v>
      </c>
      <c r="G14" s="617">
        <v>297701.15000000002</v>
      </c>
      <c r="H14" s="617">
        <v>0</v>
      </c>
      <c r="I14" s="617">
        <v>2754395.2209999999</v>
      </c>
      <c r="J14" s="617">
        <v>1345745.0803</v>
      </c>
      <c r="K14" s="617">
        <v>231032.36249999999</v>
      </c>
      <c r="L14" s="617">
        <v>1028767.1725999999</v>
      </c>
      <c r="M14" s="617">
        <v>148850.60560000001</v>
      </c>
      <c r="N14" s="617">
        <v>0</v>
      </c>
      <c r="O14" s="617">
        <v>872</v>
      </c>
      <c r="P14" s="619">
        <v>0.12576019547998435</v>
      </c>
      <c r="Q14" s="619">
        <v>0.14053637099728758</v>
      </c>
      <c r="R14" s="619">
        <v>0.10680000000000001</v>
      </c>
      <c r="S14" s="617">
        <v>118.99120000000001</v>
      </c>
    </row>
    <row r="15" spans="1:19" ht="25.5">
      <c r="A15" s="616">
        <v>7.2</v>
      </c>
      <c r="B15" s="612" t="s">
        <v>734</v>
      </c>
      <c r="C15" s="617">
        <v>25480662.080299996</v>
      </c>
      <c r="D15" s="617">
        <v>23400623.360099997</v>
      </c>
      <c r="E15" s="617">
        <v>1143496.0301000001</v>
      </c>
      <c r="F15" s="617">
        <v>822277.21010000003</v>
      </c>
      <c r="G15" s="617">
        <v>114265.48</v>
      </c>
      <c r="H15" s="617">
        <v>0</v>
      </c>
      <c r="I15" s="617">
        <v>886178.18900000001</v>
      </c>
      <c r="J15" s="617">
        <v>468012.64159999997</v>
      </c>
      <c r="K15" s="617">
        <v>114349.6366</v>
      </c>
      <c r="L15" s="617">
        <v>246683.17080000002</v>
      </c>
      <c r="M15" s="617">
        <v>57132.74</v>
      </c>
      <c r="N15" s="617">
        <v>0</v>
      </c>
      <c r="O15" s="617">
        <v>394</v>
      </c>
      <c r="P15" s="619">
        <v>0.13149775641025641</v>
      </c>
      <c r="Q15" s="619">
        <v>0.14680641025641025</v>
      </c>
      <c r="R15" s="619">
        <v>0.114</v>
      </c>
      <c r="S15" s="617">
        <v>106.3219</v>
      </c>
    </row>
    <row r="16" spans="1:19">
      <c r="A16" s="616">
        <v>7.3</v>
      </c>
      <c r="B16" s="612" t="s">
        <v>735</v>
      </c>
      <c r="C16" s="617">
        <v>4125004.0847</v>
      </c>
      <c r="D16" s="617">
        <v>3145135.9654999999</v>
      </c>
      <c r="E16" s="617">
        <v>115364.6272</v>
      </c>
      <c r="F16" s="617">
        <v>225874.71590000001</v>
      </c>
      <c r="G16" s="617">
        <v>638628.77610000002</v>
      </c>
      <c r="H16" s="617">
        <v>0</v>
      </c>
      <c r="I16" s="617">
        <v>461515.9963</v>
      </c>
      <c r="J16" s="617">
        <v>62902.7255</v>
      </c>
      <c r="K16" s="617">
        <v>11536.464900000001</v>
      </c>
      <c r="L16" s="617">
        <v>67762.4179</v>
      </c>
      <c r="M16" s="617">
        <v>319314.38799999998</v>
      </c>
      <c r="N16" s="617">
        <v>0</v>
      </c>
      <c r="O16" s="617">
        <v>84</v>
      </c>
      <c r="P16" s="619">
        <v>0.12795778522714138</v>
      </c>
      <c r="Q16" s="619">
        <v>0.14128407891187919</v>
      </c>
      <c r="R16" s="619">
        <v>0.1166</v>
      </c>
      <c r="S16" s="617">
        <v>127.01090000000001</v>
      </c>
    </row>
    <row r="17" spans="1:19">
      <c r="A17" s="609">
        <v>8</v>
      </c>
      <c r="B17" s="611" t="s">
        <v>736</v>
      </c>
      <c r="C17" s="617">
        <v>0</v>
      </c>
      <c r="D17" s="617">
        <v>0</v>
      </c>
      <c r="E17" s="617">
        <v>0</v>
      </c>
      <c r="F17" s="617">
        <v>0</v>
      </c>
      <c r="G17" s="617">
        <v>0</v>
      </c>
      <c r="H17" s="617">
        <v>0</v>
      </c>
      <c r="I17" s="617">
        <v>0</v>
      </c>
      <c r="J17" s="617">
        <v>0</v>
      </c>
      <c r="K17" s="617">
        <v>0</v>
      </c>
      <c r="L17" s="617">
        <v>0</v>
      </c>
      <c r="M17" s="617">
        <v>0</v>
      </c>
      <c r="N17" s="617">
        <v>0</v>
      </c>
      <c r="O17" s="617">
        <v>0</v>
      </c>
      <c r="P17" s="619">
        <v>0</v>
      </c>
      <c r="Q17" s="619">
        <v>0</v>
      </c>
      <c r="R17" s="619">
        <v>0</v>
      </c>
      <c r="S17" s="617">
        <v>0</v>
      </c>
    </row>
    <row r="18" spans="1:19">
      <c r="A18" s="613">
        <v>9</v>
      </c>
      <c r="B18" s="614" t="s">
        <v>737</v>
      </c>
      <c r="C18" s="617">
        <v>212010.69</v>
      </c>
      <c r="D18" s="617">
        <v>212010.69</v>
      </c>
      <c r="E18" s="617">
        <v>0</v>
      </c>
      <c r="F18" s="617">
        <v>0</v>
      </c>
      <c r="G18" s="617">
        <v>0</v>
      </c>
      <c r="H18" s="617">
        <v>0</v>
      </c>
      <c r="I18" s="617">
        <v>4240.22</v>
      </c>
      <c r="J18" s="617">
        <v>4240.22</v>
      </c>
      <c r="K18" s="617">
        <v>0</v>
      </c>
      <c r="L18" s="617">
        <v>0</v>
      </c>
      <c r="M18" s="617">
        <v>0</v>
      </c>
      <c r="N18" s="617">
        <v>0</v>
      </c>
      <c r="O18" s="617">
        <v>31</v>
      </c>
      <c r="P18" s="619">
        <v>0.11543120599296361</v>
      </c>
      <c r="Q18" s="619">
        <v>0.11543120599296361</v>
      </c>
      <c r="R18" s="619">
        <v>0.1137</v>
      </c>
      <c r="S18" s="617">
        <v>73.282499999999999</v>
      </c>
    </row>
    <row r="19" spans="1:19">
      <c r="A19" s="609">
        <v>10</v>
      </c>
      <c r="B19" s="615" t="s">
        <v>738</v>
      </c>
      <c r="C19" s="618">
        <v>198976517.50410002</v>
      </c>
      <c r="D19" s="618">
        <v>180721432.49129999</v>
      </c>
      <c r="E19" s="618">
        <v>8401080.9945</v>
      </c>
      <c r="F19" s="618">
        <v>6661329.2739000004</v>
      </c>
      <c r="G19" s="618">
        <v>2453725.3745999997</v>
      </c>
      <c r="H19" s="618">
        <v>738949.3698000001</v>
      </c>
      <c r="I19" s="618">
        <v>8156365.5838000001</v>
      </c>
      <c r="J19" s="618">
        <v>3351866.8522000001</v>
      </c>
      <c r="K19" s="618">
        <v>840108.5564</v>
      </c>
      <c r="L19" s="618">
        <v>1998398.9007000001</v>
      </c>
      <c r="M19" s="618">
        <v>1226862.9846999999</v>
      </c>
      <c r="N19" s="618">
        <v>739128.28980000003</v>
      </c>
      <c r="O19" s="618">
        <v>13472</v>
      </c>
      <c r="P19" s="620">
        <v>0.14428121642067232</v>
      </c>
      <c r="Q19" s="620">
        <v>0.16621841862310663</v>
      </c>
      <c r="R19" s="620">
        <v>0.11955063704196361</v>
      </c>
      <c r="S19" s="618">
        <v>81.298900000000003</v>
      </c>
    </row>
    <row r="20" spans="1:19" ht="25.5">
      <c r="A20" s="616">
        <v>10.1</v>
      </c>
      <c r="B20" s="612" t="s">
        <v>727</v>
      </c>
      <c r="C20" s="617">
        <v>0</v>
      </c>
      <c r="D20" s="617">
        <v>0</v>
      </c>
      <c r="E20" s="617">
        <v>0</v>
      </c>
      <c r="F20" s="617">
        <v>0</v>
      </c>
      <c r="G20" s="617">
        <v>0</v>
      </c>
      <c r="H20" s="617">
        <v>0</v>
      </c>
      <c r="I20" s="617">
        <v>0</v>
      </c>
      <c r="J20" s="617">
        <v>0</v>
      </c>
      <c r="K20" s="617">
        <v>0</v>
      </c>
      <c r="L20" s="617">
        <v>0</v>
      </c>
      <c r="M20" s="617">
        <v>0</v>
      </c>
      <c r="N20" s="617">
        <v>0</v>
      </c>
      <c r="O20" s="617">
        <v>0</v>
      </c>
      <c r="P20" s="619">
        <v>0</v>
      </c>
      <c r="Q20" s="619">
        <v>0</v>
      </c>
      <c r="R20" s="619">
        <v>0</v>
      </c>
      <c r="S20" s="617">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F8" sqref="F8"/>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"ტერაბანკი"</v>
      </c>
    </row>
    <row r="2" spans="1:8" ht="15.75">
      <c r="A2" s="14" t="s">
        <v>189</v>
      </c>
      <c r="B2" s="436">
        <f>'1. key ratios'!B2</f>
        <v>44469</v>
      </c>
    </row>
    <row r="3" spans="1:8" ht="15.75">
      <c r="A3" s="14"/>
    </row>
    <row r="4" spans="1:8" ht="16.5" thickBot="1">
      <c r="A4" s="15" t="s">
        <v>329</v>
      </c>
      <c r="B4" s="63" t="s">
        <v>244</v>
      </c>
      <c r="C4" s="15"/>
      <c r="D4" s="25"/>
      <c r="E4" s="25"/>
      <c r="F4" s="26"/>
      <c r="G4" s="26"/>
      <c r="H4" s="27" t="s">
        <v>93</v>
      </c>
    </row>
    <row r="5" spans="1:8" ht="15.75">
      <c r="A5" s="28"/>
      <c r="B5" s="29"/>
      <c r="C5" s="624" t="s">
        <v>194</v>
      </c>
      <c r="D5" s="625"/>
      <c r="E5" s="626"/>
      <c r="F5" s="624" t="s">
        <v>195</v>
      </c>
      <c r="G5" s="625"/>
      <c r="H5" s="627"/>
    </row>
    <row r="6" spans="1:8" ht="15.75">
      <c r="A6" s="30" t="s">
        <v>26</v>
      </c>
      <c r="B6" s="31" t="s">
        <v>153</v>
      </c>
      <c r="C6" s="32" t="s">
        <v>27</v>
      </c>
      <c r="D6" s="32" t="s">
        <v>94</v>
      </c>
      <c r="E6" s="32" t="s">
        <v>68</v>
      </c>
      <c r="F6" s="32" t="s">
        <v>27</v>
      </c>
      <c r="G6" s="32" t="s">
        <v>94</v>
      </c>
      <c r="H6" s="33" t="s">
        <v>68</v>
      </c>
    </row>
    <row r="7" spans="1:8" ht="15.75">
      <c r="A7" s="30">
        <v>1</v>
      </c>
      <c r="B7" s="34" t="s">
        <v>154</v>
      </c>
      <c r="C7" s="216">
        <v>14905936.549999995</v>
      </c>
      <c r="D7" s="216">
        <v>29594607.670000017</v>
      </c>
      <c r="E7" s="217">
        <f>C7+D7</f>
        <v>44500544.220000014</v>
      </c>
      <c r="F7" s="218">
        <v>15382894.149999999</v>
      </c>
      <c r="G7" s="219">
        <v>18517071.099999998</v>
      </c>
      <c r="H7" s="220">
        <f>F7+G7</f>
        <v>33899965.25</v>
      </c>
    </row>
    <row r="8" spans="1:8" ht="15.75">
      <c r="A8" s="30">
        <v>2</v>
      </c>
      <c r="B8" s="34" t="s">
        <v>155</v>
      </c>
      <c r="C8" s="216">
        <v>12687249.43</v>
      </c>
      <c r="D8" s="216">
        <v>144052299.41</v>
      </c>
      <c r="E8" s="217">
        <f t="shared" ref="E8:E20" si="0">C8+D8</f>
        <v>156739548.84</v>
      </c>
      <c r="F8" s="218">
        <v>22333744</v>
      </c>
      <c r="G8" s="219">
        <v>139554687.09</v>
      </c>
      <c r="H8" s="220">
        <f t="shared" ref="H8:H40" si="1">F8+G8</f>
        <v>161888431.09</v>
      </c>
    </row>
    <row r="9" spans="1:8" ht="15.75">
      <c r="A9" s="30">
        <v>3</v>
      </c>
      <c r="B9" s="34" t="s">
        <v>156</v>
      </c>
      <c r="C9" s="216">
        <v>455220.66000000003</v>
      </c>
      <c r="D9" s="216">
        <v>41807925.719999999</v>
      </c>
      <c r="E9" s="217">
        <f t="shared" si="0"/>
        <v>42263146.379999995</v>
      </c>
      <c r="F9" s="218">
        <v>156857.62000000002</v>
      </c>
      <c r="G9" s="219">
        <v>40816928.710000001</v>
      </c>
      <c r="H9" s="220">
        <f t="shared" si="1"/>
        <v>40973786.329999998</v>
      </c>
    </row>
    <row r="10" spans="1:8" ht="15.75">
      <c r="A10" s="30">
        <v>4</v>
      </c>
      <c r="B10" s="34" t="s">
        <v>185</v>
      </c>
      <c r="C10" s="216">
        <v>0</v>
      </c>
      <c r="D10" s="216">
        <v>0</v>
      </c>
      <c r="E10" s="217">
        <f t="shared" si="0"/>
        <v>0</v>
      </c>
      <c r="F10" s="218">
        <v>0</v>
      </c>
      <c r="G10" s="219">
        <v>0</v>
      </c>
      <c r="H10" s="220">
        <f t="shared" si="1"/>
        <v>0</v>
      </c>
    </row>
    <row r="11" spans="1:8" ht="15.75">
      <c r="A11" s="30">
        <v>5</v>
      </c>
      <c r="B11" s="34" t="s">
        <v>157</v>
      </c>
      <c r="C11" s="216">
        <v>127105313.37</v>
      </c>
      <c r="D11" s="216">
        <v>0</v>
      </c>
      <c r="E11" s="217">
        <f t="shared" si="0"/>
        <v>127105313.37</v>
      </c>
      <c r="F11" s="218">
        <v>86340247.949999988</v>
      </c>
      <c r="G11" s="219">
        <v>0</v>
      </c>
      <c r="H11" s="220">
        <f t="shared" si="1"/>
        <v>86340247.949999988</v>
      </c>
    </row>
    <row r="12" spans="1:8" ht="15.75">
      <c r="A12" s="30">
        <v>6.1</v>
      </c>
      <c r="B12" s="35" t="s">
        <v>158</v>
      </c>
      <c r="C12" s="216">
        <v>408374238.0899992</v>
      </c>
      <c r="D12" s="216">
        <v>525133528.55999899</v>
      </c>
      <c r="E12" s="217">
        <f t="shared" si="0"/>
        <v>933507766.64999819</v>
      </c>
      <c r="F12" s="218">
        <v>321155831.88000041</v>
      </c>
      <c r="G12" s="219">
        <v>575248386.94999993</v>
      </c>
      <c r="H12" s="220">
        <f t="shared" si="1"/>
        <v>896404218.8300004</v>
      </c>
    </row>
    <row r="13" spans="1:8" ht="15.75">
      <c r="A13" s="30">
        <v>6.2</v>
      </c>
      <c r="B13" s="35" t="s">
        <v>159</v>
      </c>
      <c r="C13" s="216">
        <v>17790697.689999886</v>
      </c>
      <c r="D13" s="216">
        <v>33441201.260000002</v>
      </c>
      <c r="E13" s="217">
        <f t="shared" si="0"/>
        <v>51231898.949999884</v>
      </c>
      <c r="F13" s="218">
        <v>23117676.210000154</v>
      </c>
      <c r="G13" s="219">
        <v>35403575.879999988</v>
      </c>
      <c r="H13" s="220">
        <f t="shared" si="1"/>
        <v>58521252.090000138</v>
      </c>
    </row>
    <row r="14" spans="1:8" ht="15.75">
      <c r="A14" s="30">
        <v>6</v>
      </c>
      <c r="B14" s="34" t="s">
        <v>160</v>
      </c>
      <c r="C14" s="217">
        <f>C12-C13</f>
        <v>390583540.39999932</v>
      </c>
      <c r="D14" s="217">
        <f>D12-D13</f>
        <v>491692327.299999</v>
      </c>
      <c r="E14" s="217">
        <f t="shared" si="0"/>
        <v>882275867.69999838</v>
      </c>
      <c r="F14" s="217">
        <f>F12-F13</f>
        <v>298038155.67000026</v>
      </c>
      <c r="G14" s="217">
        <f>G12-G13</f>
        <v>539844811.06999993</v>
      </c>
      <c r="H14" s="220">
        <f t="shared" si="1"/>
        <v>837882966.74000025</v>
      </c>
    </row>
    <row r="15" spans="1:8" ht="15.75">
      <c r="A15" s="30">
        <v>7</v>
      </c>
      <c r="B15" s="34" t="s">
        <v>161</v>
      </c>
      <c r="C15" s="216">
        <v>6506337.6699999776</v>
      </c>
      <c r="D15" s="216">
        <v>6367886.79</v>
      </c>
      <c r="E15" s="217">
        <f t="shared" si="0"/>
        <v>12874224.459999979</v>
      </c>
      <c r="F15" s="218">
        <v>6339627.6299999868</v>
      </c>
      <c r="G15" s="219">
        <v>6690227.2099999953</v>
      </c>
      <c r="H15" s="220">
        <f t="shared" si="1"/>
        <v>13029854.839999981</v>
      </c>
    </row>
    <row r="16" spans="1:8" ht="15.75">
      <c r="A16" s="30">
        <v>8</v>
      </c>
      <c r="B16" s="34" t="s">
        <v>162</v>
      </c>
      <c r="C16" s="216">
        <v>3574072.9600000121</v>
      </c>
      <c r="D16" s="216">
        <v>0</v>
      </c>
      <c r="E16" s="217">
        <f t="shared" si="0"/>
        <v>3574072.9600000121</v>
      </c>
      <c r="F16" s="218">
        <v>6139466.5700000189</v>
      </c>
      <c r="G16" s="219">
        <v>0</v>
      </c>
      <c r="H16" s="220">
        <f t="shared" si="1"/>
        <v>6139466.5700000189</v>
      </c>
    </row>
    <row r="17" spans="1:8" ht="15.75">
      <c r="A17" s="30">
        <v>9</v>
      </c>
      <c r="B17" s="34" t="s">
        <v>163</v>
      </c>
      <c r="C17" s="216">
        <v>0</v>
      </c>
      <c r="D17" s="216">
        <v>0</v>
      </c>
      <c r="E17" s="217">
        <f t="shared" si="0"/>
        <v>0</v>
      </c>
      <c r="F17" s="218">
        <v>0</v>
      </c>
      <c r="G17" s="219">
        <v>0</v>
      </c>
      <c r="H17" s="220">
        <f t="shared" si="1"/>
        <v>0</v>
      </c>
    </row>
    <row r="18" spans="1:8" ht="15.75">
      <c r="A18" s="30">
        <v>10</v>
      </c>
      <c r="B18" s="34" t="s">
        <v>164</v>
      </c>
      <c r="C18" s="216">
        <v>46467904.75999999</v>
      </c>
      <c r="D18" s="216">
        <v>0</v>
      </c>
      <c r="E18" s="217">
        <f t="shared" si="0"/>
        <v>46467904.75999999</v>
      </c>
      <c r="F18" s="218">
        <v>47928850.140000023</v>
      </c>
      <c r="G18" s="219">
        <v>0</v>
      </c>
      <c r="H18" s="220">
        <f t="shared" si="1"/>
        <v>47928850.140000023</v>
      </c>
    </row>
    <row r="19" spans="1:8" ht="15.75">
      <c r="A19" s="30">
        <v>11</v>
      </c>
      <c r="B19" s="34" t="s">
        <v>165</v>
      </c>
      <c r="C19" s="216">
        <v>8238395.9750000006</v>
      </c>
      <c r="D19" s="216">
        <v>527457.66</v>
      </c>
      <c r="E19" s="217">
        <f t="shared" si="0"/>
        <v>8765853.6349999998</v>
      </c>
      <c r="F19" s="218">
        <v>7426115.8509999998</v>
      </c>
      <c r="G19" s="219">
        <v>2952927.1499999994</v>
      </c>
      <c r="H19" s="220">
        <f t="shared" si="1"/>
        <v>10379043.000999998</v>
      </c>
    </row>
    <row r="20" spans="1:8" ht="15.75">
      <c r="A20" s="30">
        <v>12</v>
      </c>
      <c r="B20" s="36" t="s">
        <v>166</v>
      </c>
      <c r="C20" s="217">
        <f>SUM(C7:C11)+SUM(C14:C19)</f>
        <v>610523971.77499938</v>
      </c>
      <c r="D20" s="217">
        <f>SUM(D7:D11)+SUM(D14:D19)</f>
        <v>714042504.549999</v>
      </c>
      <c r="E20" s="217">
        <f t="shared" si="0"/>
        <v>1324566476.3249984</v>
      </c>
      <c r="F20" s="217">
        <f>SUM(F7:F11)+SUM(F14:F19)</f>
        <v>490085959.58100027</v>
      </c>
      <c r="G20" s="217">
        <f>SUM(G7:G11)+SUM(G14:G19)</f>
        <v>748376652.32999992</v>
      </c>
      <c r="H20" s="220">
        <f t="shared" si="1"/>
        <v>1238462611.9110003</v>
      </c>
    </row>
    <row r="21" spans="1:8" ht="15.75">
      <c r="A21" s="30"/>
      <c r="B21" s="31" t="s">
        <v>183</v>
      </c>
      <c r="C21" s="221"/>
      <c r="D21" s="221"/>
      <c r="E21" s="221"/>
      <c r="F21" s="222"/>
      <c r="G21" s="223"/>
      <c r="H21" s="224"/>
    </row>
    <row r="22" spans="1:8" ht="15.75">
      <c r="A22" s="30">
        <v>13</v>
      </c>
      <c r="B22" s="34" t="s">
        <v>167</v>
      </c>
      <c r="C22" s="216">
        <v>2591.48</v>
      </c>
      <c r="D22" s="216">
        <v>60491.21</v>
      </c>
      <c r="E22" s="217">
        <f>C22+D22</f>
        <v>63082.69</v>
      </c>
      <c r="F22" s="218">
        <v>1373.72</v>
      </c>
      <c r="G22" s="219">
        <v>238416.85</v>
      </c>
      <c r="H22" s="220">
        <f t="shared" si="1"/>
        <v>239790.57</v>
      </c>
    </row>
    <row r="23" spans="1:8" ht="15.75">
      <c r="A23" s="30">
        <v>14</v>
      </c>
      <c r="B23" s="34" t="s">
        <v>168</v>
      </c>
      <c r="C23" s="216">
        <v>88529046.319999725</v>
      </c>
      <c r="D23" s="216">
        <v>153978996.96006653</v>
      </c>
      <c r="E23" s="217">
        <f t="shared" ref="E23:E40" si="2">C23+D23</f>
        <v>242508043.28006625</v>
      </c>
      <c r="F23" s="218">
        <v>63994287.679999381</v>
      </c>
      <c r="G23" s="219">
        <v>154485463.68999997</v>
      </c>
      <c r="H23" s="220">
        <f t="shared" si="1"/>
        <v>218479751.36999935</v>
      </c>
    </row>
    <row r="24" spans="1:8" ht="15.75">
      <c r="A24" s="30">
        <v>15</v>
      </c>
      <c r="B24" s="34" t="s">
        <v>169</v>
      </c>
      <c r="C24" s="216">
        <v>56900713.519999981</v>
      </c>
      <c r="D24" s="216">
        <v>162108930.39000013</v>
      </c>
      <c r="E24" s="217">
        <f t="shared" si="2"/>
        <v>219009643.91000012</v>
      </c>
      <c r="F24" s="218">
        <v>71676296.899999991</v>
      </c>
      <c r="G24" s="219">
        <v>182209954.89000008</v>
      </c>
      <c r="H24" s="220">
        <f t="shared" si="1"/>
        <v>253886251.79000008</v>
      </c>
    </row>
    <row r="25" spans="1:8" ht="15.75">
      <c r="A25" s="30">
        <v>16</v>
      </c>
      <c r="B25" s="34" t="s">
        <v>170</v>
      </c>
      <c r="C25" s="216">
        <v>133197838.14999995</v>
      </c>
      <c r="D25" s="216">
        <v>260051908.72999984</v>
      </c>
      <c r="E25" s="217">
        <f t="shared" si="2"/>
        <v>393249746.87999976</v>
      </c>
      <c r="F25" s="218">
        <v>120126925.32999995</v>
      </c>
      <c r="G25" s="219">
        <v>243297346.03999972</v>
      </c>
      <c r="H25" s="220">
        <f t="shared" si="1"/>
        <v>363424271.36999965</v>
      </c>
    </row>
    <row r="26" spans="1:8" ht="15.75">
      <c r="A26" s="30">
        <v>17</v>
      </c>
      <c r="B26" s="34" t="s">
        <v>171</v>
      </c>
      <c r="C26" s="221">
        <v>0</v>
      </c>
      <c r="D26" s="221">
        <v>0</v>
      </c>
      <c r="E26" s="217">
        <f t="shared" si="2"/>
        <v>0</v>
      </c>
      <c r="F26" s="222">
        <v>0</v>
      </c>
      <c r="G26" s="223">
        <v>0</v>
      </c>
      <c r="H26" s="220">
        <f t="shared" si="1"/>
        <v>0</v>
      </c>
    </row>
    <row r="27" spans="1:8" ht="15.75">
      <c r="A27" s="30">
        <v>18</v>
      </c>
      <c r="B27" s="34" t="s">
        <v>172</v>
      </c>
      <c r="C27" s="216">
        <v>185527500</v>
      </c>
      <c r="D27" s="216">
        <v>49457476</v>
      </c>
      <c r="E27" s="217">
        <f t="shared" si="2"/>
        <v>234984976</v>
      </c>
      <c r="F27" s="218">
        <v>105138500.00000001</v>
      </c>
      <c r="G27" s="219">
        <v>81080060</v>
      </c>
      <c r="H27" s="220">
        <f t="shared" si="1"/>
        <v>186218560</v>
      </c>
    </row>
    <row r="28" spans="1:8" ht="15.75">
      <c r="A28" s="30">
        <v>19</v>
      </c>
      <c r="B28" s="34" t="s">
        <v>173</v>
      </c>
      <c r="C28" s="216">
        <v>3011884.859999998</v>
      </c>
      <c r="D28" s="216">
        <v>1869818.8300000033</v>
      </c>
      <c r="E28" s="217">
        <f t="shared" si="2"/>
        <v>4881703.6900000013</v>
      </c>
      <c r="F28" s="218">
        <v>3254597.4100000006</v>
      </c>
      <c r="G28" s="219">
        <v>2362261.7799999951</v>
      </c>
      <c r="H28" s="220">
        <f t="shared" si="1"/>
        <v>5616859.1899999958</v>
      </c>
    </row>
    <row r="29" spans="1:8" ht="15.75">
      <c r="A29" s="30">
        <v>20</v>
      </c>
      <c r="B29" s="34" t="s">
        <v>95</v>
      </c>
      <c r="C29" s="216">
        <v>9786538.1699999981</v>
      </c>
      <c r="D29" s="216">
        <v>11480722.77</v>
      </c>
      <c r="E29" s="217">
        <f t="shared" si="2"/>
        <v>21267260.939999998</v>
      </c>
      <c r="F29" s="218">
        <v>9599778.7600000035</v>
      </c>
      <c r="G29" s="219">
        <v>15313024.930000002</v>
      </c>
      <c r="H29" s="220">
        <f t="shared" si="1"/>
        <v>24912803.690000005</v>
      </c>
    </row>
    <row r="30" spans="1:8" ht="15.75">
      <c r="A30" s="30">
        <v>21</v>
      </c>
      <c r="B30" s="34" t="s">
        <v>174</v>
      </c>
      <c r="C30" s="216">
        <v>0</v>
      </c>
      <c r="D30" s="216">
        <v>59305382.099999994</v>
      </c>
      <c r="E30" s="217">
        <f t="shared" si="2"/>
        <v>59305382.099999994</v>
      </c>
      <c r="F30" s="218">
        <v>0</v>
      </c>
      <c r="G30" s="219">
        <v>61415941.969999999</v>
      </c>
      <c r="H30" s="220">
        <f t="shared" si="1"/>
        <v>61415941.969999999</v>
      </c>
    </row>
    <row r="31" spans="1:8" ht="15.75">
      <c r="A31" s="30">
        <v>22</v>
      </c>
      <c r="B31" s="36" t="s">
        <v>175</v>
      </c>
      <c r="C31" s="217">
        <f>SUM(C22:C30)</f>
        <v>476956112.4999997</v>
      </c>
      <c r="D31" s="217">
        <f>SUM(D22:D30)</f>
        <v>698313726.99006653</v>
      </c>
      <c r="E31" s="217">
        <f>C31+D31</f>
        <v>1175269839.4900663</v>
      </c>
      <c r="F31" s="217">
        <f>SUM(F22:F30)</f>
        <v>373791759.79999936</v>
      </c>
      <c r="G31" s="217">
        <f>SUM(G22:G30)</f>
        <v>740402470.14999974</v>
      </c>
      <c r="H31" s="220">
        <f t="shared" si="1"/>
        <v>1114194229.9499991</v>
      </c>
    </row>
    <row r="32" spans="1:8" ht="15.75">
      <c r="A32" s="30"/>
      <c r="B32" s="31" t="s">
        <v>184</v>
      </c>
      <c r="C32" s="221"/>
      <c r="D32" s="221"/>
      <c r="E32" s="216"/>
      <c r="F32" s="222"/>
      <c r="G32" s="223"/>
      <c r="H32" s="224"/>
    </row>
    <row r="33" spans="1:8" ht="15.75">
      <c r="A33" s="30">
        <v>23</v>
      </c>
      <c r="B33" s="34" t="s">
        <v>176</v>
      </c>
      <c r="C33" s="216">
        <v>121372000</v>
      </c>
      <c r="D33" s="221">
        <v>0</v>
      </c>
      <c r="E33" s="217">
        <f t="shared" si="2"/>
        <v>121372000</v>
      </c>
      <c r="F33" s="218">
        <v>121372000</v>
      </c>
      <c r="G33" s="223">
        <v>0</v>
      </c>
      <c r="H33" s="220">
        <f t="shared" si="1"/>
        <v>121372000</v>
      </c>
    </row>
    <row r="34" spans="1:8" ht="15.75">
      <c r="A34" s="30">
        <v>24</v>
      </c>
      <c r="B34" s="34" t="s">
        <v>177</v>
      </c>
      <c r="C34" s="216">
        <v>0</v>
      </c>
      <c r="D34" s="221">
        <v>0</v>
      </c>
      <c r="E34" s="217">
        <f t="shared" si="2"/>
        <v>0</v>
      </c>
      <c r="F34" s="218">
        <v>0</v>
      </c>
      <c r="G34" s="223">
        <v>0</v>
      </c>
      <c r="H34" s="220">
        <f t="shared" si="1"/>
        <v>0</v>
      </c>
    </row>
    <row r="35" spans="1:8" ht="15.75">
      <c r="A35" s="30">
        <v>25</v>
      </c>
      <c r="B35" s="35" t="s">
        <v>178</v>
      </c>
      <c r="C35" s="216">
        <v>0</v>
      </c>
      <c r="D35" s="221">
        <v>0</v>
      </c>
      <c r="E35" s="217">
        <f t="shared" si="2"/>
        <v>0</v>
      </c>
      <c r="F35" s="218">
        <v>0</v>
      </c>
      <c r="G35" s="223">
        <v>0</v>
      </c>
      <c r="H35" s="220">
        <f t="shared" si="1"/>
        <v>0</v>
      </c>
    </row>
    <row r="36" spans="1:8" ht="15.75">
      <c r="A36" s="30">
        <v>26</v>
      </c>
      <c r="B36" s="34" t="s">
        <v>179</v>
      </c>
      <c r="C36" s="216">
        <v>0</v>
      </c>
      <c r="D36" s="221">
        <v>0</v>
      </c>
      <c r="E36" s="217">
        <f t="shared" si="2"/>
        <v>0</v>
      </c>
      <c r="F36" s="218">
        <v>0</v>
      </c>
      <c r="G36" s="223">
        <v>0</v>
      </c>
      <c r="H36" s="220">
        <f t="shared" si="1"/>
        <v>0</v>
      </c>
    </row>
    <row r="37" spans="1:8" ht="15.75">
      <c r="A37" s="30">
        <v>27</v>
      </c>
      <c r="B37" s="34" t="s">
        <v>180</v>
      </c>
      <c r="C37" s="216">
        <v>0</v>
      </c>
      <c r="D37" s="221">
        <v>0</v>
      </c>
      <c r="E37" s="217">
        <f t="shared" si="2"/>
        <v>0</v>
      </c>
      <c r="F37" s="218">
        <v>0</v>
      </c>
      <c r="G37" s="223">
        <v>0</v>
      </c>
      <c r="H37" s="220">
        <f t="shared" si="1"/>
        <v>0</v>
      </c>
    </row>
    <row r="38" spans="1:8" ht="15.75">
      <c r="A38" s="30">
        <v>28</v>
      </c>
      <c r="B38" s="34" t="s">
        <v>181</v>
      </c>
      <c r="C38" s="216">
        <v>27924636.799999997</v>
      </c>
      <c r="D38" s="221">
        <v>0</v>
      </c>
      <c r="E38" s="217">
        <f t="shared" si="2"/>
        <v>27924636.799999997</v>
      </c>
      <c r="F38" s="218">
        <v>2896381.6000000206</v>
      </c>
      <c r="G38" s="223">
        <v>0</v>
      </c>
      <c r="H38" s="220">
        <f t="shared" si="1"/>
        <v>2896381.6000000206</v>
      </c>
    </row>
    <row r="39" spans="1:8" ht="15.75">
      <c r="A39" s="30">
        <v>29</v>
      </c>
      <c r="B39" s="34" t="s">
        <v>196</v>
      </c>
      <c r="C39" s="216">
        <v>0</v>
      </c>
      <c r="D39" s="221">
        <v>0</v>
      </c>
      <c r="E39" s="217">
        <f t="shared" si="2"/>
        <v>0</v>
      </c>
      <c r="F39" s="218">
        <v>0</v>
      </c>
      <c r="G39" s="223">
        <v>0</v>
      </c>
      <c r="H39" s="220">
        <f t="shared" si="1"/>
        <v>0</v>
      </c>
    </row>
    <row r="40" spans="1:8" ht="15.75">
      <c r="A40" s="30">
        <v>30</v>
      </c>
      <c r="B40" s="36" t="s">
        <v>182</v>
      </c>
      <c r="C40" s="216">
        <v>149296636.80000001</v>
      </c>
      <c r="D40" s="221">
        <v>0</v>
      </c>
      <c r="E40" s="217">
        <f t="shared" si="2"/>
        <v>149296636.80000001</v>
      </c>
      <c r="F40" s="218">
        <v>124268381.60000002</v>
      </c>
      <c r="G40" s="223">
        <v>0</v>
      </c>
      <c r="H40" s="220">
        <f t="shared" si="1"/>
        <v>124268381.60000002</v>
      </c>
    </row>
    <row r="41" spans="1:8" ht="16.5" thickBot="1">
      <c r="A41" s="37">
        <v>31</v>
      </c>
      <c r="B41" s="38" t="s">
        <v>197</v>
      </c>
      <c r="C41" s="225">
        <f>C31+C40</f>
        <v>626252749.29999971</v>
      </c>
      <c r="D41" s="225">
        <f>D31+D40</f>
        <v>698313726.99006653</v>
      </c>
      <c r="E41" s="225">
        <f>C41+D41</f>
        <v>1324566476.2900662</v>
      </c>
      <c r="F41" s="225">
        <f>F31+F40</f>
        <v>498060141.39999938</v>
      </c>
      <c r="G41" s="225">
        <f>G31+G40</f>
        <v>740402470.14999974</v>
      </c>
      <c r="H41" s="226">
        <f>F41+G41</f>
        <v>1238462611.5499992</v>
      </c>
    </row>
    <row r="43" spans="1:8">
      <c r="B43" s="39"/>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"ტერაბანკი"</v>
      </c>
      <c r="C1" s="13"/>
    </row>
    <row r="2" spans="1:8" ht="15.75">
      <c r="A2" s="14" t="s">
        <v>189</v>
      </c>
      <c r="B2" s="436">
        <f>'1. key ratios'!B2</f>
        <v>44469</v>
      </c>
      <c r="C2" s="13"/>
    </row>
    <row r="3" spans="1:8" ht="15.75">
      <c r="A3" s="14"/>
      <c r="B3" s="13"/>
      <c r="C3" s="13"/>
    </row>
    <row r="4" spans="1:8" ht="16.5" thickBot="1">
      <c r="A4" s="15" t="s">
        <v>330</v>
      </c>
      <c r="B4" s="24" t="s">
        <v>222</v>
      </c>
      <c r="C4" s="26"/>
      <c r="D4" s="26"/>
      <c r="E4" s="26"/>
      <c r="F4" s="15"/>
      <c r="G4" s="15"/>
      <c r="H4" s="40" t="s">
        <v>93</v>
      </c>
    </row>
    <row r="5" spans="1:8" ht="15.75">
      <c r="A5" s="112"/>
      <c r="B5" s="113"/>
      <c r="C5" s="624" t="s">
        <v>194</v>
      </c>
      <c r="D5" s="625"/>
      <c r="E5" s="626"/>
      <c r="F5" s="624" t="s">
        <v>195</v>
      </c>
      <c r="G5" s="625"/>
      <c r="H5" s="627"/>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15.75">
      <c r="A8" s="116">
        <v>1</v>
      </c>
      <c r="B8" s="46" t="s">
        <v>97</v>
      </c>
      <c r="C8" s="227">
        <v>964067.81999999983</v>
      </c>
      <c r="D8" s="227">
        <v>-421653.36</v>
      </c>
      <c r="E8" s="217">
        <f>C8+D8</f>
        <v>542414.45999999985</v>
      </c>
      <c r="F8" s="227">
        <v>783624.46</v>
      </c>
      <c r="G8" s="227">
        <v>14981.240000000005</v>
      </c>
      <c r="H8" s="228">
        <f>F8+G8</f>
        <v>798605.7</v>
      </c>
    </row>
    <row r="9" spans="1:8" ht="15.75">
      <c r="A9" s="116">
        <v>2</v>
      </c>
      <c r="B9" s="46" t="s">
        <v>98</v>
      </c>
      <c r="C9" s="229">
        <f>SUM(C10:C18)</f>
        <v>37162237.469999999</v>
      </c>
      <c r="D9" s="229">
        <f>SUM(D10:D18)</f>
        <v>31097844.510000002</v>
      </c>
      <c r="E9" s="217">
        <f t="shared" ref="E9:E67" si="0">C9+D9</f>
        <v>68260081.980000004</v>
      </c>
      <c r="F9" s="229">
        <f>SUM(F10:F18)</f>
        <v>27728773.350000001</v>
      </c>
      <c r="G9" s="229">
        <f>SUM(G10:G18)</f>
        <v>28253668.059999999</v>
      </c>
      <c r="H9" s="228">
        <f t="shared" ref="H9:H67" si="1">F9+G9</f>
        <v>55982441.409999996</v>
      </c>
    </row>
    <row r="10" spans="1:8" ht="15.75">
      <c r="A10" s="116">
        <v>2.1</v>
      </c>
      <c r="B10" s="47" t="s">
        <v>99</v>
      </c>
      <c r="C10" s="227">
        <v>0</v>
      </c>
      <c r="D10" s="227">
        <v>0</v>
      </c>
      <c r="E10" s="217">
        <f t="shared" si="0"/>
        <v>0</v>
      </c>
      <c r="F10" s="227">
        <v>0</v>
      </c>
      <c r="G10" s="227">
        <v>0</v>
      </c>
      <c r="H10" s="228">
        <f t="shared" si="1"/>
        <v>0</v>
      </c>
    </row>
    <row r="11" spans="1:8" ht="15.75">
      <c r="A11" s="116">
        <v>2.2000000000000002</v>
      </c>
      <c r="B11" s="47" t="s">
        <v>100</v>
      </c>
      <c r="C11" s="227">
        <v>8441258.1899999995</v>
      </c>
      <c r="D11" s="227">
        <v>11298609.109999999</v>
      </c>
      <c r="E11" s="217">
        <f t="shared" si="0"/>
        <v>19739867.299999997</v>
      </c>
      <c r="F11" s="227">
        <v>5418982.0500000007</v>
      </c>
      <c r="G11" s="227">
        <v>10443587.549999999</v>
      </c>
      <c r="H11" s="228">
        <f t="shared" si="1"/>
        <v>15862569.6</v>
      </c>
    </row>
    <row r="12" spans="1:8" ht="15.75">
      <c r="A12" s="116">
        <v>2.2999999999999998</v>
      </c>
      <c r="B12" s="47" t="s">
        <v>101</v>
      </c>
      <c r="C12" s="227">
        <v>0</v>
      </c>
      <c r="D12" s="227">
        <v>737796.42</v>
      </c>
      <c r="E12" s="217">
        <f t="shared" si="0"/>
        <v>737796.42</v>
      </c>
      <c r="F12" s="227">
        <v>0</v>
      </c>
      <c r="G12" s="227">
        <v>1353745.19</v>
      </c>
      <c r="H12" s="228">
        <f t="shared" si="1"/>
        <v>1353745.19</v>
      </c>
    </row>
    <row r="13" spans="1:8" ht="15.75">
      <c r="A13" s="116">
        <v>2.4</v>
      </c>
      <c r="B13" s="47" t="s">
        <v>102</v>
      </c>
      <c r="C13" s="227">
        <v>541575.22</v>
      </c>
      <c r="D13" s="227">
        <v>87519.56</v>
      </c>
      <c r="E13" s="217">
        <f t="shared" si="0"/>
        <v>629094.78</v>
      </c>
      <c r="F13" s="227">
        <v>304572.21999999997</v>
      </c>
      <c r="G13" s="227">
        <v>194381.26</v>
      </c>
      <c r="H13" s="228">
        <f t="shared" si="1"/>
        <v>498953.48</v>
      </c>
    </row>
    <row r="14" spans="1:8" ht="15.75">
      <c r="A14" s="116">
        <v>2.5</v>
      </c>
      <c r="B14" s="47" t="s">
        <v>103</v>
      </c>
      <c r="C14" s="227">
        <v>691747.75</v>
      </c>
      <c r="D14" s="227">
        <v>4595297.2299999995</v>
      </c>
      <c r="E14" s="217">
        <f t="shared" si="0"/>
        <v>5287044.9799999995</v>
      </c>
      <c r="F14" s="227">
        <v>384167.14999999991</v>
      </c>
      <c r="G14" s="227">
        <v>3023974.7800000003</v>
      </c>
      <c r="H14" s="228">
        <f t="shared" si="1"/>
        <v>3408141.93</v>
      </c>
    </row>
    <row r="15" spans="1:8" ht="15.75">
      <c r="A15" s="116">
        <v>2.6</v>
      </c>
      <c r="B15" s="47" t="s">
        <v>104</v>
      </c>
      <c r="C15" s="227">
        <v>16084.150000000001</v>
      </c>
      <c r="D15" s="227">
        <v>18259.03</v>
      </c>
      <c r="E15" s="217">
        <f t="shared" si="0"/>
        <v>34343.18</v>
      </c>
      <c r="F15" s="227">
        <v>19832.7</v>
      </c>
      <c r="G15" s="227">
        <v>19491.27</v>
      </c>
      <c r="H15" s="228">
        <f t="shared" si="1"/>
        <v>39323.97</v>
      </c>
    </row>
    <row r="16" spans="1:8" ht="15.75">
      <c r="A16" s="116">
        <v>2.7</v>
      </c>
      <c r="B16" s="47" t="s">
        <v>105</v>
      </c>
      <c r="C16" s="227">
        <v>6996.27</v>
      </c>
      <c r="D16" s="227">
        <v>0</v>
      </c>
      <c r="E16" s="217">
        <f t="shared" si="0"/>
        <v>6996.27</v>
      </c>
      <c r="F16" s="227">
        <v>3398.9</v>
      </c>
      <c r="G16" s="227">
        <v>0</v>
      </c>
      <c r="H16" s="228">
        <f t="shared" si="1"/>
        <v>3398.9</v>
      </c>
    </row>
    <row r="17" spans="1:8" ht="15.75">
      <c r="A17" s="116">
        <v>2.8</v>
      </c>
      <c r="B17" s="47" t="s">
        <v>106</v>
      </c>
      <c r="C17" s="227">
        <v>23345851.450000003</v>
      </c>
      <c r="D17" s="227">
        <v>13490034.180000002</v>
      </c>
      <c r="E17" s="217">
        <f t="shared" si="0"/>
        <v>36835885.630000003</v>
      </c>
      <c r="F17" s="227">
        <v>18661587.350000001</v>
      </c>
      <c r="G17" s="227">
        <v>12077526.920000004</v>
      </c>
      <c r="H17" s="228">
        <f t="shared" si="1"/>
        <v>30739114.270000003</v>
      </c>
    </row>
    <row r="18" spans="1:8" ht="15.75">
      <c r="A18" s="116">
        <v>2.9</v>
      </c>
      <c r="B18" s="47" t="s">
        <v>107</v>
      </c>
      <c r="C18" s="227">
        <v>4118724.4400000004</v>
      </c>
      <c r="D18" s="227">
        <v>870328.98</v>
      </c>
      <c r="E18" s="217">
        <f t="shared" si="0"/>
        <v>4989053.42</v>
      </c>
      <c r="F18" s="227">
        <v>2936232.9799999995</v>
      </c>
      <c r="G18" s="227">
        <v>1140961.0899999999</v>
      </c>
      <c r="H18" s="228">
        <f t="shared" si="1"/>
        <v>4077194.0699999994</v>
      </c>
    </row>
    <row r="19" spans="1:8" ht="15.75">
      <c r="A19" s="116">
        <v>3</v>
      </c>
      <c r="B19" s="46" t="s">
        <v>108</v>
      </c>
      <c r="C19" s="227">
        <v>846152.05000000016</v>
      </c>
      <c r="D19" s="227">
        <v>1279424.27</v>
      </c>
      <c r="E19" s="217">
        <f t="shared" si="0"/>
        <v>2125576.3200000003</v>
      </c>
      <c r="F19" s="227">
        <v>811315.50000000047</v>
      </c>
      <c r="G19" s="227">
        <v>759658.6399999999</v>
      </c>
      <c r="H19" s="228">
        <f t="shared" si="1"/>
        <v>1570974.1400000004</v>
      </c>
    </row>
    <row r="20" spans="1:8" ht="15.75">
      <c r="A20" s="116">
        <v>4</v>
      </c>
      <c r="B20" s="46" t="s">
        <v>109</v>
      </c>
      <c r="C20" s="227">
        <v>6748656.2399999993</v>
      </c>
      <c r="D20" s="227">
        <v>0</v>
      </c>
      <c r="E20" s="217">
        <f t="shared" si="0"/>
        <v>6748656.2399999993</v>
      </c>
      <c r="F20" s="227">
        <v>4610339.3499999996</v>
      </c>
      <c r="G20" s="227">
        <v>0</v>
      </c>
      <c r="H20" s="228">
        <f t="shared" si="1"/>
        <v>4610339.3499999996</v>
      </c>
    </row>
    <row r="21" spans="1:8" ht="15.75">
      <c r="A21" s="116">
        <v>5</v>
      </c>
      <c r="B21" s="46" t="s">
        <v>110</v>
      </c>
      <c r="C21" s="227">
        <v>600809.42999999993</v>
      </c>
      <c r="D21" s="227">
        <v>355463.77000000008</v>
      </c>
      <c r="E21" s="217">
        <f t="shared" si="0"/>
        <v>956273.2</v>
      </c>
      <c r="F21" s="227">
        <v>450893.58999999991</v>
      </c>
      <c r="G21" s="227">
        <v>299894.01000000007</v>
      </c>
      <c r="H21" s="228">
        <f>F21+G21</f>
        <v>750787.6</v>
      </c>
    </row>
    <row r="22" spans="1:8" ht="15.75">
      <c r="A22" s="116">
        <v>6</v>
      </c>
      <c r="B22" s="48" t="s">
        <v>111</v>
      </c>
      <c r="C22" s="229">
        <f>C8+C9+C19+C20+C21</f>
        <v>46321923.009999998</v>
      </c>
      <c r="D22" s="229">
        <f>D8+D9+D19+D20+D21</f>
        <v>32311079.190000001</v>
      </c>
      <c r="E22" s="217">
        <f>C22+D22</f>
        <v>78633002.200000003</v>
      </c>
      <c r="F22" s="229">
        <f>F8+F9+F19+F20+F21</f>
        <v>34384946.250000007</v>
      </c>
      <c r="G22" s="229">
        <f>G8+G9+G19+G20+G21</f>
        <v>29328201.949999999</v>
      </c>
      <c r="H22" s="228">
        <f>F22+G22</f>
        <v>63713148.200000003</v>
      </c>
    </row>
    <row r="23" spans="1:8" ht="15.75">
      <c r="A23" s="116"/>
      <c r="B23" s="44" t="s">
        <v>90</v>
      </c>
      <c r="C23" s="227"/>
      <c r="D23" s="227"/>
      <c r="E23" s="216"/>
      <c r="F23" s="227"/>
      <c r="G23" s="227"/>
      <c r="H23" s="230"/>
    </row>
    <row r="24" spans="1:8" ht="15.75">
      <c r="A24" s="116">
        <v>7</v>
      </c>
      <c r="B24" s="46" t="s">
        <v>112</v>
      </c>
      <c r="C24" s="227">
        <v>5588378.8599999994</v>
      </c>
      <c r="D24" s="227">
        <v>2447720.5</v>
      </c>
      <c r="E24" s="217">
        <f t="shared" si="0"/>
        <v>8036099.3599999994</v>
      </c>
      <c r="F24" s="227">
        <v>3961899.9299999997</v>
      </c>
      <c r="G24" s="227">
        <v>1825186.58</v>
      </c>
      <c r="H24" s="228">
        <f t="shared" si="1"/>
        <v>5787086.5099999998</v>
      </c>
    </row>
    <row r="25" spans="1:8" ht="15.75">
      <c r="A25" s="116">
        <v>8</v>
      </c>
      <c r="B25" s="46" t="s">
        <v>113</v>
      </c>
      <c r="C25" s="227">
        <v>11157355.870000001</v>
      </c>
      <c r="D25" s="227">
        <v>7174938.8999999994</v>
      </c>
      <c r="E25" s="217">
        <f t="shared" si="0"/>
        <v>18332294.77</v>
      </c>
      <c r="F25" s="227">
        <v>9702767.7400000002</v>
      </c>
      <c r="G25" s="227">
        <v>7275202.46</v>
      </c>
      <c r="H25" s="228">
        <f t="shared" si="1"/>
        <v>16977970.199999999</v>
      </c>
    </row>
    <row r="26" spans="1:8" ht="15.75">
      <c r="A26" s="116">
        <v>9</v>
      </c>
      <c r="B26" s="46" t="s">
        <v>114</v>
      </c>
      <c r="C26" s="227">
        <v>5782.19</v>
      </c>
      <c r="D26" s="227">
        <v>66537.5</v>
      </c>
      <c r="E26" s="217">
        <f t="shared" si="0"/>
        <v>72319.69</v>
      </c>
      <c r="F26" s="227">
        <v>2483.2800000000002</v>
      </c>
      <c r="G26" s="227">
        <v>74303.210000000006</v>
      </c>
      <c r="H26" s="228">
        <f t="shared" si="1"/>
        <v>76786.490000000005</v>
      </c>
    </row>
    <row r="27" spans="1:8" ht="15.75">
      <c r="A27" s="116">
        <v>10</v>
      </c>
      <c r="B27" s="46" t="s">
        <v>115</v>
      </c>
      <c r="C27" s="227">
        <v>0</v>
      </c>
      <c r="D27" s="227">
        <v>0</v>
      </c>
      <c r="E27" s="217">
        <f t="shared" si="0"/>
        <v>0</v>
      </c>
      <c r="F27" s="227">
        <v>0</v>
      </c>
      <c r="G27" s="227">
        <v>0</v>
      </c>
      <c r="H27" s="228">
        <f t="shared" si="1"/>
        <v>0</v>
      </c>
    </row>
    <row r="28" spans="1:8" ht="15.75">
      <c r="A28" s="116">
        <v>11</v>
      </c>
      <c r="B28" s="46" t="s">
        <v>116</v>
      </c>
      <c r="C28" s="227">
        <v>9881529.8600000013</v>
      </c>
      <c r="D28" s="227">
        <v>5236716.37</v>
      </c>
      <c r="E28" s="217">
        <f t="shared" si="0"/>
        <v>15118246.23</v>
      </c>
      <c r="F28" s="227">
        <v>5753907.75</v>
      </c>
      <c r="G28" s="227">
        <v>5197927.5900000008</v>
      </c>
      <c r="H28" s="228">
        <f t="shared" si="1"/>
        <v>10951835.34</v>
      </c>
    </row>
    <row r="29" spans="1:8" ht="15.75">
      <c r="A29" s="116">
        <v>12</v>
      </c>
      <c r="B29" s="46" t="s">
        <v>117</v>
      </c>
      <c r="C29" s="227">
        <v>0</v>
      </c>
      <c r="D29" s="227">
        <v>0</v>
      </c>
      <c r="E29" s="217">
        <f t="shared" si="0"/>
        <v>0</v>
      </c>
      <c r="F29" s="227">
        <v>0</v>
      </c>
      <c r="G29" s="227">
        <v>0</v>
      </c>
      <c r="H29" s="228">
        <f t="shared" si="1"/>
        <v>0</v>
      </c>
    </row>
    <row r="30" spans="1:8" ht="15.75">
      <c r="A30" s="116">
        <v>13</v>
      </c>
      <c r="B30" s="49" t="s">
        <v>118</v>
      </c>
      <c r="C30" s="229">
        <f>SUM(C24:C29)</f>
        <v>26633046.780000001</v>
      </c>
      <c r="D30" s="229">
        <f>SUM(D24:D29)</f>
        <v>14925913.27</v>
      </c>
      <c r="E30" s="217">
        <f t="shared" si="0"/>
        <v>41558960.049999997</v>
      </c>
      <c r="F30" s="229">
        <f>SUM(F24:F29)</f>
        <v>19421058.699999999</v>
      </c>
      <c r="G30" s="229">
        <f>SUM(G24:G29)</f>
        <v>14372619.84</v>
      </c>
      <c r="H30" s="228">
        <f t="shared" si="1"/>
        <v>33793678.539999999</v>
      </c>
    </row>
    <row r="31" spans="1:8" ht="15.75">
      <c r="A31" s="116">
        <v>14</v>
      </c>
      <c r="B31" s="49" t="s">
        <v>119</v>
      </c>
      <c r="C31" s="229">
        <f>C22-C30</f>
        <v>19688876.229999997</v>
      </c>
      <c r="D31" s="229">
        <f>D22-D30</f>
        <v>17385165.920000002</v>
      </c>
      <c r="E31" s="217">
        <f t="shared" si="0"/>
        <v>37074042.149999999</v>
      </c>
      <c r="F31" s="229">
        <f>F22-F30</f>
        <v>14963887.550000008</v>
      </c>
      <c r="G31" s="229">
        <f>G22-G30</f>
        <v>14955582.109999999</v>
      </c>
      <c r="H31" s="228">
        <f t="shared" si="1"/>
        <v>29919469.660000008</v>
      </c>
    </row>
    <row r="32" spans="1:8">
      <c r="A32" s="116"/>
      <c r="B32" s="44"/>
      <c r="C32" s="231"/>
      <c r="D32" s="231"/>
      <c r="E32" s="231"/>
      <c r="F32" s="231"/>
      <c r="G32" s="231"/>
      <c r="H32" s="232"/>
    </row>
    <row r="33" spans="1:8" ht="15.75">
      <c r="A33" s="116"/>
      <c r="B33" s="44" t="s">
        <v>120</v>
      </c>
      <c r="C33" s="227">
        <v>0</v>
      </c>
      <c r="D33" s="227">
        <v>0</v>
      </c>
      <c r="E33" s="216"/>
      <c r="F33" s="227"/>
      <c r="G33" s="227"/>
      <c r="H33" s="230"/>
    </row>
    <row r="34" spans="1:8" ht="15.75">
      <c r="A34" s="116">
        <v>15</v>
      </c>
      <c r="B34" s="43" t="s">
        <v>91</v>
      </c>
      <c r="C34" s="229">
        <f>C35-C36</f>
        <v>1926304.1099999985</v>
      </c>
      <c r="D34" s="229">
        <f>D35-D36</f>
        <v>561012.79000000074</v>
      </c>
      <c r="E34" s="217">
        <f t="shared" si="0"/>
        <v>2487316.8999999994</v>
      </c>
      <c r="F34" s="229">
        <f>F35-F36</f>
        <v>1694450.4599999988</v>
      </c>
      <c r="G34" s="229">
        <f>G35-G36</f>
        <v>316197.41000000038</v>
      </c>
      <c r="H34" s="228">
        <f t="shared" si="1"/>
        <v>2010647.8699999992</v>
      </c>
    </row>
    <row r="35" spans="1:8" ht="15.75">
      <c r="A35" s="116">
        <v>15.1</v>
      </c>
      <c r="B35" s="47" t="s">
        <v>121</v>
      </c>
      <c r="C35" s="227">
        <v>3625208.7799999989</v>
      </c>
      <c r="D35" s="227">
        <v>2023260.1100000008</v>
      </c>
      <c r="E35" s="217">
        <f t="shared" si="0"/>
        <v>5648468.8899999997</v>
      </c>
      <c r="F35" s="227">
        <v>3258766.3299999991</v>
      </c>
      <c r="G35" s="227">
        <v>2018575.04</v>
      </c>
      <c r="H35" s="228">
        <f t="shared" si="1"/>
        <v>5277341.3699999992</v>
      </c>
    </row>
    <row r="36" spans="1:8" ht="15.75">
      <c r="A36" s="116">
        <v>15.2</v>
      </c>
      <c r="B36" s="47" t="s">
        <v>122</v>
      </c>
      <c r="C36" s="227">
        <v>1698904.6700000004</v>
      </c>
      <c r="D36" s="227">
        <v>1462247.32</v>
      </c>
      <c r="E36" s="217">
        <f t="shared" si="0"/>
        <v>3161151.99</v>
      </c>
      <c r="F36" s="227">
        <v>1564315.8700000003</v>
      </c>
      <c r="G36" s="227">
        <v>1702377.6299999997</v>
      </c>
      <c r="H36" s="228">
        <f t="shared" si="1"/>
        <v>3266693.5</v>
      </c>
    </row>
    <row r="37" spans="1:8" ht="15.75">
      <c r="A37" s="116">
        <v>16</v>
      </c>
      <c r="B37" s="46" t="s">
        <v>123</v>
      </c>
      <c r="C37" s="227">
        <v>0</v>
      </c>
      <c r="D37" s="227">
        <v>0</v>
      </c>
      <c r="E37" s="217">
        <f t="shared" si="0"/>
        <v>0</v>
      </c>
      <c r="F37" s="227">
        <v>0</v>
      </c>
      <c r="G37" s="227">
        <v>0</v>
      </c>
      <c r="H37" s="228">
        <f t="shared" si="1"/>
        <v>0</v>
      </c>
    </row>
    <row r="38" spans="1:8" ht="15.75">
      <c r="A38" s="116">
        <v>17</v>
      </c>
      <c r="B38" s="46" t="s">
        <v>124</v>
      </c>
      <c r="C38" s="227">
        <v>0</v>
      </c>
      <c r="D38" s="227">
        <v>0</v>
      </c>
      <c r="E38" s="217">
        <f t="shared" si="0"/>
        <v>0</v>
      </c>
      <c r="F38" s="227">
        <v>0</v>
      </c>
      <c r="G38" s="227">
        <v>0</v>
      </c>
      <c r="H38" s="228">
        <f t="shared" si="1"/>
        <v>0</v>
      </c>
    </row>
    <row r="39" spans="1:8" ht="15.75">
      <c r="A39" s="116">
        <v>18</v>
      </c>
      <c r="B39" s="46" t="s">
        <v>125</v>
      </c>
      <c r="C39" s="227">
        <v>0</v>
      </c>
      <c r="D39" s="227">
        <v>0</v>
      </c>
      <c r="E39" s="217">
        <f t="shared" si="0"/>
        <v>0</v>
      </c>
      <c r="F39" s="227">
        <v>0</v>
      </c>
      <c r="G39" s="227">
        <v>0</v>
      </c>
      <c r="H39" s="228">
        <f t="shared" si="1"/>
        <v>0</v>
      </c>
    </row>
    <row r="40" spans="1:8" ht="15.75">
      <c r="A40" s="116">
        <v>19</v>
      </c>
      <c r="B40" s="46" t="s">
        <v>126</v>
      </c>
      <c r="C40" s="227">
        <v>5914151.8399999971</v>
      </c>
      <c r="D40" s="227">
        <v>0</v>
      </c>
      <c r="E40" s="217">
        <f t="shared" si="0"/>
        <v>5914151.8399999971</v>
      </c>
      <c r="F40" s="227">
        <v>357318.38999999862</v>
      </c>
      <c r="G40" s="227">
        <v>0</v>
      </c>
      <c r="H40" s="228">
        <f t="shared" si="1"/>
        <v>357318.38999999862</v>
      </c>
    </row>
    <row r="41" spans="1:8" ht="15.75">
      <c r="A41" s="116">
        <v>20</v>
      </c>
      <c r="B41" s="46" t="s">
        <v>127</v>
      </c>
      <c r="C41" s="227">
        <v>-5029988.0399999954</v>
      </c>
      <c r="D41" s="227">
        <v>0</v>
      </c>
      <c r="E41" s="217">
        <f t="shared" si="0"/>
        <v>-5029988.0399999954</v>
      </c>
      <c r="F41" s="227">
        <v>5808504.0100000054</v>
      </c>
      <c r="G41" s="227">
        <v>0</v>
      </c>
      <c r="H41" s="228">
        <f t="shared" si="1"/>
        <v>5808504.0100000054</v>
      </c>
    </row>
    <row r="42" spans="1:8" ht="15.75">
      <c r="A42" s="116">
        <v>21</v>
      </c>
      <c r="B42" s="46" t="s">
        <v>128</v>
      </c>
      <c r="C42" s="227">
        <v>148538.63999999998</v>
      </c>
      <c r="D42" s="227">
        <v>0</v>
      </c>
      <c r="E42" s="217">
        <f t="shared" si="0"/>
        <v>148538.63999999998</v>
      </c>
      <c r="F42" s="227">
        <v>204067.49</v>
      </c>
      <c r="G42" s="227">
        <v>0</v>
      </c>
      <c r="H42" s="228">
        <f t="shared" si="1"/>
        <v>204067.49</v>
      </c>
    </row>
    <row r="43" spans="1:8" ht="15.75">
      <c r="A43" s="116">
        <v>22</v>
      </c>
      <c r="B43" s="46" t="s">
        <v>129</v>
      </c>
      <c r="C43" s="227">
        <v>418.4</v>
      </c>
      <c r="D43" s="227">
        <v>3715.8199999999997</v>
      </c>
      <c r="E43" s="217">
        <f t="shared" si="0"/>
        <v>4134.2199999999993</v>
      </c>
      <c r="F43" s="227">
        <v>906</v>
      </c>
      <c r="G43" s="227">
        <v>1433</v>
      </c>
      <c r="H43" s="228">
        <f t="shared" si="1"/>
        <v>2339</v>
      </c>
    </row>
    <row r="44" spans="1:8" ht="15.75">
      <c r="A44" s="116">
        <v>23</v>
      </c>
      <c r="B44" s="46" t="s">
        <v>130</v>
      </c>
      <c r="C44" s="227">
        <v>22596.360000000004</v>
      </c>
      <c r="D44" s="227">
        <v>70932.800000000003</v>
      </c>
      <c r="E44" s="217">
        <f t="shared" si="0"/>
        <v>93529.16</v>
      </c>
      <c r="F44" s="227">
        <v>46071.5</v>
      </c>
      <c r="G44" s="227">
        <v>176.82</v>
      </c>
      <c r="H44" s="228">
        <f t="shared" si="1"/>
        <v>46248.32</v>
      </c>
    </row>
    <row r="45" spans="1:8" ht="15.75">
      <c r="A45" s="116">
        <v>24</v>
      </c>
      <c r="B45" s="49" t="s">
        <v>131</v>
      </c>
      <c r="C45" s="229">
        <f>C34+C37+C38+C39+C40+C41+C42+C43+C44</f>
        <v>2982021.31</v>
      </c>
      <c r="D45" s="229">
        <f>D34+D37+D38+D39+D40+D41+D42+D43+D44</f>
        <v>635661.41000000073</v>
      </c>
      <c r="E45" s="217">
        <f t="shared" si="0"/>
        <v>3617682.7200000007</v>
      </c>
      <c r="F45" s="229">
        <f>F34+F37+F38+F39+F40+F41+F42+F43+F44</f>
        <v>8111317.8500000034</v>
      </c>
      <c r="G45" s="229">
        <f>G34+G37+G38+G39+G40+G41+G42+G43+G44</f>
        <v>317807.23000000039</v>
      </c>
      <c r="H45" s="228">
        <f t="shared" si="1"/>
        <v>8429125.0800000038</v>
      </c>
    </row>
    <row r="46" spans="1:8">
      <c r="A46" s="116"/>
      <c r="B46" s="44" t="s">
        <v>132</v>
      </c>
      <c r="C46" s="227"/>
      <c r="D46" s="227"/>
      <c r="E46" s="227"/>
      <c r="F46" s="227"/>
      <c r="G46" s="227"/>
      <c r="H46" s="233"/>
    </row>
    <row r="47" spans="1:8" ht="15.75">
      <c r="A47" s="116">
        <v>25</v>
      </c>
      <c r="B47" s="46" t="s">
        <v>133</v>
      </c>
      <c r="C47" s="227">
        <v>635759.78999999992</v>
      </c>
      <c r="D47" s="227">
        <v>402091.09000000008</v>
      </c>
      <c r="E47" s="217">
        <f t="shared" si="0"/>
        <v>1037850.88</v>
      </c>
      <c r="F47" s="227">
        <v>467213.69</v>
      </c>
      <c r="G47" s="227">
        <v>403822.31</v>
      </c>
      <c r="H47" s="228">
        <f t="shared" si="1"/>
        <v>871036</v>
      </c>
    </row>
    <row r="48" spans="1:8" ht="15.75">
      <c r="A48" s="116">
        <v>26</v>
      </c>
      <c r="B48" s="46" t="s">
        <v>134</v>
      </c>
      <c r="C48" s="227">
        <v>960397.02999999991</v>
      </c>
      <c r="D48" s="227">
        <v>111493.93</v>
      </c>
      <c r="E48" s="217">
        <f t="shared" si="0"/>
        <v>1071890.96</v>
      </c>
      <c r="F48" s="227">
        <v>1284987.0000000002</v>
      </c>
      <c r="G48" s="227">
        <v>12452.24</v>
      </c>
      <c r="H48" s="228">
        <f t="shared" si="1"/>
        <v>1297439.2400000002</v>
      </c>
    </row>
    <row r="49" spans="1:9" ht="15.75">
      <c r="A49" s="116">
        <v>27</v>
      </c>
      <c r="B49" s="46" t="s">
        <v>135</v>
      </c>
      <c r="C49" s="227">
        <v>9845518.6199999973</v>
      </c>
      <c r="D49" s="227">
        <v>0</v>
      </c>
      <c r="E49" s="217">
        <f t="shared" si="0"/>
        <v>9845518.6199999973</v>
      </c>
      <c r="F49" s="227">
        <v>9877335.0399999917</v>
      </c>
      <c r="G49" s="227">
        <v>0</v>
      </c>
      <c r="H49" s="228">
        <f t="shared" si="1"/>
        <v>9877335.0399999917</v>
      </c>
    </row>
    <row r="50" spans="1:9" ht="15.75">
      <c r="A50" s="116">
        <v>28</v>
      </c>
      <c r="B50" s="46" t="s">
        <v>271</v>
      </c>
      <c r="C50" s="227">
        <v>0</v>
      </c>
      <c r="D50" s="227">
        <v>0</v>
      </c>
      <c r="E50" s="217">
        <f t="shared" si="0"/>
        <v>0</v>
      </c>
      <c r="F50" s="227">
        <v>0</v>
      </c>
      <c r="G50" s="227">
        <v>0</v>
      </c>
      <c r="H50" s="228">
        <f t="shared" si="1"/>
        <v>0</v>
      </c>
    </row>
    <row r="51" spans="1:9" ht="15.75">
      <c r="A51" s="116">
        <v>29</v>
      </c>
      <c r="B51" s="46" t="s">
        <v>136</v>
      </c>
      <c r="C51" s="227">
        <v>3857993.1300000004</v>
      </c>
      <c r="D51" s="227">
        <v>0</v>
      </c>
      <c r="E51" s="217">
        <f t="shared" si="0"/>
        <v>3857993.1300000004</v>
      </c>
      <c r="F51" s="227">
        <v>3915194.2299999995</v>
      </c>
      <c r="G51" s="227">
        <v>0</v>
      </c>
      <c r="H51" s="228">
        <f t="shared" si="1"/>
        <v>3915194.2299999995</v>
      </c>
    </row>
    <row r="52" spans="1:9" ht="15.75">
      <c r="A52" s="116">
        <v>30</v>
      </c>
      <c r="B52" s="46" t="s">
        <v>137</v>
      </c>
      <c r="C52" s="227">
        <v>5596865.1800000006</v>
      </c>
      <c r="D52" s="227">
        <v>12109.01</v>
      </c>
      <c r="E52" s="217">
        <f t="shared" si="0"/>
        <v>5608974.1900000004</v>
      </c>
      <c r="F52" s="227">
        <v>3366090.5199999991</v>
      </c>
      <c r="G52" s="227">
        <v>0</v>
      </c>
      <c r="H52" s="228">
        <f t="shared" si="1"/>
        <v>3366090.5199999991</v>
      </c>
    </row>
    <row r="53" spans="1:9" ht="15.75">
      <c r="A53" s="116">
        <v>31</v>
      </c>
      <c r="B53" s="49" t="s">
        <v>138</v>
      </c>
      <c r="C53" s="229">
        <f>C47+C48+C49+C50+C51+C52</f>
        <v>20896533.75</v>
      </c>
      <c r="D53" s="229">
        <f>D47+D48+D49+D50+D51+D52</f>
        <v>525694.03</v>
      </c>
      <c r="E53" s="217">
        <f t="shared" si="0"/>
        <v>21422227.780000001</v>
      </c>
      <c r="F53" s="229">
        <f>F47+F48+F49+F50+F51+F52</f>
        <v>18910820.479999989</v>
      </c>
      <c r="G53" s="229">
        <f>G47+G48+G49+G50+G51+G52</f>
        <v>416274.55</v>
      </c>
      <c r="H53" s="228">
        <f t="shared" si="1"/>
        <v>19327095.02999999</v>
      </c>
    </row>
    <row r="54" spans="1:9" ht="15.75">
      <c r="A54" s="116">
        <v>32</v>
      </c>
      <c r="B54" s="49" t="s">
        <v>139</v>
      </c>
      <c r="C54" s="229">
        <f>C45-C53</f>
        <v>-17914512.440000001</v>
      </c>
      <c r="D54" s="229">
        <f>D45-D53</f>
        <v>109967.3800000007</v>
      </c>
      <c r="E54" s="217">
        <f t="shared" si="0"/>
        <v>-17804545.060000002</v>
      </c>
      <c r="F54" s="229">
        <f>F45-F53</f>
        <v>-10799502.629999986</v>
      </c>
      <c r="G54" s="229">
        <f>G45-G53</f>
        <v>-98467.3199999996</v>
      </c>
      <c r="H54" s="228">
        <f t="shared" si="1"/>
        <v>-10897969.949999986</v>
      </c>
    </row>
    <row r="55" spans="1:9">
      <c r="A55" s="116"/>
      <c r="B55" s="44"/>
      <c r="C55" s="231"/>
      <c r="D55" s="231"/>
      <c r="E55" s="231"/>
      <c r="F55" s="231"/>
      <c r="G55" s="231"/>
      <c r="H55" s="232"/>
    </row>
    <row r="56" spans="1:9" ht="15.75">
      <c r="A56" s="116">
        <v>33</v>
      </c>
      <c r="B56" s="49" t="s">
        <v>140</v>
      </c>
      <c r="C56" s="229">
        <f>C31+C54</f>
        <v>1774363.7899999954</v>
      </c>
      <c r="D56" s="229">
        <f>D31+D54</f>
        <v>17495133.300000001</v>
      </c>
      <c r="E56" s="217">
        <f t="shared" si="0"/>
        <v>19269497.089999996</v>
      </c>
      <c r="F56" s="229">
        <f>F31+F54</f>
        <v>4164384.9200000223</v>
      </c>
      <c r="G56" s="229">
        <f>G31+G54</f>
        <v>14857114.789999999</v>
      </c>
      <c r="H56" s="228">
        <f t="shared" si="1"/>
        <v>19021499.710000023</v>
      </c>
    </row>
    <row r="57" spans="1:9">
      <c r="A57" s="116"/>
      <c r="B57" s="44"/>
      <c r="C57" s="231"/>
      <c r="D57" s="231"/>
      <c r="E57" s="231"/>
      <c r="F57" s="231"/>
      <c r="G57" s="231"/>
      <c r="H57" s="232"/>
    </row>
    <row r="58" spans="1:9" ht="15.75">
      <c r="A58" s="116">
        <v>34</v>
      </c>
      <c r="B58" s="46" t="s">
        <v>141</v>
      </c>
      <c r="C58" s="227">
        <v>-1627576.1199999994</v>
      </c>
      <c r="D58" s="227" t="s">
        <v>743</v>
      </c>
      <c r="E58" s="217">
        <v>-1627576.1199999994</v>
      </c>
      <c r="F58" s="227">
        <v>20873481.729999993</v>
      </c>
      <c r="G58" s="227" t="s">
        <v>743</v>
      </c>
      <c r="H58" s="228">
        <v>20873481.729999993</v>
      </c>
    </row>
    <row r="59" spans="1:9" s="192" customFormat="1" ht="15.75">
      <c r="A59" s="116">
        <v>35</v>
      </c>
      <c r="B59" s="43" t="s">
        <v>142</v>
      </c>
      <c r="C59" s="234">
        <v>-27889</v>
      </c>
      <c r="D59" s="234" t="s">
        <v>743</v>
      </c>
      <c r="E59" s="217">
        <v>-27889</v>
      </c>
      <c r="F59" s="235">
        <v>385.73</v>
      </c>
      <c r="G59" s="235" t="s">
        <v>743</v>
      </c>
      <c r="H59" s="236">
        <v>385.73</v>
      </c>
      <c r="I59" s="191"/>
    </row>
    <row r="60" spans="1:9" ht="15.75">
      <c r="A60" s="116">
        <v>36</v>
      </c>
      <c r="B60" s="46" t="s">
        <v>143</v>
      </c>
      <c r="C60" s="227">
        <v>-2877036.6199999996</v>
      </c>
      <c r="D60" s="227" t="s">
        <v>743</v>
      </c>
      <c r="E60" s="217">
        <v>-2877036.6199999996</v>
      </c>
      <c r="F60" s="227">
        <v>13204837.369999999</v>
      </c>
      <c r="G60" s="227" t="s">
        <v>743</v>
      </c>
      <c r="H60" s="228">
        <v>13204837.369999999</v>
      </c>
    </row>
    <row r="61" spans="1:9" ht="15.75">
      <c r="A61" s="116">
        <v>37</v>
      </c>
      <c r="B61" s="49" t="s">
        <v>144</v>
      </c>
      <c r="C61" s="229">
        <f>C58+C59+C60</f>
        <v>-4532501.7399999993</v>
      </c>
      <c r="D61" s="229">
        <v>0</v>
      </c>
      <c r="E61" s="217">
        <f t="shared" si="0"/>
        <v>-4532501.7399999993</v>
      </c>
      <c r="F61" s="229">
        <f>F58+F59+F60</f>
        <v>34078704.829999991</v>
      </c>
      <c r="G61" s="229">
        <v>0</v>
      </c>
      <c r="H61" s="228">
        <f t="shared" si="1"/>
        <v>34078704.829999991</v>
      </c>
    </row>
    <row r="62" spans="1:9">
      <c r="A62" s="116"/>
      <c r="B62" s="50"/>
      <c r="C62" s="227"/>
      <c r="D62" s="227"/>
      <c r="E62" s="227"/>
      <c r="F62" s="227"/>
      <c r="G62" s="227"/>
      <c r="H62" s="233"/>
    </row>
    <row r="63" spans="1:9" ht="15.75">
      <c r="A63" s="116">
        <v>38</v>
      </c>
      <c r="B63" s="51" t="s">
        <v>272</v>
      </c>
      <c r="C63" s="229">
        <f>C56-C61</f>
        <v>6306865.5299999947</v>
      </c>
      <c r="D63" s="229">
        <f>D56-D61</f>
        <v>17495133.300000001</v>
      </c>
      <c r="E63" s="217">
        <f t="shared" si="0"/>
        <v>23801998.829999994</v>
      </c>
      <c r="F63" s="229">
        <f>F56-F61</f>
        <v>-29914319.909999967</v>
      </c>
      <c r="G63" s="229">
        <f>G56-G61</f>
        <v>14857114.789999999</v>
      </c>
      <c r="H63" s="228">
        <f t="shared" si="1"/>
        <v>-15057205.119999968</v>
      </c>
    </row>
    <row r="64" spans="1:9" ht="15.75">
      <c r="A64" s="114">
        <v>39</v>
      </c>
      <c r="B64" s="46" t="s">
        <v>145</v>
      </c>
      <c r="C64" s="237">
        <v>0</v>
      </c>
      <c r="D64" s="237">
        <v>0</v>
      </c>
      <c r="E64" s="217">
        <f t="shared" si="0"/>
        <v>0</v>
      </c>
      <c r="F64" s="237">
        <v>0</v>
      </c>
      <c r="G64" s="237">
        <v>0</v>
      </c>
      <c r="H64" s="228">
        <f t="shared" si="1"/>
        <v>0</v>
      </c>
    </row>
    <row r="65" spans="1:8" ht="15.75">
      <c r="A65" s="116">
        <v>40</v>
      </c>
      <c r="B65" s="49" t="s">
        <v>146</v>
      </c>
      <c r="C65" s="229">
        <f>C63-C64</f>
        <v>6306865.5299999947</v>
      </c>
      <c r="D65" s="229">
        <f>D63-D64</f>
        <v>17495133.300000001</v>
      </c>
      <c r="E65" s="217">
        <f t="shared" si="0"/>
        <v>23801998.829999994</v>
      </c>
      <c r="F65" s="229">
        <f>F63-F64</f>
        <v>-29914319.909999967</v>
      </c>
      <c r="G65" s="229">
        <f>G63-G64</f>
        <v>14857114.789999999</v>
      </c>
      <c r="H65" s="228">
        <f t="shared" si="1"/>
        <v>-15057205.119999968</v>
      </c>
    </row>
    <row r="66" spans="1:8" ht="15.75">
      <c r="A66" s="114">
        <v>41</v>
      </c>
      <c r="B66" s="46" t="s">
        <v>147</v>
      </c>
      <c r="C66" s="237">
        <v>0</v>
      </c>
      <c r="D66" s="237">
        <v>0</v>
      </c>
      <c r="E66" s="217">
        <f t="shared" si="0"/>
        <v>0</v>
      </c>
      <c r="F66" s="237">
        <v>0</v>
      </c>
      <c r="G66" s="237">
        <v>0</v>
      </c>
      <c r="H66" s="228">
        <f t="shared" si="1"/>
        <v>0</v>
      </c>
    </row>
    <row r="67" spans="1:8" ht="16.5" thickBot="1">
      <c r="A67" s="118">
        <v>42</v>
      </c>
      <c r="B67" s="119" t="s">
        <v>148</v>
      </c>
      <c r="C67" s="238">
        <f>C65+C66</f>
        <v>6306865.5299999947</v>
      </c>
      <c r="D67" s="238">
        <f>D65+D66</f>
        <v>17495133.300000001</v>
      </c>
      <c r="E67" s="225">
        <f t="shared" si="0"/>
        <v>23801998.829999994</v>
      </c>
      <c r="F67" s="238">
        <f>F65+F66</f>
        <v>-29914319.909999967</v>
      </c>
      <c r="G67" s="238">
        <f>G65+G66</f>
        <v>14857114.789999999</v>
      </c>
      <c r="H67" s="239">
        <f t="shared" si="1"/>
        <v>-15057205.119999968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8" width="12.7109375" customWidth="1"/>
  </cols>
  <sheetData>
    <row r="1" spans="1:8">
      <c r="A1" s="1" t="s">
        <v>188</v>
      </c>
      <c r="B1" t="str">
        <f>Info!C2</f>
        <v>ს.ს. "ტერაბანკი"</v>
      </c>
    </row>
    <row r="2" spans="1:8">
      <c r="A2" s="1" t="s">
        <v>189</v>
      </c>
      <c r="B2" s="436">
        <f>'1. key ratios'!B2</f>
        <v>44469</v>
      </c>
    </row>
    <row r="3" spans="1:8">
      <c r="A3" s="1"/>
    </row>
    <row r="4" spans="1:8" ht="16.5" thickBot="1">
      <c r="A4" s="1" t="s">
        <v>331</v>
      </c>
      <c r="B4" s="1"/>
      <c r="C4" s="201"/>
      <c r="D4" s="201"/>
      <c r="E4" s="201"/>
      <c r="F4" s="201"/>
      <c r="G4" s="201"/>
      <c r="H4" s="202" t="s">
        <v>93</v>
      </c>
    </row>
    <row r="5" spans="1:8" ht="15.75">
      <c r="A5" s="628" t="s">
        <v>26</v>
      </c>
      <c r="B5" s="630" t="s">
        <v>245</v>
      </c>
      <c r="C5" s="632" t="s">
        <v>194</v>
      </c>
      <c r="D5" s="632"/>
      <c r="E5" s="632"/>
      <c r="F5" s="632" t="s">
        <v>195</v>
      </c>
      <c r="G5" s="632"/>
      <c r="H5" s="633"/>
    </row>
    <row r="6" spans="1:8">
      <c r="A6" s="629"/>
      <c r="B6" s="631"/>
      <c r="C6" s="32" t="s">
        <v>27</v>
      </c>
      <c r="D6" s="32" t="s">
        <v>94</v>
      </c>
      <c r="E6" s="32" t="s">
        <v>68</v>
      </c>
      <c r="F6" s="32" t="s">
        <v>27</v>
      </c>
      <c r="G6" s="32" t="s">
        <v>94</v>
      </c>
      <c r="H6" s="33" t="s">
        <v>68</v>
      </c>
    </row>
    <row r="7" spans="1:8" ht="15.75">
      <c r="A7" s="108">
        <v>1</v>
      </c>
      <c r="B7" s="203" t="s">
        <v>367</v>
      </c>
      <c r="C7" s="219">
        <v>50442845.059999965</v>
      </c>
      <c r="D7" s="219">
        <v>32178541.91</v>
      </c>
      <c r="E7" s="240">
        <f>C7+D7</f>
        <v>82621386.969999969</v>
      </c>
      <c r="F7" s="219">
        <v>32222233.839999959</v>
      </c>
      <c r="G7" s="219">
        <v>45433222.560000002</v>
      </c>
      <c r="H7" s="220">
        <f t="shared" ref="H7:H53" si="0">F7+G7</f>
        <v>77655456.399999961</v>
      </c>
    </row>
    <row r="8" spans="1:8" ht="15.75">
      <c r="A8" s="108">
        <v>1.1000000000000001</v>
      </c>
      <c r="B8" s="204" t="s">
        <v>276</v>
      </c>
      <c r="C8" s="219">
        <v>34549723.729999997</v>
      </c>
      <c r="D8" s="219">
        <v>20735040.050000001</v>
      </c>
      <c r="E8" s="240">
        <f t="shared" ref="E8:E53" si="1">C8+D8</f>
        <v>55284763.780000001</v>
      </c>
      <c r="F8" s="219">
        <v>18627304.239999998</v>
      </c>
      <c r="G8" s="219">
        <v>21387232.5</v>
      </c>
      <c r="H8" s="220">
        <f t="shared" si="0"/>
        <v>40014536.739999995</v>
      </c>
    </row>
    <row r="9" spans="1:8" ht="15.75">
      <c r="A9" s="108">
        <v>1.2</v>
      </c>
      <c r="B9" s="204" t="s">
        <v>277</v>
      </c>
      <c r="C9" s="219">
        <v>0</v>
      </c>
      <c r="D9" s="219">
        <v>0</v>
      </c>
      <c r="E9" s="240">
        <f t="shared" si="1"/>
        <v>0</v>
      </c>
      <c r="F9" s="219">
        <v>0</v>
      </c>
      <c r="G9" s="219">
        <v>0</v>
      </c>
      <c r="H9" s="220">
        <f t="shared" si="0"/>
        <v>0</v>
      </c>
    </row>
    <row r="10" spans="1:8" ht="15.75">
      <c r="A10" s="108">
        <v>1.3</v>
      </c>
      <c r="B10" s="204" t="s">
        <v>278</v>
      </c>
      <c r="C10" s="219">
        <v>15893121.32999997</v>
      </c>
      <c r="D10" s="219">
        <v>11443501.859999999</v>
      </c>
      <c r="E10" s="240">
        <f t="shared" si="1"/>
        <v>27336623.189999968</v>
      </c>
      <c r="F10" s="219">
        <v>11096427.599999961</v>
      </c>
      <c r="G10" s="219">
        <v>18737845.379999999</v>
      </c>
      <c r="H10" s="220">
        <f t="shared" si="0"/>
        <v>29834272.979999959</v>
      </c>
    </row>
    <row r="11" spans="1:8" ht="15.75">
      <c r="A11" s="108">
        <v>1.4</v>
      </c>
      <c r="B11" s="204" t="s">
        <v>279</v>
      </c>
      <c r="C11" s="219">
        <v>0</v>
      </c>
      <c r="D11" s="219">
        <v>0</v>
      </c>
      <c r="E11" s="240">
        <f t="shared" si="1"/>
        <v>0</v>
      </c>
      <c r="F11" s="219">
        <v>0</v>
      </c>
      <c r="G11" s="219">
        <v>0</v>
      </c>
      <c r="H11" s="220">
        <f t="shared" si="0"/>
        <v>0</v>
      </c>
    </row>
    <row r="12" spans="1:8" ht="29.25" customHeight="1">
      <c r="A12" s="108">
        <v>2</v>
      </c>
      <c r="B12" s="203" t="s">
        <v>280</v>
      </c>
      <c r="C12" s="219">
        <v>0</v>
      </c>
      <c r="D12" s="219">
        <v>0</v>
      </c>
      <c r="E12" s="240">
        <f t="shared" si="1"/>
        <v>0</v>
      </c>
      <c r="F12" s="219">
        <v>0</v>
      </c>
      <c r="G12" s="219">
        <v>0</v>
      </c>
      <c r="H12" s="220">
        <f t="shared" si="0"/>
        <v>0</v>
      </c>
    </row>
    <row r="13" spans="1:8" ht="25.5">
      <c r="A13" s="108">
        <v>3</v>
      </c>
      <c r="B13" s="203" t="s">
        <v>281</v>
      </c>
      <c r="C13" s="219">
        <v>148112000</v>
      </c>
      <c r="D13" s="219">
        <v>0</v>
      </c>
      <c r="E13" s="240">
        <f t="shared" si="1"/>
        <v>148112000</v>
      </c>
      <c r="F13" s="219">
        <v>91861000</v>
      </c>
      <c r="G13" s="219">
        <v>0</v>
      </c>
      <c r="H13" s="220">
        <f t="shared" si="0"/>
        <v>91861000</v>
      </c>
    </row>
    <row r="14" spans="1:8" ht="15.75">
      <c r="A14" s="108">
        <v>3.1</v>
      </c>
      <c r="B14" s="204" t="s">
        <v>282</v>
      </c>
      <c r="C14" s="219">
        <v>148112000</v>
      </c>
      <c r="D14" s="219">
        <v>0</v>
      </c>
      <c r="E14" s="240">
        <f t="shared" si="1"/>
        <v>148112000</v>
      </c>
      <c r="F14" s="219">
        <v>91861000</v>
      </c>
      <c r="G14" s="219">
        <v>0</v>
      </c>
      <c r="H14" s="220">
        <f t="shared" si="0"/>
        <v>91861000</v>
      </c>
    </row>
    <row r="15" spans="1:8" ht="15.75">
      <c r="A15" s="108">
        <v>3.2</v>
      </c>
      <c r="B15" s="204" t="s">
        <v>283</v>
      </c>
      <c r="C15" s="219">
        <v>0</v>
      </c>
      <c r="D15" s="219">
        <v>0</v>
      </c>
      <c r="E15" s="240">
        <f t="shared" si="1"/>
        <v>0</v>
      </c>
      <c r="F15" s="219">
        <v>0</v>
      </c>
      <c r="G15" s="219">
        <v>0</v>
      </c>
      <c r="H15" s="220">
        <f t="shared" si="0"/>
        <v>0</v>
      </c>
    </row>
    <row r="16" spans="1:8" ht="15.75">
      <c r="A16" s="108">
        <v>4</v>
      </c>
      <c r="B16" s="203" t="s">
        <v>284</v>
      </c>
      <c r="C16" s="219">
        <v>254181976.46999967</v>
      </c>
      <c r="D16" s="219">
        <v>401893521.04000002</v>
      </c>
      <c r="E16" s="240">
        <f t="shared" si="1"/>
        <v>656075497.50999975</v>
      </c>
      <c r="F16" s="219">
        <v>188583567.79000017</v>
      </c>
      <c r="G16" s="219">
        <v>426793505.05000061</v>
      </c>
      <c r="H16" s="220">
        <f t="shared" si="0"/>
        <v>615377072.84000075</v>
      </c>
    </row>
    <row r="17" spans="1:8" ht="15.75">
      <c r="A17" s="108">
        <v>4.0999999999999996</v>
      </c>
      <c r="B17" s="204" t="s">
        <v>285</v>
      </c>
      <c r="C17" s="219">
        <v>247728851.90999967</v>
      </c>
      <c r="D17" s="219">
        <v>401893521.04000002</v>
      </c>
      <c r="E17" s="240">
        <f t="shared" si="1"/>
        <v>649622372.94999969</v>
      </c>
      <c r="F17" s="219">
        <v>188583567.79000017</v>
      </c>
      <c r="G17" s="219">
        <v>426793505.05000061</v>
      </c>
      <c r="H17" s="220">
        <f t="shared" si="0"/>
        <v>615377072.84000075</v>
      </c>
    </row>
    <row r="18" spans="1:8" ht="15.75">
      <c r="A18" s="108">
        <v>4.2</v>
      </c>
      <c r="B18" s="204" t="s">
        <v>286</v>
      </c>
      <c r="C18" s="219">
        <v>6453124.5599999977</v>
      </c>
      <c r="D18" s="219">
        <v>0</v>
      </c>
      <c r="E18" s="240">
        <f t="shared" si="1"/>
        <v>6453124.5599999977</v>
      </c>
      <c r="F18" s="219">
        <v>0</v>
      </c>
      <c r="G18" s="219">
        <v>0</v>
      </c>
      <c r="H18" s="220">
        <f t="shared" si="0"/>
        <v>0</v>
      </c>
    </row>
    <row r="19" spans="1:8" ht="25.5">
      <c r="A19" s="108">
        <v>5</v>
      </c>
      <c r="B19" s="203" t="s">
        <v>287</v>
      </c>
      <c r="C19" s="219">
        <v>827146030.32000041</v>
      </c>
      <c r="D19" s="219">
        <v>950794615.01000011</v>
      </c>
      <c r="E19" s="240">
        <f t="shared" si="1"/>
        <v>1777940645.3300004</v>
      </c>
      <c r="F19" s="219">
        <v>746657312.68000078</v>
      </c>
      <c r="G19" s="219">
        <v>1039835928.79</v>
      </c>
      <c r="H19" s="220">
        <f t="shared" si="0"/>
        <v>1786493241.4700007</v>
      </c>
    </row>
    <row r="20" spans="1:8" ht="15.75">
      <c r="A20" s="108">
        <v>5.0999999999999996</v>
      </c>
      <c r="B20" s="204" t="s">
        <v>288</v>
      </c>
      <c r="C20" s="219">
        <v>21949112.420000006</v>
      </c>
      <c r="D20" s="219">
        <v>39308305.160000004</v>
      </c>
      <c r="E20" s="240">
        <f t="shared" si="1"/>
        <v>61257417.580000013</v>
      </c>
      <c r="F20" s="219">
        <v>22766201.150000002</v>
      </c>
      <c r="G20" s="219">
        <v>40706897.51000002</v>
      </c>
      <c r="H20" s="220">
        <f t="shared" si="0"/>
        <v>63473098.660000026</v>
      </c>
    </row>
    <row r="21" spans="1:8" ht="15.75">
      <c r="A21" s="108">
        <v>5.2</v>
      </c>
      <c r="B21" s="204" t="s">
        <v>289</v>
      </c>
      <c r="C21" s="219">
        <v>10260079.789999999</v>
      </c>
      <c r="D21" s="219">
        <v>3995334.68</v>
      </c>
      <c r="E21" s="240">
        <f t="shared" si="1"/>
        <v>14255414.469999999</v>
      </c>
      <c r="F21" s="219">
        <v>51378870.900000006</v>
      </c>
      <c r="G21" s="219">
        <v>14796328.120000001</v>
      </c>
      <c r="H21" s="220">
        <f t="shared" si="0"/>
        <v>66175199.020000011</v>
      </c>
    </row>
    <row r="22" spans="1:8" ht="15.75">
      <c r="A22" s="108">
        <v>5.3</v>
      </c>
      <c r="B22" s="204" t="s">
        <v>290</v>
      </c>
      <c r="C22" s="219">
        <v>694773781.11000037</v>
      </c>
      <c r="D22" s="219">
        <v>888211960.95000005</v>
      </c>
      <c r="E22" s="240">
        <f t="shared" si="1"/>
        <v>1582985742.0600004</v>
      </c>
      <c r="F22" s="219">
        <v>604811659.45000076</v>
      </c>
      <c r="G22" s="219">
        <v>959471348.01999998</v>
      </c>
      <c r="H22" s="220">
        <f t="shared" si="0"/>
        <v>1564283007.4700007</v>
      </c>
    </row>
    <row r="23" spans="1:8" ht="15.75">
      <c r="A23" s="108" t="s">
        <v>291</v>
      </c>
      <c r="B23" s="205" t="s">
        <v>292</v>
      </c>
      <c r="C23" s="219">
        <v>389390245.83000034</v>
      </c>
      <c r="D23" s="219">
        <v>342902997.08999968</v>
      </c>
      <c r="E23" s="240">
        <f t="shared" si="1"/>
        <v>732293242.92000008</v>
      </c>
      <c r="F23" s="219">
        <v>369684061.8300007</v>
      </c>
      <c r="G23" s="219">
        <v>381347993.54000026</v>
      </c>
      <c r="H23" s="220">
        <f t="shared" si="0"/>
        <v>751032055.37000096</v>
      </c>
    </row>
    <row r="24" spans="1:8" ht="15.75">
      <c r="A24" s="108" t="s">
        <v>293</v>
      </c>
      <c r="B24" s="205" t="s">
        <v>294</v>
      </c>
      <c r="C24" s="219">
        <v>179844458.45999998</v>
      </c>
      <c r="D24" s="219">
        <v>313317374.36000007</v>
      </c>
      <c r="E24" s="240">
        <f t="shared" si="1"/>
        <v>493161832.82000005</v>
      </c>
      <c r="F24" s="219">
        <v>133825576.31000006</v>
      </c>
      <c r="G24" s="219">
        <v>345438963.4399997</v>
      </c>
      <c r="H24" s="220">
        <f t="shared" si="0"/>
        <v>479264539.74999976</v>
      </c>
    </row>
    <row r="25" spans="1:8" ht="15.75">
      <c r="A25" s="108" t="s">
        <v>295</v>
      </c>
      <c r="B25" s="206" t="s">
        <v>296</v>
      </c>
      <c r="C25" s="219">
        <v>14942020.750000002</v>
      </c>
      <c r="D25" s="219">
        <v>29936081.569999997</v>
      </c>
      <c r="E25" s="240">
        <f t="shared" si="1"/>
        <v>44878102.32</v>
      </c>
      <c r="F25" s="219">
        <v>17612811.999999996</v>
      </c>
      <c r="G25" s="219">
        <v>20124441.329999998</v>
      </c>
      <c r="H25" s="220">
        <f t="shared" si="0"/>
        <v>37737253.329999998</v>
      </c>
    </row>
    <row r="26" spans="1:8" ht="15.75">
      <c r="A26" s="108" t="s">
        <v>297</v>
      </c>
      <c r="B26" s="205" t="s">
        <v>298</v>
      </c>
      <c r="C26" s="219">
        <v>88396680.430000022</v>
      </c>
      <c r="D26" s="219">
        <v>98411774.530000061</v>
      </c>
      <c r="E26" s="240">
        <f t="shared" si="1"/>
        <v>186808454.9600001</v>
      </c>
      <c r="F26" s="219">
        <v>61223166.310000047</v>
      </c>
      <c r="G26" s="219">
        <v>93017802.949999958</v>
      </c>
      <c r="H26" s="220">
        <f t="shared" si="0"/>
        <v>154240969.25999999</v>
      </c>
    </row>
    <row r="27" spans="1:8" ht="15.75">
      <c r="A27" s="108" t="s">
        <v>299</v>
      </c>
      <c r="B27" s="205" t="s">
        <v>300</v>
      </c>
      <c r="C27" s="219">
        <v>22200375.640000019</v>
      </c>
      <c r="D27" s="219">
        <v>103643733.4000001</v>
      </c>
      <c r="E27" s="240">
        <f t="shared" si="1"/>
        <v>125844109.04000011</v>
      </c>
      <c r="F27" s="219">
        <v>22466042.999999993</v>
      </c>
      <c r="G27" s="219">
        <v>119542146.75999999</v>
      </c>
      <c r="H27" s="220">
        <f t="shared" si="0"/>
        <v>142008189.75999999</v>
      </c>
    </row>
    <row r="28" spans="1:8" ht="15.75">
      <c r="A28" s="108">
        <v>5.4</v>
      </c>
      <c r="B28" s="204" t="s">
        <v>301</v>
      </c>
      <c r="C28" s="219">
        <v>20939560.320000015</v>
      </c>
      <c r="D28" s="219">
        <v>9824391.1500000004</v>
      </c>
      <c r="E28" s="240">
        <f t="shared" si="1"/>
        <v>30763951.470000014</v>
      </c>
      <c r="F28" s="219">
        <v>17535786.680000018</v>
      </c>
      <c r="G28" s="219">
        <v>12125765.159999996</v>
      </c>
      <c r="H28" s="220">
        <f t="shared" si="0"/>
        <v>29661551.840000015</v>
      </c>
    </row>
    <row r="29" spans="1:8" ht="15.75">
      <c r="A29" s="108">
        <v>5.5</v>
      </c>
      <c r="B29" s="204" t="s">
        <v>302</v>
      </c>
      <c r="C29" s="219">
        <v>0</v>
      </c>
      <c r="D29" s="219">
        <v>0</v>
      </c>
      <c r="E29" s="240">
        <f t="shared" si="1"/>
        <v>0</v>
      </c>
      <c r="F29" s="219">
        <v>0</v>
      </c>
      <c r="G29" s="219">
        <v>0</v>
      </c>
      <c r="H29" s="220">
        <f t="shared" si="0"/>
        <v>0</v>
      </c>
    </row>
    <row r="30" spans="1:8" ht="15.75">
      <c r="A30" s="108">
        <v>5.6</v>
      </c>
      <c r="B30" s="204" t="s">
        <v>303</v>
      </c>
      <c r="C30" s="219">
        <v>0</v>
      </c>
      <c r="D30" s="219">
        <v>0</v>
      </c>
      <c r="E30" s="240">
        <f t="shared" si="1"/>
        <v>0</v>
      </c>
      <c r="F30" s="219">
        <v>0</v>
      </c>
      <c r="G30" s="219">
        <v>0</v>
      </c>
      <c r="H30" s="220">
        <f t="shared" si="0"/>
        <v>0</v>
      </c>
    </row>
    <row r="31" spans="1:8" ht="15.75">
      <c r="A31" s="108">
        <v>5.7</v>
      </c>
      <c r="B31" s="204" t="s">
        <v>304</v>
      </c>
      <c r="C31" s="219">
        <v>79223496.680000037</v>
      </c>
      <c r="D31" s="219">
        <v>9454623.0700000059</v>
      </c>
      <c r="E31" s="240">
        <f t="shared" si="1"/>
        <v>88678119.750000045</v>
      </c>
      <c r="F31" s="219">
        <v>50164794.500000015</v>
      </c>
      <c r="G31" s="219">
        <v>12735589.980000002</v>
      </c>
      <c r="H31" s="220">
        <f t="shared" si="0"/>
        <v>62900384.480000019</v>
      </c>
    </row>
    <row r="32" spans="1:8" ht="15.75">
      <c r="A32" s="108">
        <v>6</v>
      </c>
      <c r="B32" s="203" t="s">
        <v>305</v>
      </c>
      <c r="C32" s="219">
        <v>17547836.600000001</v>
      </c>
      <c r="D32" s="219">
        <v>155809753.25999999</v>
      </c>
      <c r="E32" s="240">
        <f t="shared" si="1"/>
        <v>173357589.85999998</v>
      </c>
      <c r="F32" s="219">
        <v>11655325</v>
      </c>
      <c r="G32" s="219">
        <v>142598304.72</v>
      </c>
      <c r="H32" s="220">
        <f t="shared" si="0"/>
        <v>154253629.72</v>
      </c>
    </row>
    <row r="33" spans="1:8" ht="25.5">
      <c r="A33" s="108">
        <v>6.1</v>
      </c>
      <c r="B33" s="204" t="s">
        <v>368</v>
      </c>
      <c r="C33" s="219">
        <v>17547836.600000001</v>
      </c>
      <c r="D33" s="219">
        <v>69557871.760000005</v>
      </c>
      <c r="E33" s="240">
        <f t="shared" si="1"/>
        <v>87105708.360000014</v>
      </c>
      <c r="F33" s="219">
        <v>11655325</v>
      </c>
      <c r="G33" s="219">
        <v>65259456.719999999</v>
      </c>
      <c r="H33" s="220">
        <f t="shared" si="0"/>
        <v>76914781.719999999</v>
      </c>
    </row>
    <row r="34" spans="1:8" ht="25.5">
      <c r="A34" s="108">
        <v>6.2</v>
      </c>
      <c r="B34" s="204" t="s">
        <v>306</v>
      </c>
      <c r="C34" s="219">
        <v>0</v>
      </c>
      <c r="D34" s="219">
        <v>86251881.5</v>
      </c>
      <c r="E34" s="240">
        <f t="shared" si="1"/>
        <v>86251881.5</v>
      </c>
      <c r="F34" s="219">
        <v>0</v>
      </c>
      <c r="G34" s="219">
        <v>77338848</v>
      </c>
      <c r="H34" s="220">
        <f t="shared" si="0"/>
        <v>77338848</v>
      </c>
    </row>
    <row r="35" spans="1:8" ht="25.5">
      <c r="A35" s="108">
        <v>6.3</v>
      </c>
      <c r="B35" s="204" t="s">
        <v>307</v>
      </c>
      <c r="C35" s="219">
        <v>0</v>
      </c>
      <c r="D35" s="219">
        <v>0</v>
      </c>
      <c r="E35" s="240">
        <f t="shared" si="1"/>
        <v>0</v>
      </c>
      <c r="F35" s="219">
        <v>0</v>
      </c>
      <c r="G35" s="219">
        <v>0</v>
      </c>
      <c r="H35" s="220">
        <f t="shared" si="0"/>
        <v>0</v>
      </c>
    </row>
    <row r="36" spans="1:8" ht="15.75">
      <c r="A36" s="108">
        <v>6.4</v>
      </c>
      <c r="B36" s="204" t="s">
        <v>308</v>
      </c>
      <c r="C36" s="219">
        <v>0</v>
      </c>
      <c r="D36" s="219">
        <v>0</v>
      </c>
      <c r="E36" s="240">
        <f t="shared" si="1"/>
        <v>0</v>
      </c>
      <c r="F36" s="219">
        <v>0</v>
      </c>
      <c r="G36" s="219">
        <v>0</v>
      </c>
      <c r="H36" s="220">
        <f t="shared" si="0"/>
        <v>0</v>
      </c>
    </row>
    <row r="37" spans="1:8" ht="15.75">
      <c r="A37" s="108">
        <v>6.5</v>
      </c>
      <c r="B37" s="204" t="s">
        <v>309</v>
      </c>
      <c r="C37" s="219">
        <v>0</v>
      </c>
      <c r="D37" s="219">
        <v>0</v>
      </c>
      <c r="E37" s="240">
        <f t="shared" si="1"/>
        <v>0</v>
      </c>
      <c r="F37" s="219">
        <v>0</v>
      </c>
      <c r="G37" s="219">
        <v>0</v>
      </c>
      <c r="H37" s="220">
        <f t="shared" si="0"/>
        <v>0</v>
      </c>
    </row>
    <row r="38" spans="1:8" ht="25.5">
      <c r="A38" s="108">
        <v>6.6</v>
      </c>
      <c r="B38" s="204" t="s">
        <v>310</v>
      </c>
      <c r="C38" s="219">
        <v>0</v>
      </c>
      <c r="D38" s="219">
        <v>0</v>
      </c>
      <c r="E38" s="240">
        <f t="shared" si="1"/>
        <v>0</v>
      </c>
      <c r="F38" s="219">
        <v>0</v>
      </c>
      <c r="G38" s="219">
        <v>0</v>
      </c>
      <c r="H38" s="220">
        <f t="shared" si="0"/>
        <v>0</v>
      </c>
    </row>
    <row r="39" spans="1:8" ht="25.5">
      <c r="A39" s="108">
        <v>6.7</v>
      </c>
      <c r="B39" s="204" t="s">
        <v>311</v>
      </c>
      <c r="C39" s="219">
        <v>0</v>
      </c>
      <c r="D39" s="219">
        <v>0</v>
      </c>
      <c r="E39" s="240">
        <f t="shared" si="1"/>
        <v>0</v>
      </c>
      <c r="F39" s="219">
        <v>0</v>
      </c>
      <c r="G39" s="219">
        <v>0</v>
      </c>
      <c r="H39" s="220">
        <f t="shared" si="0"/>
        <v>0</v>
      </c>
    </row>
    <row r="40" spans="1:8" ht="15.75">
      <c r="A40" s="108">
        <v>7</v>
      </c>
      <c r="B40" s="203" t="s">
        <v>312</v>
      </c>
      <c r="C40" s="219">
        <v>0</v>
      </c>
      <c r="D40" s="219">
        <v>0</v>
      </c>
      <c r="E40" s="240">
        <f t="shared" si="1"/>
        <v>0</v>
      </c>
      <c r="F40" s="219">
        <v>0</v>
      </c>
      <c r="G40" s="219">
        <v>0</v>
      </c>
      <c r="H40" s="220">
        <f t="shared" si="0"/>
        <v>0</v>
      </c>
    </row>
    <row r="41" spans="1:8" ht="25.5">
      <c r="A41" s="108">
        <v>7.1</v>
      </c>
      <c r="B41" s="204" t="s">
        <v>313</v>
      </c>
      <c r="C41" s="219">
        <v>468079.69999999995</v>
      </c>
      <c r="D41" s="219">
        <v>963020.70000000007</v>
      </c>
      <c r="E41" s="240">
        <f t="shared" si="1"/>
        <v>1431100.4</v>
      </c>
      <c r="F41" s="219">
        <v>1252867.6500000006</v>
      </c>
      <c r="G41" s="219">
        <v>14122.345300000001</v>
      </c>
      <c r="H41" s="220">
        <f t="shared" si="0"/>
        <v>1266989.9953000005</v>
      </c>
    </row>
    <row r="42" spans="1:8" ht="25.5">
      <c r="A42" s="108">
        <v>7.2</v>
      </c>
      <c r="B42" s="204" t="s">
        <v>314</v>
      </c>
      <c r="C42" s="219">
        <v>827735.29999999981</v>
      </c>
      <c r="D42" s="219">
        <v>975698.42000000016</v>
      </c>
      <c r="E42" s="240">
        <f t="shared" si="1"/>
        <v>1803433.72</v>
      </c>
      <c r="F42" s="219">
        <v>999296.26000000071</v>
      </c>
      <c r="G42" s="219">
        <v>1132247.8729000003</v>
      </c>
      <c r="H42" s="220">
        <f t="shared" si="0"/>
        <v>2131544.132900001</v>
      </c>
    </row>
    <row r="43" spans="1:8" ht="25.5">
      <c r="A43" s="108">
        <v>7.3</v>
      </c>
      <c r="B43" s="204" t="s">
        <v>315</v>
      </c>
      <c r="C43" s="219">
        <v>5611037.7400000161</v>
      </c>
      <c r="D43" s="219">
        <v>19534204.340000004</v>
      </c>
      <c r="E43" s="240">
        <f t="shared" si="1"/>
        <v>25145242.080000021</v>
      </c>
      <c r="F43" s="219">
        <v>6199777.3766000057</v>
      </c>
      <c r="G43" s="219">
        <v>15283751.5798</v>
      </c>
      <c r="H43" s="220">
        <f t="shared" si="0"/>
        <v>21483528.956400007</v>
      </c>
    </row>
    <row r="44" spans="1:8" ht="25.5">
      <c r="A44" s="108">
        <v>7.4</v>
      </c>
      <c r="B44" s="204" t="s">
        <v>316</v>
      </c>
      <c r="C44" s="219">
        <v>9373298.6700000092</v>
      </c>
      <c r="D44" s="219">
        <v>47618315.399999991</v>
      </c>
      <c r="E44" s="240">
        <f t="shared" si="1"/>
        <v>56991614.07</v>
      </c>
      <c r="F44" s="219">
        <v>42691613.589999951</v>
      </c>
      <c r="G44" s="219">
        <v>75943013.245099992</v>
      </c>
      <c r="H44" s="220">
        <f t="shared" si="0"/>
        <v>118634626.83509994</v>
      </c>
    </row>
    <row r="45" spans="1:8" ht="15.75">
      <c r="A45" s="108">
        <v>8</v>
      </c>
      <c r="B45" s="203" t="s">
        <v>317</v>
      </c>
      <c r="C45" s="219">
        <v>0</v>
      </c>
      <c r="D45" s="219">
        <v>0</v>
      </c>
      <c r="E45" s="240">
        <f t="shared" si="1"/>
        <v>0</v>
      </c>
      <c r="F45" s="219">
        <v>0</v>
      </c>
      <c r="G45" s="219">
        <v>0</v>
      </c>
      <c r="H45" s="220">
        <f t="shared" si="0"/>
        <v>0</v>
      </c>
    </row>
    <row r="46" spans="1:8" ht="15.75">
      <c r="A46" s="108">
        <v>8.1</v>
      </c>
      <c r="B46" s="204" t="s">
        <v>318</v>
      </c>
      <c r="C46" s="219">
        <v>0</v>
      </c>
      <c r="D46" s="219">
        <v>0</v>
      </c>
      <c r="E46" s="240">
        <f t="shared" si="1"/>
        <v>0</v>
      </c>
      <c r="F46" s="219">
        <v>0</v>
      </c>
      <c r="G46" s="219">
        <v>0</v>
      </c>
      <c r="H46" s="220">
        <f t="shared" si="0"/>
        <v>0</v>
      </c>
    </row>
    <row r="47" spans="1:8" ht="15.75">
      <c r="A47" s="108">
        <v>8.1999999999999993</v>
      </c>
      <c r="B47" s="204" t="s">
        <v>319</v>
      </c>
      <c r="C47" s="219">
        <v>0</v>
      </c>
      <c r="D47" s="219">
        <v>0</v>
      </c>
      <c r="E47" s="240">
        <f t="shared" si="1"/>
        <v>0</v>
      </c>
      <c r="F47" s="219">
        <v>0</v>
      </c>
      <c r="G47" s="219">
        <v>0</v>
      </c>
      <c r="H47" s="220">
        <f t="shared" si="0"/>
        <v>0</v>
      </c>
    </row>
    <row r="48" spans="1:8" ht="15.75">
      <c r="A48" s="108">
        <v>8.3000000000000007</v>
      </c>
      <c r="B48" s="204" t="s">
        <v>320</v>
      </c>
      <c r="C48" s="219">
        <v>0</v>
      </c>
      <c r="D48" s="219">
        <v>0</v>
      </c>
      <c r="E48" s="240">
        <f t="shared" si="1"/>
        <v>0</v>
      </c>
      <c r="F48" s="219">
        <v>0</v>
      </c>
      <c r="G48" s="219">
        <v>0</v>
      </c>
      <c r="H48" s="220">
        <f t="shared" si="0"/>
        <v>0</v>
      </c>
    </row>
    <row r="49" spans="1:8" ht="15.75">
      <c r="A49" s="108">
        <v>8.4</v>
      </c>
      <c r="B49" s="204" t="s">
        <v>321</v>
      </c>
      <c r="C49" s="219">
        <v>0</v>
      </c>
      <c r="D49" s="219">
        <v>0</v>
      </c>
      <c r="E49" s="240">
        <f t="shared" si="1"/>
        <v>0</v>
      </c>
      <c r="F49" s="219">
        <v>0</v>
      </c>
      <c r="G49" s="219">
        <v>0</v>
      </c>
      <c r="H49" s="220">
        <f t="shared" si="0"/>
        <v>0</v>
      </c>
    </row>
    <row r="50" spans="1:8" ht="15.75">
      <c r="A50" s="108">
        <v>8.5</v>
      </c>
      <c r="B50" s="204" t="s">
        <v>322</v>
      </c>
      <c r="C50" s="219">
        <v>0</v>
      </c>
      <c r="D50" s="219">
        <v>0</v>
      </c>
      <c r="E50" s="240">
        <f t="shared" si="1"/>
        <v>0</v>
      </c>
      <c r="F50" s="219">
        <v>0</v>
      </c>
      <c r="G50" s="219">
        <v>0</v>
      </c>
      <c r="H50" s="220">
        <f t="shared" si="0"/>
        <v>0</v>
      </c>
    </row>
    <row r="51" spans="1:8" ht="15.75">
      <c r="A51" s="108">
        <v>8.6</v>
      </c>
      <c r="B51" s="204" t="s">
        <v>323</v>
      </c>
      <c r="C51" s="219">
        <v>0</v>
      </c>
      <c r="D51" s="219">
        <v>0</v>
      </c>
      <c r="E51" s="240">
        <f t="shared" si="1"/>
        <v>0</v>
      </c>
      <c r="F51" s="219">
        <v>0</v>
      </c>
      <c r="G51" s="219">
        <v>0</v>
      </c>
      <c r="H51" s="220">
        <f t="shared" si="0"/>
        <v>0</v>
      </c>
    </row>
    <row r="52" spans="1:8" ht="15.75">
      <c r="A52" s="108">
        <v>8.6999999999999993</v>
      </c>
      <c r="B52" s="204" t="s">
        <v>324</v>
      </c>
      <c r="C52" s="219">
        <v>0</v>
      </c>
      <c r="D52" s="219">
        <v>0</v>
      </c>
      <c r="E52" s="240">
        <f t="shared" si="1"/>
        <v>0</v>
      </c>
      <c r="F52" s="219">
        <v>0</v>
      </c>
      <c r="G52" s="219">
        <v>0</v>
      </c>
      <c r="H52" s="220">
        <f t="shared" si="0"/>
        <v>0</v>
      </c>
    </row>
    <row r="53" spans="1:8" ht="16.5" thickBot="1">
      <c r="A53" s="207">
        <v>9</v>
      </c>
      <c r="B53" s="208" t="s">
        <v>325</v>
      </c>
      <c r="C53" s="241">
        <v>0</v>
      </c>
      <c r="D53" s="241">
        <v>0</v>
      </c>
      <c r="E53" s="242">
        <f t="shared" si="1"/>
        <v>0</v>
      </c>
      <c r="F53" s="241">
        <v>0</v>
      </c>
      <c r="G53" s="241">
        <v>0</v>
      </c>
      <c r="H53" s="22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140625" defaultRowHeight="12.75"/>
  <cols>
    <col min="1" max="1" width="9.5703125" style="1" bestFit="1" customWidth="1"/>
    <col min="2" max="2" width="93.5703125" style="1" customWidth="1"/>
    <col min="3" max="4" width="12.7109375" style="1" customWidth="1"/>
    <col min="5" max="7" width="12.140625" style="9" customWidth="1"/>
    <col min="8" max="11" width="9.7109375" style="9" customWidth="1"/>
    <col min="12" max="16384" width="9.140625" style="9"/>
  </cols>
  <sheetData>
    <row r="1" spans="1:7" ht="15">
      <c r="A1" s="14" t="s">
        <v>188</v>
      </c>
      <c r="B1" s="13" t="str">
        <f>Info!C2</f>
        <v>ს.ს. "ტერაბანკი"</v>
      </c>
      <c r="C1" s="13"/>
    </row>
    <row r="2" spans="1:7" ht="15">
      <c r="A2" s="14" t="s">
        <v>189</v>
      </c>
      <c r="B2" s="419">
        <f>'1. key ratios'!B2</f>
        <v>44469</v>
      </c>
      <c r="C2" s="13"/>
    </row>
    <row r="3" spans="1:7" ht="15">
      <c r="A3" s="14"/>
      <c r="B3" s="13"/>
      <c r="C3" s="13"/>
    </row>
    <row r="4" spans="1:7" ht="15" customHeight="1" thickBot="1">
      <c r="A4" s="198" t="s">
        <v>332</v>
      </c>
      <c r="B4" s="199" t="s">
        <v>187</v>
      </c>
      <c r="C4" s="200" t="s">
        <v>93</v>
      </c>
    </row>
    <row r="5" spans="1:7" ht="15" customHeight="1">
      <c r="A5" s="196" t="s">
        <v>26</v>
      </c>
      <c r="B5" s="197"/>
      <c r="C5" s="420" t="str">
        <f>INT((MONTH($B$2))/3)&amp;"Q"&amp;"-"&amp;YEAR($B$2)</f>
        <v>3Q-2021</v>
      </c>
      <c r="D5" s="420" t="str">
        <f>IF(INT(MONTH($B$2))=3, "4"&amp;"Q"&amp;"-"&amp;YEAR($B$2)-1, IF(INT(MONTH($B$2))=6, "1"&amp;"Q"&amp;"-"&amp;YEAR($B$2), IF(INT(MONTH($B$2))=9, "2"&amp;"Q"&amp;"-"&amp;YEAR($B$2),IF(INT(MONTH($B$2))=12, "3"&amp;"Q"&amp;"-"&amp;YEAR($B$2), 0))))</f>
        <v>2Q-2021</v>
      </c>
      <c r="E5" s="420" t="str">
        <f>IF(INT(MONTH($B$2))=3, "3"&amp;"Q"&amp;"-"&amp;YEAR($B$2)-1, IF(INT(MONTH($B$2))=6, "4"&amp;"Q"&amp;"-"&amp;YEAR($B$2)-1, IF(INT(MONTH($B$2))=9, "1"&amp;"Q"&amp;"-"&amp;YEAR($B$2),IF(INT(MONTH($B$2))=12, "2"&amp;"Q"&amp;"-"&amp;YEAR($B$2), 0))))</f>
        <v>1Q-2021</v>
      </c>
      <c r="F5" s="420" t="str">
        <f>IF(INT(MONTH($B$2))=3, "2"&amp;"Q"&amp;"-"&amp;YEAR($B$2)-1, IF(INT(MONTH($B$2))=6, "3"&amp;"Q"&amp;"-"&amp;YEAR($B$2)-1, IF(INT(MONTH($B$2))=9, "4"&amp;"Q"&amp;"-"&amp;YEAR($B$2)-1,IF(INT(MONTH($B$2))=12, "1"&amp;"Q"&amp;"-"&amp;YEAR($B$2), 0))))</f>
        <v>4Q-2020</v>
      </c>
      <c r="G5" s="420" t="str">
        <f>IF(INT(MONTH($B$2))=3, "1"&amp;"Q"&amp;"-"&amp;YEAR($B$2)-1, IF(INT(MONTH($B$2))=6, "2"&amp;"Q"&amp;"-"&amp;YEAR($B$2)-1, IF(INT(MONTH($B$2))=9, "3"&amp;"Q"&amp;"-"&amp;YEAR($B$2)-1,IF(INT(MONTH($B$2))=12, "4"&amp;"Q"&amp;"-"&amp;YEAR($B$2)-1, 0))))</f>
        <v>3Q-2020</v>
      </c>
    </row>
    <row r="6" spans="1:7" ht="15" customHeight="1">
      <c r="A6" s="346">
        <v>1</v>
      </c>
      <c r="B6" s="404" t="s">
        <v>192</v>
      </c>
      <c r="C6" s="347">
        <f>C7+C9+C10</f>
        <v>965651446.33749986</v>
      </c>
      <c r="D6" s="406">
        <f>D7+D9+D10</f>
        <v>979824384.03484762</v>
      </c>
      <c r="E6" s="348">
        <f t="shared" ref="E6:G6" si="0">E7+E9+E10</f>
        <v>1008764060.0202504</v>
      </c>
      <c r="F6" s="347">
        <f t="shared" si="0"/>
        <v>936027383.49900103</v>
      </c>
      <c r="G6" s="407">
        <f t="shared" si="0"/>
        <v>935764698.66924989</v>
      </c>
    </row>
    <row r="7" spans="1:7" ht="15" customHeight="1">
      <c r="A7" s="346">
        <v>1.1000000000000001</v>
      </c>
      <c r="B7" s="349" t="s">
        <v>478</v>
      </c>
      <c r="C7" s="350">
        <v>937814523.81499982</v>
      </c>
      <c r="D7" s="408">
        <v>954145441.56349766</v>
      </c>
      <c r="E7" s="350">
        <v>984392231.6705004</v>
      </c>
      <c r="F7" s="350">
        <v>911613986.37750101</v>
      </c>
      <c r="G7" s="409">
        <v>913548060.09149981</v>
      </c>
    </row>
    <row r="8" spans="1:7" ht="25.5">
      <c r="A8" s="346" t="s">
        <v>252</v>
      </c>
      <c r="B8" s="351" t="s">
        <v>326</v>
      </c>
      <c r="C8" s="350">
        <v>0</v>
      </c>
      <c r="D8" s="408">
        <v>0</v>
      </c>
      <c r="E8" s="350">
        <v>0</v>
      </c>
      <c r="F8" s="350">
        <v>0</v>
      </c>
      <c r="G8" s="409">
        <v>0</v>
      </c>
    </row>
    <row r="9" spans="1:7" ht="15" customHeight="1">
      <c r="A9" s="346">
        <v>1.2</v>
      </c>
      <c r="B9" s="349" t="s">
        <v>22</v>
      </c>
      <c r="C9" s="350">
        <v>26111884.892499991</v>
      </c>
      <c r="D9" s="408">
        <v>24338154.86074999</v>
      </c>
      <c r="E9" s="350">
        <v>22815019.853749998</v>
      </c>
      <c r="F9" s="350">
        <v>22852479.733499989</v>
      </c>
      <c r="G9" s="409">
        <v>20669861.617749996</v>
      </c>
    </row>
    <row r="10" spans="1:7" ht="15" customHeight="1">
      <c r="A10" s="346">
        <v>1.3</v>
      </c>
      <c r="B10" s="405" t="s">
        <v>77</v>
      </c>
      <c r="C10" s="350">
        <v>1725037.6300000001</v>
      </c>
      <c r="D10" s="408">
        <v>1340787.6106</v>
      </c>
      <c r="E10" s="350">
        <v>1556808.496</v>
      </c>
      <c r="F10" s="350">
        <v>1560917.388</v>
      </c>
      <c r="G10" s="409">
        <v>1546776.96</v>
      </c>
    </row>
    <row r="11" spans="1:7" ht="15" customHeight="1">
      <c r="A11" s="346">
        <v>2</v>
      </c>
      <c r="B11" s="404" t="s">
        <v>193</v>
      </c>
      <c r="C11" s="350">
        <v>26498769.699999984</v>
      </c>
      <c r="D11" s="408">
        <v>26502380.349999961</v>
      </c>
      <c r="E11" s="350">
        <v>25453609.059999939</v>
      </c>
      <c r="F11" s="350">
        <v>24635876.009999685</v>
      </c>
      <c r="G11" s="409">
        <v>24977298.170000218</v>
      </c>
    </row>
    <row r="12" spans="1:7" ht="15" customHeight="1">
      <c r="A12" s="346">
        <v>3</v>
      </c>
      <c r="B12" s="404" t="s">
        <v>191</v>
      </c>
      <c r="C12" s="350">
        <v>99313156.550000012</v>
      </c>
      <c r="D12" s="408">
        <v>99313156.550000012</v>
      </c>
      <c r="E12" s="350">
        <v>99313156.550000012</v>
      </c>
      <c r="F12" s="350">
        <v>99313156.550000012</v>
      </c>
      <c r="G12" s="409">
        <v>93832535.96875</v>
      </c>
    </row>
    <row r="13" spans="1:7" ht="15" customHeight="1" thickBot="1">
      <c r="A13" s="121">
        <v>4</v>
      </c>
      <c r="B13" s="412" t="s">
        <v>253</v>
      </c>
      <c r="C13" s="243">
        <f>C6+C11+C12</f>
        <v>1091463372.5874999</v>
      </c>
      <c r="D13" s="410">
        <f>D6+D11+D12</f>
        <v>1105639920.9348476</v>
      </c>
      <c r="E13" s="244">
        <f t="shared" ref="E13:G13" si="1">E6+E11+E12</f>
        <v>1133530825.6302505</v>
      </c>
      <c r="F13" s="243">
        <f t="shared" si="1"/>
        <v>1059976416.0590007</v>
      </c>
      <c r="G13" s="411">
        <f t="shared" si="1"/>
        <v>1054574532.8080001</v>
      </c>
    </row>
    <row r="14" spans="1:7">
      <c r="B14" s="18"/>
    </row>
    <row r="15" spans="1:7" ht="25.5">
      <c r="B15" s="18" t="s">
        <v>479</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cols>
    <col min="1" max="1" width="9.5703125" style="1" bestFit="1" customWidth="1"/>
    <col min="2" max="2" width="74.5703125" style="1" customWidth="1"/>
    <col min="3" max="3" width="34.28515625" style="1" customWidth="1"/>
  </cols>
  <sheetData>
    <row r="1" spans="1:8">
      <c r="A1" s="1" t="s">
        <v>188</v>
      </c>
      <c r="B1" s="1" t="str">
        <f>Info!C2</f>
        <v>ს.ს. "ტერაბანკი"</v>
      </c>
    </row>
    <row r="2" spans="1:8">
      <c r="A2" s="1" t="s">
        <v>189</v>
      </c>
      <c r="B2" s="436">
        <f>'1. key ratios'!B2</f>
        <v>44469</v>
      </c>
    </row>
    <row r="4" spans="1:8" ht="25.5" customHeight="1" thickBot="1">
      <c r="A4" s="209" t="s">
        <v>333</v>
      </c>
      <c r="B4" s="53" t="s">
        <v>149</v>
      </c>
      <c r="C4" s="10"/>
    </row>
    <row r="5" spans="1:8" ht="15.75">
      <c r="A5" s="8"/>
      <c r="B5" s="400" t="s">
        <v>150</v>
      </c>
      <c r="C5" s="417" t="s">
        <v>493</v>
      </c>
    </row>
    <row r="6" spans="1:8">
      <c r="A6" s="11">
        <v>1</v>
      </c>
      <c r="B6" s="54" t="s">
        <v>740</v>
      </c>
      <c r="C6" s="413" t="s">
        <v>744</v>
      </c>
    </row>
    <row r="7" spans="1:8">
      <c r="A7" s="11">
        <v>2</v>
      </c>
      <c r="B7" s="54" t="s">
        <v>745</v>
      </c>
      <c r="C7" s="413" t="s">
        <v>746</v>
      </c>
    </row>
    <row r="8" spans="1:8">
      <c r="A8" s="11">
        <v>3</v>
      </c>
      <c r="B8" s="54" t="s">
        <v>747</v>
      </c>
      <c r="C8" s="413" t="s">
        <v>746</v>
      </c>
    </row>
    <row r="9" spans="1:8">
      <c r="A9" s="11">
        <v>4</v>
      </c>
      <c r="B9" s="54" t="s">
        <v>748</v>
      </c>
      <c r="C9" s="413" t="s">
        <v>749</v>
      </c>
    </row>
    <row r="10" spans="1:8">
      <c r="A10" s="11">
        <v>5</v>
      </c>
      <c r="B10" s="54" t="s">
        <v>750</v>
      </c>
      <c r="C10" s="413" t="s">
        <v>749</v>
      </c>
    </row>
    <row r="11" spans="1:8">
      <c r="A11" s="11">
        <v>6</v>
      </c>
      <c r="B11" s="54" t="s">
        <v>751</v>
      </c>
      <c r="C11" s="413" t="s">
        <v>749</v>
      </c>
    </row>
    <row r="12" spans="1:8">
      <c r="A12" s="11">
        <v>7</v>
      </c>
      <c r="B12" s="54"/>
      <c r="C12" s="413"/>
      <c r="H12" s="2"/>
    </row>
    <row r="13" spans="1:8">
      <c r="A13" s="11">
        <v>8</v>
      </c>
      <c r="B13" s="54"/>
      <c r="C13" s="413"/>
    </row>
    <row r="14" spans="1:8">
      <c r="A14" s="11">
        <v>9</v>
      </c>
      <c r="B14" s="54"/>
      <c r="C14" s="413"/>
    </row>
    <row r="15" spans="1:8">
      <c r="A15" s="11">
        <v>10</v>
      </c>
      <c r="B15" s="54"/>
      <c r="C15" s="413"/>
    </row>
    <row r="16" spans="1:8">
      <c r="A16" s="11"/>
      <c r="B16" s="634"/>
      <c r="C16" s="635"/>
    </row>
    <row r="17" spans="1:3" ht="60">
      <c r="A17" s="11"/>
      <c r="B17" s="401" t="s">
        <v>151</v>
      </c>
      <c r="C17" s="418" t="s">
        <v>494</v>
      </c>
    </row>
    <row r="18" spans="1:3" ht="15.75">
      <c r="A18" s="11">
        <v>1</v>
      </c>
      <c r="B18" s="22" t="s">
        <v>752</v>
      </c>
      <c r="C18" s="415" t="s">
        <v>753</v>
      </c>
    </row>
    <row r="19" spans="1:3" ht="15.75">
      <c r="A19" s="11">
        <v>2</v>
      </c>
      <c r="B19" s="22" t="s">
        <v>754</v>
      </c>
      <c r="C19" s="415" t="s">
        <v>755</v>
      </c>
    </row>
    <row r="20" spans="1:3" ht="15.75">
      <c r="A20" s="11">
        <v>3</v>
      </c>
      <c r="B20" s="22" t="s">
        <v>756</v>
      </c>
      <c r="C20" s="415" t="s">
        <v>757</v>
      </c>
    </row>
    <row r="21" spans="1:3" ht="15.75">
      <c r="A21" s="11">
        <v>4</v>
      </c>
      <c r="B21" s="22" t="s">
        <v>758</v>
      </c>
      <c r="C21" s="415" t="s">
        <v>759</v>
      </c>
    </row>
    <row r="22" spans="1:3" ht="15.75">
      <c r="A22" s="11">
        <v>5</v>
      </c>
      <c r="B22" s="22" t="s">
        <v>760</v>
      </c>
      <c r="C22" s="415" t="s">
        <v>761</v>
      </c>
    </row>
    <row r="23" spans="1:3" ht="15.75">
      <c r="A23" s="11">
        <v>6</v>
      </c>
      <c r="B23" s="22"/>
      <c r="C23" s="415"/>
    </row>
    <row r="24" spans="1:3" ht="15.75">
      <c r="A24" s="11">
        <v>7</v>
      </c>
      <c r="B24" s="22"/>
      <c r="C24" s="415"/>
    </row>
    <row r="25" spans="1:3" ht="15.75">
      <c r="A25" s="11">
        <v>8</v>
      </c>
      <c r="B25" s="22"/>
      <c r="C25" s="415"/>
    </row>
    <row r="26" spans="1:3" ht="15.75">
      <c r="A26" s="11">
        <v>9</v>
      </c>
      <c r="B26" s="22"/>
      <c r="C26" s="415"/>
    </row>
    <row r="27" spans="1:3" ht="15.75" customHeight="1">
      <c r="A27" s="11">
        <v>10</v>
      </c>
      <c r="B27" s="22"/>
      <c r="C27" s="416"/>
    </row>
    <row r="28" spans="1:3" ht="15.75" customHeight="1">
      <c r="A28" s="11"/>
      <c r="B28" s="22"/>
      <c r="C28" s="23"/>
    </row>
    <row r="29" spans="1:3" ht="30" customHeight="1">
      <c r="A29" s="11"/>
      <c r="B29" s="636" t="s">
        <v>152</v>
      </c>
      <c r="C29" s="637"/>
    </row>
    <row r="30" spans="1:3">
      <c r="A30" s="11">
        <v>1</v>
      </c>
      <c r="B30" s="54" t="s">
        <v>740</v>
      </c>
      <c r="C30" s="545">
        <v>0.65</v>
      </c>
    </row>
    <row r="31" spans="1:3">
      <c r="A31" s="540">
        <v>2</v>
      </c>
      <c r="B31" s="541" t="s">
        <v>762</v>
      </c>
      <c r="C31" s="545">
        <v>0.15</v>
      </c>
    </row>
    <row r="32" spans="1:3">
      <c r="A32" s="540">
        <v>3</v>
      </c>
      <c r="B32" s="541" t="s">
        <v>763</v>
      </c>
      <c r="C32" s="545">
        <v>0.15</v>
      </c>
    </row>
    <row r="33" spans="1:3">
      <c r="A33" s="540">
        <v>4</v>
      </c>
      <c r="B33" s="541" t="s">
        <v>764</v>
      </c>
      <c r="C33" s="545">
        <v>0.05</v>
      </c>
    </row>
    <row r="34" spans="1:3">
      <c r="A34" s="540"/>
      <c r="B34" s="541"/>
      <c r="C34" s="55"/>
    </row>
    <row r="35" spans="1:3">
      <c r="A35" s="540"/>
      <c r="B35" s="541"/>
      <c r="C35" s="55"/>
    </row>
    <row r="36" spans="1:3" ht="15.75" customHeight="1">
      <c r="A36" s="11"/>
      <c r="B36" s="54"/>
      <c r="C36" s="55"/>
    </row>
    <row r="37" spans="1:3" ht="29.25" customHeight="1">
      <c r="A37" s="11"/>
      <c r="B37" s="636" t="s">
        <v>273</v>
      </c>
      <c r="C37" s="637"/>
    </row>
    <row r="38" spans="1:3">
      <c r="A38" s="11">
        <v>1</v>
      </c>
      <c r="B38" s="54" t="s">
        <v>740</v>
      </c>
      <c r="C38" s="546">
        <v>0.65</v>
      </c>
    </row>
    <row r="39" spans="1:3">
      <c r="A39" s="542">
        <v>2</v>
      </c>
      <c r="B39" s="543" t="s">
        <v>762</v>
      </c>
      <c r="C39" s="547">
        <v>0.15</v>
      </c>
    </row>
    <row r="40" spans="1:3">
      <c r="A40" s="542">
        <v>3</v>
      </c>
      <c r="B40" s="543" t="s">
        <v>763</v>
      </c>
      <c r="C40" s="547">
        <v>0.15</v>
      </c>
    </row>
    <row r="41" spans="1:3">
      <c r="A41" s="542">
        <v>4</v>
      </c>
      <c r="B41" s="543" t="s">
        <v>764</v>
      </c>
      <c r="C41" s="547">
        <v>0.05</v>
      </c>
    </row>
    <row r="42" spans="1:3">
      <c r="A42" s="542"/>
      <c r="B42" s="543"/>
      <c r="C42" s="544"/>
    </row>
    <row r="43" spans="1:3" ht="16.5" thickBot="1">
      <c r="A43" s="12"/>
      <c r="B43" s="56"/>
      <c r="C43" s="414"/>
    </row>
  </sheetData>
  <mergeCells count="3">
    <mergeCell ref="B16:C16"/>
    <mergeCell ref="B37:C37"/>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5" zoomScaleNormal="85" workbookViewId="0">
      <pane xSplit="1" ySplit="5" topLeftCell="B6"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"ტერაბანკი"</v>
      </c>
    </row>
    <row r="2" spans="1:5" s="14" customFormat="1" ht="15.75" customHeight="1">
      <c r="A2" s="14" t="s">
        <v>189</v>
      </c>
      <c r="B2" s="436">
        <f>'1. key ratios'!B2</f>
        <v>44469</v>
      </c>
    </row>
    <row r="3" spans="1:5" s="14" customFormat="1" ht="15.75" customHeight="1"/>
    <row r="4" spans="1:5" s="14" customFormat="1" ht="15.75" customHeight="1" thickBot="1">
      <c r="A4" s="210" t="s">
        <v>334</v>
      </c>
      <c r="B4" s="211" t="s">
        <v>263</v>
      </c>
      <c r="C4" s="175"/>
      <c r="D4" s="175"/>
      <c r="E4" s="176" t="s">
        <v>93</v>
      </c>
    </row>
    <row r="5" spans="1:5" s="109" customFormat="1" ht="17.45" customHeight="1">
      <c r="A5" s="317"/>
      <c r="B5" s="318"/>
      <c r="C5" s="174" t="s">
        <v>0</v>
      </c>
      <c r="D5" s="174" t="s">
        <v>1</v>
      </c>
      <c r="E5" s="319" t="s">
        <v>2</v>
      </c>
    </row>
    <row r="6" spans="1:5" ht="14.45" customHeight="1">
      <c r="A6" s="320"/>
      <c r="B6" s="638" t="s">
        <v>231</v>
      </c>
      <c r="C6" s="638" t="s">
        <v>230</v>
      </c>
      <c r="D6" s="639" t="s">
        <v>229</v>
      </c>
      <c r="E6" s="640"/>
    </row>
    <row r="7" spans="1:5" ht="99.6" customHeight="1">
      <c r="A7" s="320"/>
      <c r="B7" s="638"/>
      <c r="C7" s="638"/>
      <c r="D7" s="315" t="s">
        <v>228</v>
      </c>
      <c r="E7" s="316" t="s">
        <v>396</v>
      </c>
    </row>
    <row r="8" spans="1:5">
      <c r="A8" s="321">
        <v>1</v>
      </c>
      <c r="B8" s="322" t="s">
        <v>154</v>
      </c>
      <c r="C8" s="323">
        <v>44500544.220000014</v>
      </c>
      <c r="D8" s="323"/>
      <c r="E8" s="324">
        <v>44500544.220000014</v>
      </c>
    </row>
    <row r="9" spans="1:5">
      <c r="A9" s="321">
        <v>2</v>
      </c>
      <c r="B9" s="322" t="s">
        <v>155</v>
      </c>
      <c r="C9" s="323">
        <v>156739548.84</v>
      </c>
      <c r="D9" s="323"/>
      <c r="E9" s="324">
        <v>156739548.84</v>
      </c>
    </row>
    <row r="10" spans="1:5">
      <c r="A10" s="321">
        <v>3</v>
      </c>
      <c r="B10" s="322" t="s">
        <v>227</v>
      </c>
      <c r="C10" s="323">
        <v>42263146.379999995</v>
      </c>
      <c r="D10" s="323"/>
      <c r="E10" s="324">
        <v>42263146.379999995</v>
      </c>
    </row>
    <row r="11" spans="1:5">
      <c r="A11" s="321">
        <v>4</v>
      </c>
      <c r="B11" s="322" t="s">
        <v>185</v>
      </c>
      <c r="C11" s="323">
        <v>0</v>
      </c>
      <c r="D11" s="323"/>
      <c r="E11" s="324">
        <v>0</v>
      </c>
    </row>
    <row r="12" spans="1:5">
      <c r="A12" s="321">
        <v>5</v>
      </c>
      <c r="B12" s="322" t="s">
        <v>157</v>
      </c>
      <c r="C12" s="323">
        <v>127105313.37</v>
      </c>
      <c r="D12" s="323"/>
      <c r="E12" s="324">
        <v>127105313.37</v>
      </c>
    </row>
    <row r="13" spans="1:5">
      <c r="A13" s="321">
        <v>6.1</v>
      </c>
      <c r="B13" s="322" t="s">
        <v>158</v>
      </c>
      <c r="C13" s="325">
        <v>933507766.64999819</v>
      </c>
      <c r="D13" s="323"/>
      <c r="E13" s="324">
        <v>933507766.64999819</v>
      </c>
    </row>
    <row r="14" spans="1:5">
      <c r="A14" s="321">
        <v>6.2</v>
      </c>
      <c r="B14" s="326" t="s">
        <v>159</v>
      </c>
      <c r="C14" s="325">
        <v>51231898.949999884</v>
      </c>
      <c r="D14" s="323"/>
      <c r="E14" s="324">
        <v>51231898.949999884</v>
      </c>
    </row>
    <row r="15" spans="1:5">
      <c r="A15" s="321">
        <v>6</v>
      </c>
      <c r="B15" s="322" t="s">
        <v>226</v>
      </c>
      <c r="C15" s="323">
        <v>882275867.69999838</v>
      </c>
      <c r="D15" s="323"/>
      <c r="E15" s="324">
        <v>882275867.69999838</v>
      </c>
    </row>
    <row r="16" spans="1:5">
      <c r="A16" s="321">
        <v>7</v>
      </c>
      <c r="B16" s="322" t="s">
        <v>161</v>
      </c>
      <c r="C16" s="323">
        <v>12874224.459999979</v>
      </c>
      <c r="D16" s="323"/>
      <c r="E16" s="324">
        <v>12874224.459999979</v>
      </c>
    </row>
    <row r="17" spans="1:7">
      <c r="A17" s="321">
        <v>8</v>
      </c>
      <c r="B17" s="322" t="s">
        <v>162</v>
      </c>
      <c r="C17" s="323">
        <v>3574072.9600000121</v>
      </c>
      <c r="D17" s="323"/>
      <c r="E17" s="324">
        <v>3574072.9600000121</v>
      </c>
      <c r="F17" s="3"/>
      <c r="G17" s="3"/>
    </row>
    <row r="18" spans="1:7">
      <c r="A18" s="321">
        <v>9</v>
      </c>
      <c r="B18" s="322" t="s">
        <v>163</v>
      </c>
      <c r="C18" s="323">
        <v>0</v>
      </c>
      <c r="D18" s="323"/>
      <c r="E18" s="324">
        <v>0</v>
      </c>
      <c r="G18" s="3"/>
    </row>
    <row r="19" spans="1:7" ht="25.5">
      <c r="A19" s="321">
        <v>10</v>
      </c>
      <c r="B19" s="322" t="s">
        <v>164</v>
      </c>
      <c r="C19" s="323">
        <v>46467904.75999999</v>
      </c>
      <c r="D19" s="323">
        <v>23235267</v>
      </c>
      <c r="E19" s="324">
        <v>23232637.75999999</v>
      </c>
      <c r="G19" s="3"/>
    </row>
    <row r="20" spans="1:7">
      <c r="A20" s="321">
        <v>11</v>
      </c>
      <c r="B20" s="322" t="s">
        <v>165</v>
      </c>
      <c r="C20" s="323">
        <v>8765853.6349999998</v>
      </c>
      <c r="D20" s="323"/>
      <c r="E20" s="324">
        <v>8765853.6349999998</v>
      </c>
    </row>
    <row r="21" spans="1:7" ht="39" thickBot="1">
      <c r="A21" s="327"/>
      <c r="B21" s="328" t="s">
        <v>369</v>
      </c>
      <c r="C21" s="281">
        <f>SUM(C8:C12, C15:C20)</f>
        <v>1324566476.3249984</v>
      </c>
      <c r="D21" s="281">
        <f>SUM(D8:D12, D15:D20)</f>
        <v>23235267</v>
      </c>
      <c r="E21" s="329">
        <f>SUM(E8:E12, E15:E20)</f>
        <v>1301331209.3249984</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2" sqref="D12"/>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"ტერაბანკი"</v>
      </c>
    </row>
    <row r="2" spans="1:6" s="14" customFormat="1" ht="15.75" customHeight="1">
      <c r="A2" s="14" t="s">
        <v>189</v>
      </c>
      <c r="B2" s="436">
        <f>'1. key ratios'!B2</f>
        <v>44469</v>
      </c>
      <c r="C2"/>
      <c r="D2"/>
      <c r="E2"/>
      <c r="F2"/>
    </row>
    <row r="3" spans="1:6" s="14" customFormat="1" ht="15.75" customHeight="1">
      <c r="C3"/>
      <c r="D3"/>
      <c r="E3"/>
      <c r="F3"/>
    </row>
    <row r="4" spans="1:6" s="14" customFormat="1" ht="26.25" thickBot="1">
      <c r="A4" s="14" t="s">
        <v>335</v>
      </c>
      <c r="B4" s="182" t="s">
        <v>266</v>
      </c>
      <c r="C4" s="176" t="s">
        <v>93</v>
      </c>
      <c r="D4"/>
      <c r="E4"/>
      <c r="F4"/>
    </row>
    <row r="5" spans="1:6" ht="26.25">
      <c r="A5" s="177">
        <v>1</v>
      </c>
      <c r="B5" s="178" t="s">
        <v>342</v>
      </c>
      <c r="C5" s="245">
        <f>'7. LI1'!E21</f>
        <v>1301331209.3249984</v>
      </c>
    </row>
    <row r="6" spans="1:6">
      <c r="A6" s="108">
        <v>2.1</v>
      </c>
      <c r="B6" s="184" t="s">
        <v>267</v>
      </c>
      <c r="C6" s="246">
        <v>82499632.159999967</v>
      </c>
    </row>
    <row r="7" spans="1:6" s="2" customFormat="1" ht="25.5" outlineLevel="1">
      <c r="A7" s="183">
        <v>2.2000000000000002</v>
      </c>
      <c r="B7" s="179" t="s">
        <v>268</v>
      </c>
      <c r="C7" s="247">
        <v>86251881.5</v>
      </c>
    </row>
    <row r="8" spans="1:6" s="2" customFormat="1" ht="26.25">
      <c r="A8" s="183">
        <v>3</v>
      </c>
      <c r="B8" s="180" t="s">
        <v>343</v>
      </c>
      <c r="C8" s="248">
        <f>SUM(C5:C7)</f>
        <v>1470082722.9849982</v>
      </c>
    </row>
    <row r="9" spans="1:6">
      <c r="A9" s="108">
        <v>4</v>
      </c>
      <c r="B9" s="187" t="s">
        <v>264</v>
      </c>
      <c r="C9" s="246">
        <v>14914391.399999984</v>
      </c>
    </row>
    <row r="10" spans="1:6" s="2" customFormat="1" ht="25.5" outlineLevel="1">
      <c r="A10" s="183">
        <v>5.0999999999999996</v>
      </c>
      <c r="B10" s="179" t="s">
        <v>274</v>
      </c>
      <c r="C10" s="247">
        <v>-40475314.828000017</v>
      </c>
    </row>
    <row r="11" spans="1:6" s="2" customFormat="1" ht="25.5" outlineLevel="1">
      <c r="A11" s="183">
        <v>5.2</v>
      </c>
      <c r="B11" s="179" t="s">
        <v>275</v>
      </c>
      <c r="C11" s="247">
        <v>-84526843.870000005</v>
      </c>
    </row>
    <row r="12" spans="1:6" s="2" customFormat="1">
      <c r="A12" s="183">
        <v>6</v>
      </c>
      <c r="B12" s="185" t="s">
        <v>480</v>
      </c>
      <c r="C12" s="247">
        <v>0</v>
      </c>
    </row>
    <row r="13" spans="1:6" s="2" customFormat="1" ht="15.75" thickBot="1">
      <c r="A13" s="186">
        <v>7</v>
      </c>
      <c r="B13" s="181" t="s">
        <v>265</v>
      </c>
      <c r="C13" s="249">
        <f>SUM(C8:C12)</f>
        <v>1359994955.6869984</v>
      </c>
    </row>
    <row r="15" spans="1:6" ht="26.25">
      <c r="B15" s="18" t="s">
        <v>481</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KnD8LCUZRzPfTBvxKJGfRrdzI27g1gf6mBHhFCD8qDQ=</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OCenXetCe7TA9hJxPKCRzhp3S04ANmZIAVNrpHLN5u4=</DigestValue>
    </Reference>
  </SignedInfo>
  <SignatureValue>1e+hCDhlMBtTWLLmzvz4pzb0cvupjZPjomG8AP14Zv8Mu6/fKtkYx8Q+KLWi6ddEbYPMlVnpNdG5
OmLnyMeQN4z9J53KbyB6oecoDFWPG30nLfeAHLLVk+pedq9JMwoVDHLwBMxW9la3R7i3qoBEc66O
z+B/4KdyK0BAQxnFYMDQWkqRKuH45iL/Yrx6d7EvARUsyT4vLqOtSReO6IbxRGic3VuCUwCQvJqH
4xzb8fSGE5eZ17IUx8ctv3Fx7KH3iFXcbvYF/HbuBo5XfDeNZVhu/uOctpyNEPbwo4RIOZ58FxVz
lSNLRZ5VF+wI046karWwBYTVsvR4zL0pvByF4w==</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tG3Yvu4yOTMK6zHHYWrINZ4B7ftIsLG8Kh9hkei4yME=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vtvSdcdO5AB25PMakQ9m67QmouKNMU/LHK+VKc9ySwo=</DigestValue>
      </Reference>
      <Reference URI="/xl/styles.xml?ContentType=application/vnd.openxmlformats-officedocument.spreadsheetml.styles+xml">
        <DigestMethod Algorithm="http://www.w3.org/2001/04/xmlenc#sha256"/>
        <DigestValue>0Gq0eszuuTtjTzfGt79lLoH5doy97HR6OAgMPKaj+ac=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fI+uswGJEvc920V8dIiHjisF05AH7HbwUn2Jznazykc=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hEwIdNyOK0YTGiFpXRLSfg5qUPurrg7oqoDfX7VsUKU=</DigestValue>
      </Reference>
      <Reference URI="/xl/worksheets/sheet10.xml?ContentType=application/vnd.openxmlformats-officedocument.spreadsheetml.worksheet+xml">
        <DigestMethod Algorithm="http://www.w3.org/2001/04/xmlenc#sha256"/>
        <DigestValue>cHb4xUmW8QTX0Ot2VyT+BJeuQUto4KFKGeHNisVRVoU=</DigestValue>
      </Reference>
      <Reference URI="/xl/worksheets/sheet11.xml?ContentType=application/vnd.openxmlformats-officedocument.spreadsheetml.worksheet+xml">
        <DigestMethod Algorithm="http://www.w3.org/2001/04/xmlenc#sha256"/>
        <DigestValue>cQpQijzj7TOPCM1kwZkKD+WdaeUpNY0suHvBxk9t81w=</DigestValue>
      </Reference>
      <Reference URI="/xl/worksheets/sheet12.xml?ContentType=application/vnd.openxmlformats-officedocument.spreadsheetml.worksheet+xml">
        <DigestMethod Algorithm="http://www.w3.org/2001/04/xmlenc#sha256"/>
        <DigestValue>95KZvXBKtvumOAZjAEQleRstTCswCV21NVJAvUIQ6d0=</DigestValue>
      </Reference>
      <Reference URI="/xl/worksheets/sheet13.xml?ContentType=application/vnd.openxmlformats-officedocument.spreadsheetml.worksheet+xml">
        <DigestMethod Algorithm="http://www.w3.org/2001/04/xmlenc#sha256"/>
        <DigestValue>mUz2dwAXee9bR0oq0jhcyKloE0XCP398LRDruhcOew0=</DigestValue>
      </Reference>
      <Reference URI="/xl/worksheets/sheet14.xml?ContentType=application/vnd.openxmlformats-officedocument.spreadsheetml.worksheet+xml">
        <DigestMethod Algorithm="http://www.w3.org/2001/04/xmlenc#sha256"/>
        <DigestValue>HqnF+eXw4gNoMC9oVI4/ToOqU1FJ/0LNKqaYwe11yxw=</DigestValue>
      </Reference>
      <Reference URI="/xl/worksheets/sheet15.xml?ContentType=application/vnd.openxmlformats-officedocument.spreadsheetml.worksheet+xml">
        <DigestMethod Algorithm="http://www.w3.org/2001/04/xmlenc#sha256"/>
        <DigestValue>w1axp7Z0vjfhF6tP+zfnEtQq8ZAU40ouEGyJyIBS6+s=</DigestValue>
      </Reference>
      <Reference URI="/xl/worksheets/sheet16.xml?ContentType=application/vnd.openxmlformats-officedocument.spreadsheetml.worksheet+xml">
        <DigestMethod Algorithm="http://www.w3.org/2001/04/xmlenc#sha256"/>
        <DigestValue>YJ3kCmU+VfwhSUP6hfbM28QVCkuWLN4NJpC4zV7mUAg=</DigestValue>
      </Reference>
      <Reference URI="/xl/worksheets/sheet17.xml?ContentType=application/vnd.openxmlformats-officedocument.spreadsheetml.worksheet+xml">
        <DigestMethod Algorithm="http://www.w3.org/2001/04/xmlenc#sha256"/>
        <DigestValue>KOt0UqnxcLapDgOAa1yj1sFIfUJP9sMqKGJMHcM8kcs=</DigestValue>
      </Reference>
      <Reference URI="/xl/worksheets/sheet18.xml?ContentType=application/vnd.openxmlformats-officedocument.spreadsheetml.worksheet+xml">
        <DigestMethod Algorithm="http://www.w3.org/2001/04/xmlenc#sha256"/>
        <DigestValue>v1ZadzCI4PJB8i0nda7LYey2s2R6AL2WxhvksyUqcGA=</DigestValue>
      </Reference>
      <Reference URI="/xl/worksheets/sheet19.xml?ContentType=application/vnd.openxmlformats-officedocument.spreadsheetml.worksheet+xml">
        <DigestMethod Algorithm="http://www.w3.org/2001/04/xmlenc#sha256"/>
        <DigestValue>ohlMsJJ0Qi1bKLUPLbIyIxnmVALI5douJ+rGgA4pvBg=</DigestValue>
      </Reference>
      <Reference URI="/xl/worksheets/sheet2.xml?ContentType=application/vnd.openxmlformats-officedocument.spreadsheetml.worksheet+xml">
        <DigestMethod Algorithm="http://www.w3.org/2001/04/xmlenc#sha256"/>
        <DigestValue>V8Whonwdj0zZPhPXBOnLzg0jKAeR+KVRWiGb7RDquHk=</DigestValue>
      </Reference>
      <Reference URI="/xl/worksheets/sheet20.xml?ContentType=application/vnd.openxmlformats-officedocument.spreadsheetml.worksheet+xml">
        <DigestMethod Algorithm="http://www.w3.org/2001/04/xmlenc#sha256"/>
        <DigestValue>0Ai5ckeLC1DW9f/6+vEwfep2WKV0XcSoEfzLpKa9NmQ=</DigestValue>
      </Reference>
      <Reference URI="/xl/worksheets/sheet21.xml?ContentType=application/vnd.openxmlformats-officedocument.spreadsheetml.worksheet+xml">
        <DigestMethod Algorithm="http://www.w3.org/2001/04/xmlenc#sha256"/>
        <DigestValue>E8mCawWG9L0jlLBPBr+GOXCl4Ic2LWi+80+ppT1zPg4=</DigestValue>
      </Reference>
      <Reference URI="/xl/worksheets/sheet22.xml?ContentType=application/vnd.openxmlformats-officedocument.spreadsheetml.worksheet+xml">
        <DigestMethod Algorithm="http://www.w3.org/2001/04/xmlenc#sha256"/>
        <DigestValue>db81DidP+hlPPhdOHQbyoFW1MuNsuaaauDDMRxDwDy4=</DigestValue>
      </Reference>
      <Reference URI="/xl/worksheets/sheet23.xml?ContentType=application/vnd.openxmlformats-officedocument.spreadsheetml.worksheet+xml">
        <DigestMethod Algorithm="http://www.w3.org/2001/04/xmlenc#sha256"/>
        <DigestValue>PgvCnjLud6pO9HaoQcUpZSSksI6X7APvxudgbTHIGt8=</DigestValue>
      </Reference>
      <Reference URI="/xl/worksheets/sheet24.xml?ContentType=application/vnd.openxmlformats-officedocument.spreadsheetml.worksheet+xml">
        <DigestMethod Algorithm="http://www.w3.org/2001/04/xmlenc#sha256"/>
        <DigestValue>O+QG11O9zAqIgYSomvKcjmhsaljxB+ytRcDjftUPRuo=</DigestValue>
      </Reference>
      <Reference URI="/xl/worksheets/sheet25.xml?ContentType=application/vnd.openxmlformats-officedocument.spreadsheetml.worksheet+xml">
        <DigestMethod Algorithm="http://www.w3.org/2001/04/xmlenc#sha256"/>
        <DigestValue>Hh5QrCfo+Py1h07iznMoTH7kfpt8Ip/eEog6HxyBegA=</DigestValue>
      </Reference>
      <Reference URI="/xl/worksheets/sheet26.xml?ContentType=application/vnd.openxmlformats-officedocument.spreadsheetml.worksheet+xml">
        <DigestMethod Algorithm="http://www.w3.org/2001/04/xmlenc#sha256"/>
        <DigestValue>0Gn860e/pIRBy6qxKNpabAY3bDv421v88h0r1fuK3Qg=</DigestValue>
      </Reference>
      <Reference URI="/xl/worksheets/sheet27.xml?ContentType=application/vnd.openxmlformats-officedocument.spreadsheetml.worksheet+xml">
        <DigestMethod Algorithm="http://www.w3.org/2001/04/xmlenc#sha256"/>
        <DigestValue>oqucecubF7pj3f6Pji2J6f+M4c+cCdKYZWJOGdFg29g=</DigestValue>
      </Reference>
      <Reference URI="/xl/worksheets/sheet28.xml?ContentType=application/vnd.openxmlformats-officedocument.spreadsheetml.worksheet+xml">
        <DigestMethod Algorithm="http://www.w3.org/2001/04/xmlenc#sha256"/>
        <DigestValue>Rtpbm5CieMhSsYtpdSybvixwHZ6Wnq97gUqKgnKm/PY=</DigestValue>
      </Reference>
      <Reference URI="/xl/worksheets/sheet29.xml?ContentType=application/vnd.openxmlformats-officedocument.spreadsheetml.worksheet+xml">
        <DigestMethod Algorithm="http://www.w3.org/2001/04/xmlenc#sha256"/>
        <DigestValue>HEJA5PAwBg2nAV0QQwF5Qznta75d/PT31KTYrnqlVzc=</DigestValue>
      </Reference>
      <Reference URI="/xl/worksheets/sheet3.xml?ContentType=application/vnd.openxmlformats-officedocument.spreadsheetml.worksheet+xml">
        <DigestMethod Algorithm="http://www.w3.org/2001/04/xmlenc#sha256"/>
        <DigestValue>GalI2ROjrGgrpuQJxpcu9c3M0Ifj97jJ49+rw8x6YYg=</DigestValue>
      </Reference>
      <Reference URI="/xl/worksheets/sheet4.xml?ContentType=application/vnd.openxmlformats-officedocument.spreadsheetml.worksheet+xml">
        <DigestMethod Algorithm="http://www.w3.org/2001/04/xmlenc#sha256"/>
        <DigestValue>5OF9OjOGe+szvZch3wCWs3niBqI4jDwo1WuEkMGZIVo=</DigestValue>
      </Reference>
      <Reference URI="/xl/worksheets/sheet5.xml?ContentType=application/vnd.openxmlformats-officedocument.spreadsheetml.worksheet+xml">
        <DigestMethod Algorithm="http://www.w3.org/2001/04/xmlenc#sha256"/>
        <DigestValue>Di1VrfkmkDvvXAzaxL6XckQScWufpGrtPLje35M+6s4=</DigestValue>
      </Reference>
      <Reference URI="/xl/worksheets/sheet6.xml?ContentType=application/vnd.openxmlformats-officedocument.spreadsheetml.worksheet+xml">
        <DigestMethod Algorithm="http://www.w3.org/2001/04/xmlenc#sha256"/>
        <DigestValue>ZwZtWAcHfclxq2L+xzU1VlELpeToI/Xq72pxdYYVTeM=</DigestValue>
      </Reference>
      <Reference URI="/xl/worksheets/sheet7.xml?ContentType=application/vnd.openxmlformats-officedocument.spreadsheetml.worksheet+xml">
        <DigestMethod Algorithm="http://www.w3.org/2001/04/xmlenc#sha256"/>
        <DigestValue>NqH0qwAwQaEoQxNuiZkZFXmBZxm84KOPiXi5KW1Paho=</DigestValue>
      </Reference>
      <Reference URI="/xl/worksheets/sheet8.xml?ContentType=application/vnd.openxmlformats-officedocument.spreadsheetml.worksheet+xml">
        <DigestMethod Algorithm="http://www.w3.org/2001/04/xmlenc#sha256"/>
        <DigestValue>pDsOrOcrNYewnY0tLEDhuyJqbaMDWP1OhQDVNYkyZGs=</DigestValue>
      </Reference>
      <Reference URI="/xl/worksheets/sheet9.xml?ContentType=application/vnd.openxmlformats-officedocument.spreadsheetml.worksheet+xml">
        <DigestMethod Algorithm="http://www.w3.org/2001/04/xmlenc#sha256"/>
        <DigestValue>2aP7bDAvp+4zWZEKYustlUjdhgTNmo/RfPjV4M/nn6Y=</DigestValue>
      </Reference>
    </Manifest>
    <SignatureProperties>
      <SignatureProperty Id="idSignatureTime" Target="#idPackageSignature">
        <mdssi:SignatureTime xmlns:mdssi="http://schemas.openxmlformats.org/package/2006/digital-signature">
          <mdssi:Format>YYYY-MM-DDThh:mm:ssTZD</mdssi:Format>
          <mdssi:Value>2023-03-02T10:23:40Z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2023-03-02T10:23:40Z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2duPTiHKuyhj1L9T6ru5/kwF5QvyvZGxaOKy2jsnNhM=</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TGcMB0VH7r0LFr/26TpPoK6pYK7mNHCsBT4KOAXVKIk=</DigestValue>
    </Reference>
  </SignedInfo>
  <SignatureValue>Gi9hCJ9YNDqtyYr5UN+zwDy9oaYY8Se8+tU5mouarw72NxYphEv5uWlFfcXFLQOGTXex4HLxlk5O
pQbvuTK6AkABhXdX/Ntje/9HzxLsFHTfddRmWuTKbiNgFgwFeLOIE7UneDjerKT8Dydn1jzrpUKi
8BHIJh5dCa8CHAzrZ3/21CU2J3xmB+S7bpMcZyPJaLoFj2XlW+MLUS0PQ7lHYANjUJStP3pstqHT
JRB1y/H02srnbo1YP6tAInAQ/X2c2I8ZrlGYvQCpD1GCBG0Q78xOFcqvQm2qX3SfeonvMzUY/jyw
OCeZK2hZavNsh91kzXe+fhzKZsmhnXpZZlLo1g==</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tG3Yvu4yOTMK6zHHYWrINZ4B7ftIsLG8Kh9hkei4yME=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vtvSdcdO5AB25PMakQ9m67QmouKNMU/LHK+VKc9ySwo=</DigestValue>
      </Reference>
      <Reference URI="/xl/styles.xml?ContentType=application/vnd.openxmlformats-officedocument.spreadsheetml.styles+xml">
        <DigestMethod Algorithm="http://www.w3.org/2001/04/xmlenc#sha256"/>
        <DigestValue>0Gq0eszuuTtjTzfGt79lLoH5doy97HR6OAgMPKaj+ac=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fI+uswGJEvc920V8dIiHjisF05AH7HbwUn2Jznazykc=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hEwIdNyOK0YTGiFpXRLSfg5qUPurrg7oqoDfX7VsUKU=</DigestValue>
      </Reference>
      <Reference URI="/xl/worksheets/sheet10.xml?ContentType=application/vnd.openxmlformats-officedocument.spreadsheetml.worksheet+xml">
        <DigestMethod Algorithm="http://www.w3.org/2001/04/xmlenc#sha256"/>
        <DigestValue>cHb4xUmW8QTX0Ot2VyT+BJeuQUto4KFKGeHNisVRVoU=</DigestValue>
      </Reference>
      <Reference URI="/xl/worksheets/sheet11.xml?ContentType=application/vnd.openxmlformats-officedocument.spreadsheetml.worksheet+xml">
        <DigestMethod Algorithm="http://www.w3.org/2001/04/xmlenc#sha256"/>
        <DigestValue>cQpQijzj7TOPCM1kwZkKD+WdaeUpNY0suHvBxk9t81w=</DigestValue>
      </Reference>
      <Reference URI="/xl/worksheets/sheet12.xml?ContentType=application/vnd.openxmlformats-officedocument.spreadsheetml.worksheet+xml">
        <DigestMethod Algorithm="http://www.w3.org/2001/04/xmlenc#sha256"/>
        <DigestValue>95KZvXBKtvumOAZjAEQleRstTCswCV21NVJAvUIQ6d0=</DigestValue>
      </Reference>
      <Reference URI="/xl/worksheets/sheet13.xml?ContentType=application/vnd.openxmlformats-officedocument.spreadsheetml.worksheet+xml">
        <DigestMethod Algorithm="http://www.w3.org/2001/04/xmlenc#sha256"/>
        <DigestValue>mUz2dwAXee9bR0oq0jhcyKloE0XCP398LRDruhcOew0=</DigestValue>
      </Reference>
      <Reference URI="/xl/worksheets/sheet14.xml?ContentType=application/vnd.openxmlformats-officedocument.spreadsheetml.worksheet+xml">
        <DigestMethod Algorithm="http://www.w3.org/2001/04/xmlenc#sha256"/>
        <DigestValue>HqnF+eXw4gNoMC9oVI4/ToOqU1FJ/0LNKqaYwe11yxw=</DigestValue>
      </Reference>
      <Reference URI="/xl/worksheets/sheet15.xml?ContentType=application/vnd.openxmlformats-officedocument.spreadsheetml.worksheet+xml">
        <DigestMethod Algorithm="http://www.w3.org/2001/04/xmlenc#sha256"/>
        <DigestValue>w1axp7Z0vjfhF6tP+zfnEtQq8ZAU40ouEGyJyIBS6+s=</DigestValue>
      </Reference>
      <Reference URI="/xl/worksheets/sheet16.xml?ContentType=application/vnd.openxmlformats-officedocument.spreadsheetml.worksheet+xml">
        <DigestMethod Algorithm="http://www.w3.org/2001/04/xmlenc#sha256"/>
        <DigestValue>YJ3kCmU+VfwhSUP6hfbM28QVCkuWLN4NJpC4zV7mUAg=</DigestValue>
      </Reference>
      <Reference URI="/xl/worksheets/sheet17.xml?ContentType=application/vnd.openxmlformats-officedocument.spreadsheetml.worksheet+xml">
        <DigestMethod Algorithm="http://www.w3.org/2001/04/xmlenc#sha256"/>
        <DigestValue>KOt0UqnxcLapDgOAa1yj1sFIfUJP9sMqKGJMHcM8kcs=</DigestValue>
      </Reference>
      <Reference URI="/xl/worksheets/sheet18.xml?ContentType=application/vnd.openxmlformats-officedocument.spreadsheetml.worksheet+xml">
        <DigestMethod Algorithm="http://www.w3.org/2001/04/xmlenc#sha256"/>
        <DigestValue>v1ZadzCI4PJB8i0nda7LYey2s2R6AL2WxhvksyUqcGA=</DigestValue>
      </Reference>
      <Reference URI="/xl/worksheets/sheet19.xml?ContentType=application/vnd.openxmlformats-officedocument.spreadsheetml.worksheet+xml">
        <DigestMethod Algorithm="http://www.w3.org/2001/04/xmlenc#sha256"/>
        <DigestValue>ohlMsJJ0Qi1bKLUPLbIyIxnmVALI5douJ+rGgA4pvBg=</DigestValue>
      </Reference>
      <Reference URI="/xl/worksheets/sheet2.xml?ContentType=application/vnd.openxmlformats-officedocument.spreadsheetml.worksheet+xml">
        <DigestMethod Algorithm="http://www.w3.org/2001/04/xmlenc#sha256"/>
        <DigestValue>V8Whonwdj0zZPhPXBOnLzg0jKAeR+KVRWiGb7RDquHk=</DigestValue>
      </Reference>
      <Reference URI="/xl/worksheets/sheet20.xml?ContentType=application/vnd.openxmlformats-officedocument.spreadsheetml.worksheet+xml">
        <DigestMethod Algorithm="http://www.w3.org/2001/04/xmlenc#sha256"/>
        <DigestValue>0Ai5ckeLC1DW9f/6+vEwfep2WKV0XcSoEfzLpKa9NmQ=</DigestValue>
      </Reference>
      <Reference URI="/xl/worksheets/sheet21.xml?ContentType=application/vnd.openxmlformats-officedocument.spreadsheetml.worksheet+xml">
        <DigestMethod Algorithm="http://www.w3.org/2001/04/xmlenc#sha256"/>
        <DigestValue>E8mCawWG9L0jlLBPBr+GOXCl4Ic2LWi+80+ppT1zPg4=</DigestValue>
      </Reference>
      <Reference URI="/xl/worksheets/sheet22.xml?ContentType=application/vnd.openxmlformats-officedocument.spreadsheetml.worksheet+xml">
        <DigestMethod Algorithm="http://www.w3.org/2001/04/xmlenc#sha256"/>
        <DigestValue>db81DidP+hlPPhdOHQbyoFW1MuNsuaaauDDMRxDwDy4=</DigestValue>
      </Reference>
      <Reference URI="/xl/worksheets/sheet23.xml?ContentType=application/vnd.openxmlformats-officedocument.spreadsheetml.worksheet+xml">
        <DigestMethod Algorithm="http://www.w3.org/2001/04/xmlenc#sha256"/>
        <DigestValue>PgvCnjLud6pO9HaoQcUpZSSksI6X7APvxudgbTHIGt8=</DigestValue>
      </Reference>
      <Reference URI="/xl/worksheets/sheet24.xml?ContentType=application/vnd.openxmlformats-officedocument.spreadsheetml.worksheet+xml">
        <DigestMethod Algorithm="http://www.w3.org/2001/04/xmlenc#sha256"/>
        <DigestValue>O+QG11O9zAqIgYSomvKcjmhsaljxB+ytRcDjftUPRuo=</DigestValue>
      </Reference>
      <Reference URI="/xl/worksheets/sheet25.xml?ContentType=application/vnd.openxmlformats-officedocument.spreadsheetml.worksheet+xml">
        <DigestMethod Algorithm="http://www.w3.org/2001/04/xmlenc#sha256"/>
        <DigestValue>Hh5QrCfo+Py1h07iznMoTH7kfpt8Ip/eEog6HxyBegA=</DigestValue>
      </Reference>
      <Reference URI="/xl/worksheets/sheet26.xml?ContentType=application/vnd.openxmlformats-officedocument.spreadsheetml.worksheet+xml">
        <DigestMethod Algorithm="http://www.w3.org/2001/04/xmlenc#sha256"/>
        <DigestValue>0Gn860e/pIRBy6qxKNpabAY3bDv421v88h0r1fuK3Qg=</DigestValue>
      </Reference>
      <Reference URI="/xl/worksheets/sheet27.xml?ContentType=application/vnd.openxmlformats-officedocument.spreadsheetml.worksheet+xml">
        <DigestMethod Algorithm="http://www.w3.org/2001/04/xmlenc#sha256"/>
        <DigestValue>oqucecubF7pj3f6Pji2J6f+M4c+cCdKYZWJOGdFg29g=</DigestValue>
      </Reference>
      <Reference URI="/xl/worksheets/sheet28.xml?ContentType=application/vnd.openxmlformats-officedocument.spreadsheetml.worksheet+xml">
        <DigestMethod Algorithm="http://www.w3.org/2001/04/xmlenc#sha256"/>
        <DigestValue>Rtpbm5CieMhSsYtpdSybvixwHZ6Wnq97gUqKgnKm/PY=</DigestValue>
      </Reference>
      <Reference URI="/xl/worksheets/sheet29.xml?ContentType=application/vnd.openxmlformats-officedocument.spreadsheetml.worksheet+xml">
        <DigestMethod Algorithm="http://www.w3.org/2001/04/xmlenc#sha256"/>
        <DigestValue>HEJA5PAwBg2nAV0QQwF5Qznta75d/PT31KTYrnqlVzc=</DigestValue>
      </Reference>
      <Reference URI="/xl/worksheets/sheet3.xml?ContentType=application/vnd.openxmlformats-officedocument.spreadsheetml.worksheet+xml">
        <DigestMethod Algorithm="http://www.w3.org/2001/04/xmlenc#sha256"/>
        <DigestValue>GalI2ROjrGgrpuQJxpcu9c3M0Ifj97jJ49+rw8x6YYg=</DigestValue>
      </Reference>
      <Reference URI="/xl/worksheets/sheet4.xml?ContentType=application/vnd.openxmlformats-officedocument.spreadsheetml.worksheet+xml">
        <DigestMethod Algorithm="http://www.w3.org/2001/04/xmlenc#sha256"/>
        <DigestValue>5OF9OjOGe+szvZch3wCWs3niBqI4jDwo1WuEkMGZIVo=</DigestValue>
      </Reference>
      <Reference URI="/xl/worksheets/sheet5.xml?ContentType=application/vnd.openxmlformats-officedocument.spreadsheetml.worksheet+xml">
        <DigestMethod Algorithm="http://www.w3.org/2001/04/xmlenc#sha256"/>
        <DigestValue>Di1VrfkmkDvvXAzaxL6XckQScWufpGrtPLje35M+6s4=</DigestValue>
      </Reference>
      <Reference URI="/xl/worksheets/sheet6.xml?ContentType=application/vnd.openxmlformats-officedocument.spreadsheetml.worksheet+xml">
        <DigestMethod Algorithm="http://www.w3.org/2001/04/xmlenc#sha256"/>
        <DigestValue>ZwZtWAcHfclxq2L+xzU1VlELpeToI/Xq72pxdYYVTeM=</DigestValue>
      </Reference>
      <Reference URI="/xl/worksheets/sheet7.xml?ContentType=application/vnd.openxmlformats-officedocument.spreadsheetml.worksheet+xml">
        <DigestMethod Algorithm="http://www.w3.org/2001/04/xmlenc#sha256"/>
        <DigestValue>NqH0qwAwQaEoQxNuiZkZFXmBZxm84KOPiXi5KW1Paho=</DigestValue>
      </Reference>
      <Reference URI="/xl/worksheets/sheet8.xml?ContentType=application/vnd.openxmlformats-officedocument.spreadsheetml.worksheet+xml">
        <DigestMethod Algorithm="http://www.w3.org/2001/04/xmlenc#sha256"/>
        <DigestValue>pDsOrOcrNYewnY0tLEDhuyJqbaMDWP1OhQDVNYkyZGs=</DigestValue>
      </Reference>
      <Reference URI="/xl/worksheets/sheet9.xml?ContentType=application/vnd.openxmlformats-officedocument.spreadsheetml.worksheet+xml">
        <DigestMethod Algorithm="http://www.w3.org/2001/04/xmlenc#sha256"/>
        <DigestValue>2aP7bDAvp+4zWZEKYustlUjdhgTNmo/RfPjV4M/nn6Y=</DigestValue>
      </Reference>
    </Manifest>
    <SignatureProperties>
      <SignatureProperty Id="idSignatureTime" Target="#idPackageSignature">
        <mdssi:SignatureTime xmlns:mdssi="http://schemas.openxmlformats.org/package/2006/digital-signature">
          <mdssi:Format>YYYY-MM-DDThh:mm:ssTZD</mdssi:Format>
          <mdssi:Value>2023-03-02T10:24:18Z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2023-03-02T10:24:18Z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2023-02-28T13:09:14Z</dcterms:modified>
</cp:coreProperties>
</file>