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worksheets/sheet1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worksheets/sheet18.xml" ContentType="application/vnd.openxmlformats-officedocument.spreadsheetml.worksheet+xml"/>
  <Override PartName="/xl/worksheets/sheet1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922"/>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manual" calcCompleted="0" calcOnSave="0"/>
</workbook>
</file>

<file path=xl/calcChain.xml><?xml version="1.0" encoding="utf-8"?>
<calcChain xmlns="http://schemas.openxmlformats.org/spreadsheetml/2006/main">
  <c r="D22" i="74" l="1"/>
  <c r="B1" i="52"/>
  <c r="C22" i="74" l="1"/>
  <c r="H22" i="74" s="1"/>
  <c r="G22" i="74"/>
  <c r="E22" i="74"/>
  <c r="C31" i="28"/>
  <c r="C37" i="69"/>
  <c r="F22" i="74"/>
  <c r="B2" i="79" l="1"/>
  <c r="B2" i="37"/>
  <c r="B2" i="36"/>
  <c r="B2" i="74"/>
  <c r="B2" i="64"/>
  <c r="B2" i="35"/>
  <c r="B2" i="69"/>
  <c r="B2" i="77"/>
  <c r="B2" i="28"/>
  <c r="B2" i="73"/>
  <c r="B2" i="72"/>
  <c r="B2" i="52"/>
  <c r="B2" i="75"/>
  <c r="B2" i="53"/>
  <c r="B2" i="62"/>
  <c r="C5" i="6" l="1"/>
  <c r="G5" i="6"/>
  <c r="F5" i="6"/>
  <c r="E5" i="6"/>
  <c r="D5" i="6"/>
  <c r="G5" i="71"/>
  <c r="F5" i="71"/>
  <c r="E5" i="71"/>
  <c r="D5" i="71"/>
  <c r="C5" i="71"/>
  <c r="G6" i="71" l="1"/>
  <c r="G13" i="71" s="1"/>
  <c r="F6" i="71"/>
  <c r="F13" i="71" s="1"/>
  <c r="E6" i="71"/>
  <c r="E13" i="71" s="1"/>
  <c r="D6" i="71"/>
  <c r="D13" i="71" s="1"/>
  <c r="C6" i="71"/>
  <c r="C13" i="71" s="1"/>
  <c r="B1" i="79" l="1"/>
  <c r="B1" i="37"/>
  <c r="B1" i="36"/>
  <c r="B1" i="74"/>
  <c r="B1" i="64"/>
  <c r="B1" i="35"/>
  <c r="B1" i="69"/>
  <c r="B1" i="77"/>
  <c r="B1" i="28"/>
  <c r="B1" i="73"/>
  <c r="B1" i="7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L21" i="37" s="1"/>
  <c r="J7" i="37"/>
  <c r="J21" i="37" s="1"/>
  <c r="I7" i="37"/>
  <c r="I21" i="37" s="1"/>
  <c r="H7" i="37"/>
  <c r="H21" i="37" s="1"/>
  <c r="G7" i="37"/>
  <c r="G21" i="37" s="1"/>
  <c r="F7" i="37"/>
  <c r="F21" i="37" s="1"/>
  <c r="C7" i="37"/>
  <c r="M21" i="37" l="1"/>
  <c r="N14" i="37"/>
  <c r="E14" i="37"/>
  <c r="E7" i="37"/>
  <c r="C21" i="37"/>
  <c r="N8" i="37"/>
  <c r="E21" i="37" l="1"/>
  <c r="C12" i="79" s="1"/>
  <c r="C18" i="79" s="1"/>
  <c r="C36"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H8" i="74" l="1"/>
  <c r="V7" i="64" l="1"/>
  <c r="H13" i="74"/>
  <c r="H15" i="74"/>
  <c r="H16" i="74"/>
  <c r="H17" i="74"/>
  <c r="H18" i="74"/>
  <c r="H21" i="74"/>
  <c r="T21" i="64" l="1"/>
  <c r="U21" i="64"/>
  <c r="V9" i="64"/>
  <c r="E53" i="75" l="1"/>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F61" i="53" l="1"/>
  <c r="G53" i="53"/>
  <c r="F53" i="53"/>
  <c r="G34" i="53"/>
  <c r="G45" i="53" s="1"/>
  <c r="F34" i="53"/>
  <c r="F45" i="53" s="1"/>
  <c r="F54" i="53" l="1"/>
  <c r="G54" i="53"/>
  <c r="G30" i="53"/>
  <c r="F30" i="53"/>
  <c r="G9" i="53"/>
  <c r="G22" i="53" s="1"/>
  <c r="F9" i="53"/>
  <c r="F22" i="53" s="1"/>
  <c r="G31" i="53" l="1"/>
  <c r="G56" i="53" s="1"/>
  <c r="G63" i="53" s="1"/>
  <c r="G65" i="53" s="1"/>
  <c r="G67" i="53" s="1"/>
  <c r="F31" i="53"/>
  <c r="F56" i="53" s="1"/>
  <c r="F63" i="53" s="1"/>
  <c r="F65" i="53" s="1"/>
  <c r="F67" i="53" s="1"/>
  <c r="H22" i="53"/>
  <c r="G31" i="62"/>
  <c r="G41" i="62" s="1"/>
  <c r="F31" i="62"/>
  <c r="F41" i="62" s="1"/>
  <c r="F14" i="62"/>
  <c r="F20" i="62" s="1"/>
  <c r="G14" i="62"/>
  <c r="G20" i="62" s="1"/>
  <c r="C8" i="73" l="1"/>
  <c r="C13" i="73" s="1"/>
  <c r="C43" i="28"/>
  <c r="C30" i="28"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21" i="53"/>
  <c r="H67" i="53"/>
  <c r="H66" i="53"/>
  <c r="H65" i="53"/>
  <c r="H64" i="53"/>
  <c r="H63" i="53"/>
  <c r="H61"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C45" i="69" l="1"/>
  <c r="C25" i="69"/>
  <c r="E13" i="62" l="1"/>
  <c r="H15" i="75" l="1"/>
  <c r="H13" i="75"/>
  <c r="H9" i="75" l="1"/>
  <c r="H8" i="75"/>
  <c r="H7" i="75"/>
  <c r="H14" i="75"/>
  <c r="H52" i="75" l="1"/>
  <c r="H46" i="75"/>
  <c r="H40" i="75"/>
  <c r="H36" i="75"/>
  <c r="H30" i="75"/>
  <c r="H26" i="75"/>
  <c r="H22" i="75"/>
  <c r="H18" i="75"/>
  <c r="H50" i="75"/>
  <c r="H44" i="75"/>
  <c r="H38" i="75"/>
  <c r="H32" i="75"/>
  <c r="H28" i="75"/>
  <c r="H24" i="75"/>
  <c r="H48" i="75"/>
  <c r="H42" i="75"/>
  <c r="H34" i="75"/>
  <c r="H20" i="75"/>
  <c r="H53" i="75"/>
  <c r="H49" i="75"/>
  <c r="H47" i="75"/>
  <c r="H45" i="75"/>
  <c r="H43" i="75"/>
  <c r="H41" i="75"/>
  <c r="H39" i="75"/>
  <c r="H37" i="75"/>
  <c r="H35" i="75"/>
  <c r="H33" i="75"/>
  <c r="H31" i="75"/>
  <c r="H29" i="75"/>
  <c r="H27" i="75"/>
  <c r="H25" i="75"/>
  <c r="H23" i="75"/>
  <c r="H21" i="75"/>
  <c r="H19" i="75"/>
  <c r="H17" i="75"/>
  <c r="H12" i="75"/>
  <c r="H10" i="75"/>
  <c r="H51" i="75"/>
  <c r="H16" i="75"/>
  <c r="H11" i="75"/>
  <c r="E27" i="53" l="1"/>
  <c r="E66" i="53"/>
  <c r="E37" i="53"/>
  <c r="E39" i="53"/>
  <c r="E26" i="62"/>
  <c r="E29" i="53"/>
  <c r="E38" i="53"/>
  <c r="E52" i="53" l="1"/>
  <c r="E51" i="53"/>
  <c r="E50" i="53"/>
  <c r="E49" i="53"/>
  <c r="E48" i="53"/>
  <c r="D53" i="53"/>
  <c r="E44" i="53"/>
  <c r="E43" i="53"/>
  <c r="E36" i="53"/>
  <c r="D34" i="53"/>
  <c r="D45" i="53" s="1"/>
  <c r="D54" i="53" s="1"/>
  <c r="E28" i="53"/>
  <c r="E26" i="53"/>
  <c r="E25" i="53"/>
  <c r="E20" i="53"/>
  <c r="E18" i="53"/>
  <c r="E16" i="53"/>
  <c r="E14" i="53"/>
  <c r="E12" i="53"/>
  <c r="E8" i="53"/>
  <c r="E11" i="53" l="1"/>
  <c r="E13" i="53"/>
  <c r="E15" i="53"/>
  <c r="E17" i="53"/>
  <c r="E19" i="53"/>
  <c r="E21" i="53"/>
  <c r="C9" i="53"/>
  <c r="E10" i="53"/>
  <c r="D9" i="53"/>
  <c r="D22" i="53" s="1"/>
  <c r="D30" i="53"/>
  <c r="C53" i="53"/>
  <c r="E53" i="53" s="1"/>
  <c r="E47" i="53"/>
  <c r="C30" i="53"/>
  <c r="E24" i="53"/>
  <c r="C34" i="53"/>
  <c r="E35" i="53"/>
  <c r="E18" i="62"/>
  <c r="E40" i="53"/>
  <c r="E41" i="53"/>
  <c r="E42" i="53"/>
  <c r="E64" i="53"/>
  <c r="E34" i="62"/>
  <c r="E39" i="62"/>
  <c r="E30" i="53" l="1"/>
  <c r="D31" i="53"/>
  <c r="D56" i="53" s="1"/>
  <c r="D63" i="53" s="1"/>
  <c r="D65" i="53" s="1"/>
  <c r="D67" i="53" s="1"/>
  <c r="C45" i="53"/>
  <c r="E34" i="53"/>
  <c r="C22" i="53"/>
  <c r="E9" i="53"/>
  <c r="C61" i="53"/>
  <c r="E61" i="53" s="1"/>
  <c r="E37" i="62"/>
  <c r="E35" i="62"/>
  <c r="E36" i="62"/>
  <c r="E28" i="62" l="1"/>
  <c r="E17" i="62"/>
  <c r="C54" i="53"/>
  <c r="E54" i="53" s="1"/>
  <c r="E45" i="53"/>
  <c r="E15" i="62"/>
  <c r="C31" i="53"/>
  <c r="E22" i="53"/>
  <c r="E8" i="62"/>
  <c r="E19" i="62"/>
  <c r="E7" i="62"/>
  <c r="E16" i="62"/>
  <c r="E30" i="62"/>
  <c r="C56" i="53" l="1"/>
  <c r="E31" i="53"/>
  <c r="E23" i="62"/>
  <c r="E24" i="62"/>
  <c r="E10" i="62"/>
  <c r="E25" i="62"/>
  <c r="E22" i="62"/>
  <c r="C63" i="53" l="1"/>
  <c r="E56" i="53"/>
  <c r="E11" i="62"/>
  <c r="C65" i="53" l="1"/>
  <c r="E63" i="53"/>
  <c r="C67" i="53" l="1"/>
  <c r="E67" i="53" s="1"/>
  <c r="E65" i="53"/>
  <c r="C35" i="79"/>
  <c r="C38" i="79" s="1"/>
  <c r="E27" i="62" l="1"/>
  <c r="D14" i="62" l="1"/>
  <c r="D31" i="62"/>
  <c r="D41" i="62" s="1"/>
  <c r="C31" i="62" l="1"/>
  <c r="E29" i="62"/>
  <c r="C14" i="62" l="1"/>
  <c r="E12" i="62"/>
  <c r="E31" i="62"/>
  <c r="E14" i="62" l="1"/>
  <c r="E38" i="62" l="1"/>
  <c r="D20" i="62" l="1"/>
  <c r="E9" i="62" l="1"/>
  <c r="C20" i="62"/>
  <c r="E20" i="62" s="1"/>
  <c r="E33" i="62" l="1"/>
  <c r="E40" i="62" l="1"/>
  <c r="C41" i="62"/>
  <c r="E41" i="62" s="1"/>
</calcChain>
</file>

<file path=xl/sharedStrings.xml><?xml version="1.0" encoding="utf-8"?>
<sst xmlns="http://schemas.openxmlformats.org/spreadsheetml/2006/main" count="762" uniqueCount="527">
  <si>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</si>
  <si>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</si>
  <si>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</si>
  <si>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</si>
  <si>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</si>
  <si>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</si>
  <si>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</si>
  <si>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</si>
  <si>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</si>
  <si>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</si>
  <si>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</si>
  <si>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</si>
  <si>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</si>
  <si>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</si>
  <si>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</si>
  <si>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</si>
  <si>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</si>
  <si>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</si>
  <si>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</si>
  <si>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</si>
  <si>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</si>
  <si>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</si>
  <si>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</si>
  <si>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</si>
  <si>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</si>
  <si>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</si>
  <si>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</si>
  <si>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</si>
  <si>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</si>
  <si>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</si>
  <si>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</si>
  <si>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</si>
  <si>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</si>
  <si>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</si>
  <si>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</si>
  <si>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</si>
  <si>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</si>
  <si>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</si>
  <si>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</si>
  <si>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</si>
  <si>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</si>
  <si>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</si>
  <si>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</si>
  <si>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</si>
  <si>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</si>
  <si>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</si>
  <si>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</si>
  <si>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</si>
  <si>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</si>
  <si>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</si>
  <si>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</si>
  <si>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</si>
  <si>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</si>
  <si>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</si>
  <si>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</si>
  <si>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</si>
  <si>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</si>
  <si>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</si>
  <si>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</si>
  <si>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</si>
  <si>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</si>
  <si>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</si>
  <si>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</si>
  <si>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</si>
  <si>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</si>
  <si>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</si>
  <si>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</si>
  <si>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</si>
  <si>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</si>
  <si>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</si>
  <si>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</si>
  <si>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</si>
  <si>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</si>
  <si>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</si>
  <si>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</si>
  <si>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</si>
  <si>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</si>
  <si>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</si>
  <si>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</si>
  <si>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</si>
  <si>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</si>
  <si>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</si>
  <si>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</si>
  <si>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</si>
  <si>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</si>
  <si>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</si>
  <si>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</si>
  <si>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</si>
  <si>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</si>
  <si>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</si>
  <si>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</si>
  <si>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</si>
  <si>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</si>
  <si>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</si>
  <si>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</si>
  <si>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</si>
  <si>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</si>
  <si>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</si>
  <si>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</si>
  <si>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</si>
  <si>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</si>
  <si>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</si>
  <si>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</si>
  <si>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</si>
  <si>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</si>
  <si>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</si>
  <si>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</si>
  <si>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</si>
  <si>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</si>
  <si>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</si>
  <si>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</si>
  <si>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</si>
  <si>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</si>
  <si>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</si>
  <si>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</si>
  <si>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</si>
  <si>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</si>
  <si>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</si>
  <si>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</si>
  <si>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</si>
  <si>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</si>
  <si>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</si>
  <si>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</si>
  <si>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</si>
  <si>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</si>
  <si>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</si>
  <si>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</si>
  <si>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</si>
  <si>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</si>
  <si>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</si>
  <si>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</si>
  <si>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</si>
  <si>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</si>
  <si>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</si>
  <si>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</si>
  <si>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</si>
  <si>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</si>
  <si>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</si>
  <si>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</si>
  <si>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</si>
  <si>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</si>
  <si>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</si>
  <si>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</si>
  <si>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</si>
  <si>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</si>
  <si>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</si>
  <si>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</si>
  <si>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</si>
  <si>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</si>
  <si>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</si>
  <si>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</si>
  <si>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</si>
  <si>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</si>
  <si>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</si>
  <si>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</si>
  <si>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</si>
  <si>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</si>
  <si>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</si>
  <si>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</si>
  <si>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</si>
  <si>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</si>
  <si>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</si>
  <si>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</si>
  <si>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</si>
  <si>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</si>
  <si>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</si>
  <si>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</si>
  <si>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</si>
  <si>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</si>
  <si>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</si>
  <si>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</si>
  <si>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</si>
  <si>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</si>
  <si>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</si>
  <si>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</si>
  <si>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</si>
  <si>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</si>
  <si>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</si>
  <si>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</si>
  <si>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</si>
  <si>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</si>
  <si>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</si>
  <si>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</si>
  <si>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</si>
  <si>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</si>
  <si>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</si>
  <si>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</si>
  <si>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</si>
  <si>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</si>
  <si>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</si>
  <si>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</si>
  <si>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</si>
  <si>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</si>
  <si>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</si>
  <si>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</si>
  <si>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</si>
  <si>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</si>
  <si>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</si>
  <si>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</si>
  <si>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</si>
  <si>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</si>
  <si>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</si>
  <si>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</si>
  <si>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</si>
  <si>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</si>
  <si>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</si>
  <si>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</si>
  <si>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</si>
  <si>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</si>
  <si>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</si>
  <si>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</si>
  <si>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</si>
  <si>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</si>
  <si>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</si>
  <si>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</si>
  <si>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</si>
  <si>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</si>
  <si>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</si>
  <si>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</si>
  <si>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</si>
  <si>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</si>
  <si>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</si>
  <si>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</si>
  <si>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</si>
  <si>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</si>
  <si>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</si>
  <si>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</si>
  <si>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</si>
  <si>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</si>
  <si>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</si>
  <si>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</si>
  <si>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</si>
  <si>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</si>
  <si>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</si>
  <si>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</si>
  <si>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</si>
  <si>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</si>
  <si>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</si>
  <si>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</si>
  <si>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</si>
  <si>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</si>
  <si>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</si>
  <si>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</si>
  <si>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</si>
  <si>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</si>
  <si>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</si>
  <si>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</si>
  <si>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</si>
  <si>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</si>
  <si>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</si>
  <si>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</si>
  <si>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</si>
  <si>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</si>
  <si>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</si>
  <si>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</si>
  <si>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</si>
  <si>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</si>
  <si>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</si>
  <si>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</si>
  <si>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</si>
  <si>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</si>
  <si>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</si>
  <si>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</si>
  <si>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</si>
  <si>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</si>
  <si>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</si>
  <si>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</si>
  <si>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</si>
  <si>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</si>
  <si>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</si>
  <si>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</si>
  <si>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</si>
  <si>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</si>
  <si>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</si>
  <si>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</si>
  <si>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</si>
  <si>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</si>
  <si>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</si>
  <si>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</si>
  <si>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</si>
  <si>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</si>
  <si>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</si>
  <si>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</si>
  <si>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</si>
  <si>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</si>
  <si>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</si>
  <si>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</si>
  <si>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</si>
  <si>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</si>
  <si>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</si>
  <si>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</si>
  <si>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</si>
  <si>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</si>
  <si>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</si>
  <si>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</si>
  <si>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</si>
  <si>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</si>
  <si>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</si>
  <si>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</si>
  <si>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</si>
  <si>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</si>
  <si>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</si>
  <si>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</si>
  <si>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</si>
  <si>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</si>
  <si>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</si>
  <si>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</si>
  <si>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</si>
  <si>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</si>
  <si>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</si>
  <si>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</si>
  <si>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</si>
  <si>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</si>
  <si>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</si>
  <si>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</si>
  <si>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</si>
  <si>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</si>
  <si>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</si>
  <si>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</si>
  <si>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</si>
  <si>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</si>
  <si>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</si>
  <si>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</si>
  <si>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</si>
  <si>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</si>
  <si>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</si>
  <si>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</si>
  <si>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</si>
  <si>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</si>
  <si>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</si>
  <si>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</si>
  <si>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</si>
  <si>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</si>
  <si>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</si>
  <si>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</si>
  <si>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</si>
  <si>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</si>
  <si>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</si>
  <si>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</si>
  <si>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</si>
  <si>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</si>
  <si>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</si>
  <si>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</si>
  <si>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</si>
  <si>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</si>
  <si>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</si>
  <si>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</si>
  <si>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</si>
  <si>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</si>
  <si>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</si>
  <si>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</si>
  <si>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</si>
  <si>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</si>
  <si>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</si>
  <si>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</si>
  <si>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</si>
  <si>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</si>
  <si>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</si>
  <si>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</si>
  <si>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</si>
  <si>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</si>
  <si>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</si>
  <si>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</si>
  <si>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</si>
  <si>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</si>
  <si>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</si>
  <si>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</si>
  <si>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</si>
  <si>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</si>
  <si>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</si>
  <si>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</si>
  <si>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</si>
  <si>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</si>
  <si>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</si>
  <si>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</si>
  <si>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</si>
  <si>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</si>
  <si>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</si>
  <si>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</si>
  <si>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</si>
  <si>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</si>
  <si>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</si>
  <si>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</si>
  <si>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</si>
  <si>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</si>
  <si>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</si>
  <si>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</si>
  <si>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</si>
  <si>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</si>
  <si>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</si>
  <si>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</si>
  <si>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</si>
  <si>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</si>
  <si>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</si>
  <si>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</si>
  <si>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</si>
  <si>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</si>
  <si>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</si>
  <si>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</si>
  <si>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</si>
  <si>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</si>
  <si>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</si>
  <si>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</si>
  <si>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</si>
  <si>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</si>
  <si>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</si>
  <si>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</si>
  <si>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</si>
  <si>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</si>
  <si>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</si>
  <si>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</si>
  <si>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</si>
  <si>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</si>
  <si>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</si>
  <si>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</si>
  <si>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</si>
  <si>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</si>
  <si>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</si>
  <si>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</si>
  <si>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</si>
  <si>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</si>
  <si>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</si>
  <si>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</si>
  <si>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</si>
  <si>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</si>
  <si>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</si>
  <si>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</si>
  <si>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</si>
  <si>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</si>
  <si>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</si>
  <si>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</si>
  <si>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</si>
  <si>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</si>
  <si>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</si>
  <si>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</si>
  <si>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</si>
  <si>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</si>
  <si>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</si>
  <si>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</si>
  <si>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</si>
  <si>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</si>
  <si>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</si>
  <si>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</si>
  <si>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</si>
  <si>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</si>
  <si>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</si>
  <si>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</si>
  <si>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</si>
  <si>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</si>
  <si>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</si>
  <si>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</si>
  <si>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</si>
  <si>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</si>
  <si>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</si>
  <si>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</si>
  <si>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</si>
  <si>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</si>
  <si>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</si>
  <si>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</si>
  <si>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</si>
  <si>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</si>
  <si>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</si>
  <si>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</si>
  <si>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</si>
  <si>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</si>
  <si>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</si>
  <si>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</si>
  <si>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</si>
  <si>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</si>
  <si>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</si>
  <si>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</si>
  <si>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</si>
  <si>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</si>
  <si>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</si>
  <si>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</si>
  <si>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</si>
  <si>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</si>
  <si>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</si>
  <si>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</si>
  <si>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</si>
  <si>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</si>
  <si>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</si>
  <si>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</si>
  <si>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</si>
  <si>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</si>
  <si>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</si>
  <si>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</si>
  <si>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</si>
  <si>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</si>
  <si>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</si>
  <si>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</si>
  <si>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</si>
  <si>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</si>
  <si>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</si>
  <si>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</si>
  <si>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</si>
  <si>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</si>
  <si>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</si>
  <si>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</si>
  <si>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</si>
  <si>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</si>
  <si>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ს.ს. "ტერაბანკი"</t>
  </si>
  <si>
    <t>შეიხი ნაჰაიან მაბარაკ ალ ნაჰაიანი</t>
  </si>
  <si>
    <t>თეა ლორთქიფანიძე</t>
  </si>
  <si>
    <t>www.terabank.ge</t>
  </si>
  <si>
    <t>X</t>
  </si>
  <si>
    <t>არადამოუკიდებელი თავმჯდომარე</t>
  </si>
  <si>
    <t>შეიხი საიფ მოჰამედ ბინ ბუტი ალ ჰამედ</t>
  </si>
  <si>
    <t>არადამოუკიდებელ წევრი</t>
  </si>
  <si>
    <t>სემი ედვარდ ადამ ხალილ</t>
  </si>
  <si>
    <t>სეითი დევდარიანი</t>
  </si>
  <si>
    <t>დამოუკიდებელი წევრი</t>
  </si>
  <si>
    <t>ხირთ რულოფ დე კორტე</t>
  </si>
  <si>
    <t>ნანა მიქაშავიძე</t>
  </si>
  <si>
    <t xml:space="preserve">თეა ლორთქიფანიძე </t>
  </si>
  <si>
    <t>გენერალური დირექტორი</t>
  </si>
  <si>
    <t>სოფიო ჯუღელი</t>
  </si>
  <si>
    <t>ფინანსური დირექტორი</t>
  </si>
  <si>
    <t xml:space="preserve">თეიმურაზ აბულაძე </t>
  </si>
  <si>
    <t>რისკების დირექტორი</t>
  </si>
  <si>
    <t>ვახტანგ ხუციშვილი</t>
  </si>
  <si>
    <t>ოპერაციების დირექტორი</t>
  </si>
  <si>
    <t>დავით ვერულაშვილი</t>
  </si>
  <si>
    <t>კომერციული დირექტორი</t>
  </si>
  <si>
    <t xml:space="preserve">შეიხი მანსურ ბინზაიედ ბინსულტან ალ ნაჰიანი </t>
  </si>
  <si>
    <t>შეიხი მოჰამედ ბუტი ალჰამედი</t>
  </si>
  <si>
    <t>შ.პ.ს. "ინვესტმენტ ტრეიდინგ გრუპ"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</si>
</sst>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9" fontId="42"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1" fillId="9" borderId="36"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0" fontId="40"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168" fontId="42" fillId="64" borderId="43" applyNumberFormat="0" applyAlignment="0" applyProtection="0"/>
    <xf numFmtId="169" fontId="42" fillId="64" borderId="43" applyNumberFormat="0" applyAlignment="0" applyProtection="0"/>
    <xf numFmtId="168" fontId="42" fillId="64" borderId="43" applyNumberFormat="0" applyAlignment="0" applyProtection="0"/>
    <xf numFmtId="0" fontId="40" fillId="64" borderId="43" applyNumberFormat="0" applyAlignment="0" applyProtection="0"/>
    <xf numFmtId="0" fontId="43"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0" fontId="44" fillId="10" borderId="39"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169" fontId="45" fillId="65" borderId="44" applyNumberFormat="0" applyAlignment="0" applyProtection="0"/>
    <xf numFmtId="168" fontId="45" fillId="65" borderId="44" applyNumberFormat="0" applyAlignment="0" applyProtection="0"/>
    <xf numFmtId="0" fontId="43"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45">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3" applyNumberFormat="0" applyAlignment="0" applyProtection="0">
      <alignment horizontal="left" vertical="center"/>
    </xf>
    <xf numFmtId="0" fontId="56" fillId="0" borderId="33" applyNumberFormat="0" applyAlignment="0" applyProtection="0">
      <alignment horizontal="left" vertical="center"/>
    </xf>
    <xf numFmtId="168" fontId="56" fillId="0" borderId="33"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9" fillId="0" borderId="48" applyNumberFormat="0" applyFill="0" applyAlignment="0" applyProtection="0"/>
    <xf numFmtId="169"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168" fontId="59" fillId="0" borderId="48" applyNumberFormat="0" applyFill="0" applyAlignment="0" applyProtection="0"/>
    <xf numFmtId="169" fontId="59" fillId="0" borderId="48" applyNumberFormat="0" applyFill="0" applyAlignment="0" applyProtection="0"/>
    <xf numFmtId="168" fontId="59" fillId="0" borderId="48" applyNumberFormat="0" applyFill="0" applyAlignment="0" applyProtection="0"/>
    <xf numFmtId="0" fontId="59" fillId="0" borderId="48"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9" fontId="70"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9" fillId="8" borderId="36"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0" fontId="68"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168" fontId="70" fillId="43" borderId="43" applyNumberFormat="0" applyAlignment="0" applyProtection="0"/>
    <xf numFmtId="169" fontId="70" fillId="43" borderId="43" applyNumberFormat="0" applyAlignment="0" applyProtection="0"/>
    <xf numFmtId="168" fontId="70" fillId="43" borderId="43" applyNumberFormat="0" applyAlignment="0" applyProtection="0"/>
    <xf numFmtId="0" fontId="68" fillId="43" borderId="43"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9"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0" fontId="71" fillId="0" borderId="49"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0" fontId="72" fillId="0" borderId="38"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168" fontId="73" fillId="0" borderId="49" applyNumberFormat="0" applyFill="0" applyAlignment="0" applyProtection="0"/>
    <xf numFmtId="169" fontId="73" fillId="0" borderId="49" applyNumberFormat="0" applyFill="0" applyAlignment="0" applyProtection="0"/>
    <xf numFmtId="168" fontId="73" fillId="0" borderId="49" applyNumberFormat="0" applyFill="0" applyAlignment="0" applyProtection="0"/>
    <xf numFmtId="0" fontId="71"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0"/>
    <xf numFmtId="169" fontId="28" fillId="0" borderId="50"/>
    <xf numFmtId="168" fontId="28"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168" fontId="2" fillId="0" borderId="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169"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0" borderId="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30" fillId="11" borderId="40"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9"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9" fontId="87"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6" fillId="9" borderId="37"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0" fontId="85"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168" fontId="87" fillId="64" borderId="52" applyNumberFormat="0" applyAlignment="0" applyProtection="0"/>
    <xf numFmtId="169" fontId="87" fillId="64" borderId="52" applyNumberFormat="0" applyAlignment="0" applyProtection="0"/>
    <xf numFmtId="168" fontId="87" fillId="64" borderId="52" applyNumberFormat="0" applyAlignment="0" applyProtection="0"/>
    <xf numFmtId="0" fontId="85" fillId="64" borderId="52"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9" fontId="96"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6" fillId="0" borderId="41"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0" fontId="49"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168" fontId="96" fillId="0" borderId="53" applyNumberFormat="0" applyFill="0" applyAlignment="0" applyProtection="0"/>
    <xf numFmtId="169" fontId="96" fillId="0" borderId="53" applyNumberFormat="0" applyFill="0" applyAlignment="0" applyProtection="0"/>
    <xf numFmtId="168" fontId="96" fillId="0" borderId="53" applyNumberFormat="0" applyFill="0" applyAlignment="0" applyProtection="0"/>
    <xf numFmtId="0" fontId="49" fillId="0" borderId="53" applyNumberFormat="0" applyFill="0" applyAlignment="0" applyProtection="0"/>
    <xf numFmtId="0" fontId="27" fillId="0" borderId="54"/>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168" fontId="96" fillId="0" borderId="93" applyNumberFormat="0" applyFill="0" applyAlignment="0" applyProtection="0"/>
    <xf numFmtId="169" fontId="96"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9"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68"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168" fontId="87" fillId="64" borderId="92" applyNumberFormat="0" applyAlignment="0" applyProtection="0"/>
    <xf numFmtId="169" fontId="87"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9"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68"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168" fontId="70" fillId="43" borderId="90" applyNumberFormat="0" applyAlignment="0" applyProtection="0"/>
    <xf numFmtId="169" fontId="70"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9"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68"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68"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168" fontId="42" fillId="64" borderId="90" applyNumberFormat="0" applyAlignment="0" applyProtection="0"/>
    <xf numFmtId="169" fontId="42"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9"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68"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57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3" xfId="0" applyFont="1" applyBorder="1" applyAlignment="1"/>
    <xf numFmtId="0" fontId="13" fillId="0" borderId="27"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5" xfId="0" applyFont="1" applyBorder="1" applyAlignment="1">
      <alignment wrapText="1"/>
    </xf>
    <xf numFmtId="0" fontId="25" fillId="0" borderId="11" xfId="0" applyFont="1" applyBorder="1" applyAlignment="1">
      <alignment wrapText="1"/>
    </xf>
    <xf numFmtId="0" fontId="19" fillId="0" borderId="11" xfId="0" applyFont="1" applyBorder="1" applyAlignment="1">
      <alignment wrapText="1"/>
    </xf>
    <xf numFmtId="0" fontId="19" fillId="0" borderId="11" xfId="0" applyFont="1" applyBorder="1" applyAlignment="1">
      <alignment horizontal="right" wrapText="1"/>
    </xf>
    <xf numFmtId="0" fontId="25" fillId="0" borderId="12" xfId="0" applyFont="1" applyBorder="1" applyAlignment="1">
      <alignment wrapText="1"/>
    </xf>
    <xf numFmtId="0" fontId="19" fillId="0" borderId="12" xfId="0" applyFont="1" applyBorder="1" applyAlignment="1">
      <alignment horizontal="right" wrapText="1"/>
    </xf>
    <xf numFmtId="0" fontId="24" fillId="36" borderId="15" xfId="0" applyFont="1" applyFill="1" applyBorder="1" applyAlignment="1">
      <alignment wrapText="1"/>
    </xf>
    <xf numFmtId="0" fontId="4" fillId="0" borderId="21"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5"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20" fillId="0" borderId="18" xfId="0" applyFont="1" applyFill="1" applyBorder="1" applyAlignment="1">
      <alignment horizontal="left" vertical="center" indent="1"/>
    </xf>
    <xf numFmtId="0" fontId="20" fillId="0" borderId="19" xfId="0" applyFont="1" applyFill="1" applyBorder="1" applyAlignment="1">
      <alignment horizontal="left" vertical="center"/>
    </xf>
    <xf numFmtId="0" fontId="20" fillId="0" borderId="21" xfId="0" applyFont="1" applyFill="1" applyBorder="1" applyAlignment="1">
      <alignment horizontal="left" vertical="center" indent="1"/>
    </xf>
    <xf numFmtId="0" fontId="20" fillId="0" borderId="22" xfId="0" applyFont="1" applyFill="1" applyBorder="1" applyAlignment="1">
      <alignment horizontal="center" vertical="center" wrapText="1"/>
    </xf>
    <xf numFmtId="0" fontId="20" fillId="0" borderId="21" xfId="0" applyFont="1" applyFill="1" applyBorder="1" applyAlignment="1">
      <alignment horizontal="left" indent="1"/>
    </xf>
    <xf numFmtId="38" fontId="20" fillId="0" borderId="22" xfId="0" applyNumberFormat="1" applyFont="1" applyFill="1" applyBorder="1" applyAlignment="1" applyProtection="1">
      <alignment horizontal="right"/>
      <protection locked="0"/>
    </xf>
    <xf numFmtId="0" fontId="20" fillId="0" borderId="24" xfId="0" applyFont="1" applyFill="1" applyBorder="1" applyAlignment="1">
      <alignment horizontal="left" vertical="center" indent="1"/>
    </xf>
    <xf numFmtId="0" fontId="21" fillId="0" borderId="25" xfId="0" applyFont="1" applyFill="1" applyBorder="1" applyAlignment="1"/>
    <xf numFmtId="0" fontId="4" fillId="0" borderId="59" xfId="0" applyFont="1" applyBorder="1"/>
    <xf numFmtId="0" fontId="22" fillId="0" borderId="24" xfId="0" applyFont="1" applyBorder="1" applyAlignment="1">
      <alignment horizontal="center"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5" fillId="36" borderId="25" xfId="13" applyFont="1" applyFill="1" applyBorder="1" applyAlignment="1" applyProtection="1">
      <alignment vertical="center" wrapText="1"/>
      <protection locked="0"/>
    </xf>
    <xf numFmtId="0" fontId="25" fillId="0" borderId="21" xfId="0" applyFont="1" applyBorder="1" applyAlignment="1">
      <alignment horizontal="center"/>
    </xf>
    <xf numFmtId="167" fontId="25" fillId="0" borderId="68" xfId="0" applyNumberFormat="1" applyFont="1" applyBorder="1" applyAlignment="1">
      <alignment horizontal="center"/>
    </xf>
    <xf numFmtId="167" fontId="25" fillId="0" borderId="66" xfId="0" applyNumberFormat="1" applyFont="1" applyBorder="1" applyAlignment="1">
      <alignment horizontal="center"/>
    </xf>
    <xf numFmtId="167" fontId="19" fillId="0" borderId="66" xfId="0" applyNumberFormat="1" applyFont="1" applyBorder="1" applyAlignment="1">
      <alignment horizontal="center"/>
    </xf>
    <xf numFmtId="167" fontId="25" fillId="0" borderId="69" xfId="0" applyNumberFormat="1" applyFont="1" applyBorder="1" applyAlignment="1">
      <alignment horizontal="center"/>
    </xf>
    <xf numFmtId="167" fontId="24" fillId="36" borderId="61" xfId="0" applyNumberFormat="1" applyFont="1" applyFill="1" applyBorder="1" applyAlignment="1">
      <alignment horizontal="center"/>
    </xf>
    <xf numFmtId="167" fontId="25" fillId="0" borderId="65" xfId="0" applyNumberFormat="1" applyFont="1" applyBorder="1" applyAlignment="1">
      <alignment horizontal="center"/>
    </xf>
    <xf numFmtId="167" fontId="25" fillId="0" borderId="70" xfId="0" applyNumberFormat="1" applyFont="1" applyBorder="1" applyAlignment="1">
      <alignment horizontal="center"/>
    </xf>
    <xf numFmtId="0" fontId="25" fillId="0" borderId="24" xfId="0" applyFont="1" applyBorder="1" applyAlignment="1">
      <alignment horizontal="center"/>
    </xf>
    <xf numFmtId="0" fontId="24" fillId="36" borderId="62" xfId="0" applyFont="1" applyFill="1" applyBorder="1" applyAlignment="1">
      <alignment wrapText="1"/>
    </xf>
    <xf numFmtId="167" fontId="24"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5"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4"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1"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5"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6" borderId="66"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2"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2"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20" fillId="0" borderId="3" xfId="0" applyNumberFormat="1" applyFont="1" applyFill="1" applyBorder="1" applyAlignment="1" applyProtection="1">
      <protection locked="0"/>
    </xf>
    <xf numFmtId="193" fontId="9" fillId="36" borderId="22"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5" xfId="0" applyNumberFormat="1" applyFont="1" applyFill="1" applyBorder="1" applyAlignment="1">
      <alignment horizontal="right"/>
    </xf>
    <xf numFmtId="193" fontId="9" fillId="36" borderId="26"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3" fillId="36" borderId="25" xfId="0" applyNumberFormat="1" applyFont="1" applyFill="1" applyBorder="1" applyAlignment="1">
      <alignment vertical="center" wrapText="1"/>
    </xf>
    <xf numFmtId="3" fontId="23" fillId="36" borderId="26" xfId="0" applyNumberFormat="1" applyFont="1" applyFill="1" applyBorder="1" applyAlignment="1">
      <alignment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5" fillId="0" borderId="34" xfId="0" applyNumberFormat="1" applyFont="1" applyBorder="1" applyAlignment="1">
      <alignment vertical="center"/>
    </xf>
    <xf numFmtId="193" fontId="25" fillId="0" borderId="13" xfId="0" applyNumberFormat="1" applyFont="1" applyBorder="1" applyAlignment="1">
      <alignment vertical="center"/>
    </xf>
    <xf numFmtId="193" fontId="19" fillId="0" borderId="13" xfId="0" applyNumberFormat="1" applyFont="1" applyBorder="1" applyAlignment="1">
      <alignment vertical="center"/>
    </xf>
    <xf numFmtId="193" fontId="25" fillId="0" borderId="14" xfId="0" applyNumberFormat="1" applyFont="1" applyBorder="1" applyAlignment="1">
      <alignment vertical="center"/>
    </xf>
    <xf numFmtId="193" fontId="24" fillId="36" borderId="16" xfId="0" applyNumberFormat="1" applyFont="1" applyFill="1" applyBorder="1" applyAlignment="1">
      <alignment vertical="center"/>
    </xf>
    <xf numFmtId="193" fontId="25" fillId="0" borderId="17" xfId="0" applyNumberFormat="1" applyFont="1" applyBorder="1" applyAlignment="1">
      <alignment vertical="center"/>
    </xf>
    <xf numFmtId="193" fontId="19" fillId="0" borderId="14" xfId="0" applyNumberFormat="1" applyFont="1" applyBorder="1" applyAlignment="1">
      <alignment vertical="center"/>
    </xf>
    <xf numFmtId="193" fontId="24" fillId="36" borderId="63" xfId="0" applyNumberFormat="1" applyFont="1" applyFill="1" applyBorder="1" applyAlignment="1">
      <alignment vertical="center"/>
    </xf>
    <xf numFmtId="193" fontId="25" fillId="36" borderId="13" xfId="0" applyNumberFormat="1" applyFont="1" applyFill="1" applyBorder="1" applyAlignment="1">
      <alignment vertical="center"/>
    </xf>
    <xf numFmtId="193" fontId="4" fillId="36" borderId="25" xfId="0" applyNumberFormat="1" applyFont="1" applyFill="1" applyBorder="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25"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7"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6" fillId="36" borderId="25" xfId="0" applyNumberFormat="1" applyFont="1" applyFill="1" applyBorder="1" applyAlignment="1">
      <alignment horizontal="center" vertical="center"/>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8" fillId="37" borderId="0" xfId="20" applyBorder="1"/>
    <xf numFmtId="169" fontId="28" fillId="37" borderId="80" xfId="20" applyBorder="1"/>
    <xf numFmtId="0" fontId="4" fillId="0" borderId="7" xfId="0" applyFont="1" applyFill="1" applyBorder="1" applyAlignment="1">
      <alignment vertical="center"/>
    </xf>
    <xf numFmtId="0" fontId="4" fillId="0" borderId="87" xfId="0" applyFont="1" applyFill="1" applyBorder="1" applyAlignment="1">
      <alignment vertical="center"/>
    </xf>
    <xf numFmtId="0" fontId="6" fillId="0" borderId="87" xfId="0" applyFont="1" applyFill="1" applyBorder="1" applyAlignment="1">
      <alignment vertical="center"/>
    </xf>
    <xf numFmtId="0" fontId="4" fillId="0" borderId="19" xfId="0" applyFont="1" applyFill="1" applyBorder="1" applyAlignment="1">
      <alignment vertical="center"/>
    </xf>
    <xf numFmtId="0" fontId="4" fillId="0" borderId="29" xfId="0" applyFont="1" applyFill="1" applyBorder="1" applyAlignment="1">
      <alignment vertical="center"/>
    </xf>
    <xf numFmtId="0" fontId="4" fillId="0" borderId="82" xfId="0" applyFont="1" applyFill="1" applyBorder="1" applyAlignment="1">
      <alignment vertical="center"/>
    </xf>
    <xf numFmtId="0" fontId="4" fillId="0" borderId="83" xfId="0" applyFont="1" applyFill="1" applyBorder="1" applyAlignment="1">
      <alignment vertical="center"/>
    </xf>
    <xf numFmtId="0" fontId="4" fillId="0" borderId="84" xfId="0" applyFont="1" applyFill="1" applyBorder="1" applyAlignment="1">
      <alignment vertical="center"/>
    </xf>
    <xf numFmtId="0" fontId="4" fillId="0" borderId="18" xfId="0" applyFont="1" applyFill="1" applyBorder="1" applyAlignment="1">
      <alignment horizontal="center" vertical="center"/>
    </xf>
    <xf numFmtId="0" fontId="4" fillId="0" borderId="20" xfId="0" applyFont="1" applyFill="1" applyBorder="1" applyAlignment="1">
      <alignment vertical="center"/>
    </xf>
    <xf numFmtId="0" fontId="4" fillId="0" borderId="95" xfId="0" applyFont="1" applyFill="1" applyBorder="1" applyAlignment="1">
      <alignment horizontal="center" vertical="center"/>
    </xf>
    <xf numFmtId="0" fontId="4" fillId="0" borderId="96" xfId="0" applyFont="1" applyFill="1" applyBorder="1" applyAlignment="1">
      <alignment vertical="center"/>
    </xf>
    <xf numFmtId="0" fontId="4" fillId="0" borderId="97" xfId="0" applyFont="1" applyFill="1" applyBorder="1" applyAlignment="1">
      <alignment horizontal="center" vertical="center"/>
    </xf>
    <xf numFmtId="169" fontId="28" fillId="37" borderId="33" xfId="20" applyBorder="1"/>
    <xf numFmtId="169" fontId="28" fillId="37" borderId="99" xfId="20" applyBorder="1"/>
    <xf numFmtId="169" fontId="28" fillId="37" borderId="89" xfId="20" applyBorder="1"/>
    <xf numFmtId="169" fontId="28" fillId="37" borderId="60" xfId="20" applyBorder="1"/>
    <xf numFmtId="0" fontId="4" fillId="3" borderId="71" xfId="0" applyFont="1" applyFill="1" applyBorder="1" applyAlignment="1">
      <alignment horizontal="center" vertical="center"/>
    </xf>
    <xf numFmtId="0" fontId="4" fillId="3" borderId="0" xfId="0" applyFont="1" applyFill="1" applyBorder="1" applyAlignment="1">
      <alignment vertical="center"/>
    </xf>
    <xf numFmtId="0" fontId="4" fillId="0" borderId="77" xfId="0" applyFont="1" applyFill="1" applyBorder="1" applyAlignment="1">
      <alignment horizontal="center" vertical="center"/>
    </xf>
    <xf numFmtId="0" fontId="4" fillId="3" borderId="85" xfId="0" applyFont="1" applyFill="1" applyBorder="1" applyAlignment="1">
      <alignment vertical="center"/>
    </xf>
    <xf numFmtId="0" fontId="14" fillId="3" borderId="100" xfId="0" applyFont="1" applyFill="1" applyBorder="1" applyAlignment="1">
      <alignment horizontal="left"/>
    </xf>
    <xf numFmtId="0" fontId="14" fillId="3" borderId="101" xfId="0" applyFont="1" applyFill="1" applyBorder="1" applyAlignment="1">
      <alignment horizontal="left"/>
    </xf>
    <xf numFmtId="0" fontId="4" fillId="0" borderId="0" xfId="0" applyFont="1"/>
    <xf numFmtId="0" fontId="4" fillId="0" borderId="0" xfId="0" applyFont="1" applyFill="1"/>
    <xf numFmtId="0" fontId="4" fillId="0" borderId="87" xfId="0" applyFont="1" applyFill="1" applyBorder="1" applyAlignment="1">
      <alignment horizontal="center" vertical="center" wrapText="1"/>
    </xf>
    <xf numFmtId="0" fontId="4" fillId="0" borderId="102" xfId="0" applyFont="1" applyFill="1" applyBorder="1" applyAlignment="1">
      <alignment horizontal="center" vertical="center" wrapText="1"/>
    </xf>
    <xf numFmtId="0" fontId="6" fillId="3" borderId="103" xfId="0" applyFont="1" applyFill="1" applyBorder="1" applyAlignment="1">
      <alignment vertical="center"/>
    </xf>
    <xf numFmtId="0" fontId="4" fillId="0" borderId="104" xfId="0" applyFont="1" applyFill="1" applyBorder="1" applyAlignment="1">
      <alignment horizontal="center" vertical="center"/>
    </xf>
    <xf numFmtId="0" fontId="6" fillId="0" borderId="25" xfId="0" applyFont="1" applyFill="1" applyBorder="1" applyAlignment="1">
      <alignment vertical="center"/>
    </xf>
    <xf numFmtId="169" fontId="28" fillId="37" borderId="27" xfId="20" applyBorder="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5" fillId="0" borderId="20" xfId="11" applyFont="1" applyFill="1" applyBorder="1" applyAlignment="1" applyProtection="1">
      <alignment horizontal="center" vertical="center"/>
    </xf>
    <xf numFmtId="0" fontId="0" fillId="0" borderId="104" xfId="0" applyBorder="1"/>
    <xf numFmtId="0" fontId="0" fillId="0" borderId="104"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2" xfId="0" applyNumberFormat="1" applyFont="1" applyBorder="1" applyAlignment="1">
      <alignment horizontal="center" vertical="center"/>
    </xf>
    <xf numFmtId="167" fontId="14" fillId="0" borderId="87" xfId="0" applyNumberFormat="1" applyFont="1" applyBorder="1" applyAlignment="1">
      <alignment horizontal="center" vertical="center"/>
    </xf>
    <xf numFmtId="0" fontId="14" fillId="0" borderId="86" xfId="0" applyFont="1" applyBorder="1" applyAlignment="1">
      <alignment vertical="center" wrapText="1"/>
    </xf>
    <xf numFmtId="0" fontId="0" fillId="0" borderId="24" xfId="0" applyBorder="1"/>
    <xf numFmtId="0" fontId="6" fillId="36" borderId="105" xfId="0" applyFont="1" applyFill="1" applyBorder="1" applyAlignment="1">
      <alignment vertical="center" wrapText="1"/>
    </xf>
    <xf numFmtId="167" fontId="6" fillId="36" borderId="26" xfId="0" applyNumberFormat="1" applyFont="1" applyFill="1" applyBorder="1" applyAlignment="1">
      <alignment horizontal="center" vertical="center"/>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4"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2" xfId="0" applyFont="1" applyFill="1" applyBorder="1" applyAlignment="1">
      <alignment horizontal="left" vertical="center" wrapText="1"/>
    </xf>
    <xf numFmtId="0" fontId="4" fillId="0" borderId="104"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8" fillId="0" borderId="104" xfId="0" applyFont="1" applyFill="1" applyBorder="1" applyAlignment="1">
      <alignment horizontal="right" vertical="center" wrapText="1"/>
    </xf>
    <xf numFmtId="0" fontId="108" fillId="0" borderId="87"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4" xfId="5" applyNumberFormat="1" applyFont="1" applyFill="1" applyBorder="1" applyAlignment="1" applyProtection="1">
      <alignment horizontal="left" vertical="center"/>
      <protection locked="0"/>
    </xf>
    <xf numFmtId="0" fontId="110" fillId="0" borderId="25" xfId="9" applyFont="1" applyFill="1" applyBorder="1" applyAlignment="1" applyProtection="1">
      <alignment horizontal="left" vertical="center" wrapText="1"/>
      <protection locked="0"/>
    </xf>
    <xf numFmtId="0" fontId="22" fillId="0" borderId="104"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2"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3" fillId="0" borderId="87" xfId="0" applyNumberFormat="1" applyFont="1" applyFill="1" applyBorder="1" applyAlignment="1">
      <alignment vertical="center" wrapText="1"/>
    </xf>
    <xf numFmtId="0" fontId="11" fillId="0" borderId="87" xfId="17" applyFill="1" applyBorder="1" applyAlignment="1" applyProtection="1"/>
    <xf numFmtId="49" fontId="108" fillId="0" borderId="104" xfId="0" applyNumberFormat="1" applyFont="1" applyFill="1" applyBorder="1" applyAlignment="1">
      <alignment horizontal="right" vertical="center" wrapText="1"/>
    </xf>
    <xf numFmtId="0" fontId="7" fillId="3" borderId="87" xfId="20960" applyFont="1" applyFill="1" applyBorder="1" applyAlignment="1" applyProtection="1"/>
    <xf numFmtId="0" fontId="105"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2" fillId="0" borderId="104" xfId="0" applyFont="1" applyFill="1" applyBorder="1" applyAlignment="1">
      <alignment horizontal="center" vertical="center" wrapText="1"/>
    </xf>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Fill="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Alignment="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Alignment="1" applyProtection="1">
      <alignment vertical="center"/>
      <protection locked="0"/>
    </xf>
    <xf numFmtId="0" fontId="112" fillId="0" borderId="86" xfId="21412" applyFont="1" applyFill="1" applyBorder="1" applyAlignment="1" applyProtection="1">
      <alignment horizontal="left" vertical="center" wrapText="1"/>
      <protection locked="0"/>
    </xf>
    <xf numFmtId="164"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4" fontId="112" fillId="78" borderId="87" xfId="948" applyNumberFormat="1" applyFont="1" applyFill="1" applyBorder="1" applyAlignment="1" applyProtection="1">
      <alignment horizontal="right" vertical="center"/>
    </xf>
    <xf numFmtId="164"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Fill="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4" fontId="111" fillId="77" borderId="86" xfId="948" applyNumberFormat="1" applyFont="1" applyFill="1" applyBorder="1" applyAlignment="1" applyProtection="1">
      <alignment horizontal="right" vertical="center"/>
      <protection locked="0"/>
    </xf>
    <xf numFmtId="164" fontId="112" fillId="3" borderId="87" xfId="948" applyNumberFormat="1" applyFont="1" applyFill="1" applyBorder="1" applyAlignment="1" applyProtection="1">
      <alignment horizontal="right" vertical="center"/>
      <protection locked="0"/>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5" xfId="20961" applyNumberFormat="1" applyFont="1" applyFill="1" applyBorder="1" applyAlignment="1" applyProtection="1">
      <alignment horizontal="left" vertical="center"/>
    </xf>
    <xf numFmtId="43" fontId="7" fillId="0" borderId="0" xfId="7" applyFont="1"/>
    <xf numFmtId="0" fontId="107"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04" xfId="0" applyFont="1" applyBorder="1" applyAlignment="1">
      <alignment horizontal="right" vertical="center" wrapText="1"/>
    </xf>
    <xf numFmtId="0" fontId="9" fillId="0" borderId="104"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3" fillId="36" borderId="88" xfId="0" applyNumberFormat="1" applyFont="1" applyFill="1" applyBorder="1" applyAlignment="1">
      <alignment vertical="center" wrapText="1"/>
    </xf>
    <xf numFmtId="3" fontId="23" fillId="36" borderId="23"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3" xfId="0" applyNumberFormat="1" applyFont="1" applyBorder="1" applyAlignment="1">
      <alignment vertical="center" wrapText="1"/>
    </xf>
    <xf numFmtId="3" fontId="23" fillId="0" borderId="23"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3" fontId="23" fillId="36" borderId="42" xfId="0" applyNumberFormat="1" applyFont="1" applyFill="1" applyBorder="1" applyAlignment="1">
      <alignment vertical="center" wrapText="1"/>
    </xf>
    <xf numFmtId="0" fontId="6" fillId="0" borderId="25" xfId="0" applyFont="1" applyBorder="1" applyAlignment="1">
      <alignment vertical="center" wrapText="1"/>
    </xf>
    <xf numFmtId="0" fontId="4" fillId="0" borderId="102" xfId="0" applyFont="1" applyBorder="1" applyAlignment="1"/>
    <xf numFmtId="0" fontId="4" fillId="0" borderId="26" xfId="0" applyFont="1" applyBorder="1" applyAlignment="1"/>
    <xf numFmtId="0" fontId="9" fillId="0" borderId="102" xfId="0" applyFont="1" applyBorder="1" applyAlignment="1"/>
    <xf numFmtId="0" fontId="9" fillId="0" borderId="102" xfId="0" applyFont="1" applyBorder="1" applyAlignment="1">
      <alignment wrapText="1"/>
    </xf>
    <xf numFmtId="0" fontId="10" fillId="0" borderId="20" xfId="0" applyFont="1" applyBorder="1" applyAlignment="1">
      <alignment horizontal="center"/>
    </xf>
    <xf numFmtId="0" fontId="10" fillId="0" borderId="102" xfId="0" applyFont="1" applyBorder="1" applyAlignment="1">
      <alignment horizontal="center" vertical="center" wrapText="1"/>
    </xf>
    <xf numFmtId="14" fontId="7" fillId="0" borderId="0" xfId="0" applyNumberFormat="1" applyFont="1"/>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0" fontId="9" fillId="0" borderId="104" xfId="0" applyFont="1" applyFill="1" applyBorder="1" applyAlignment="1">
      <alignment horizontal="center" vertical="center" wrapText="1"/>
    </xf>
    <xf numFmtId="0" fontId="15" fillId="0" borderId="87" xfId="0" applyFont="1" applyFill="1" applyBorder="1" applyAlignment="1">
      <alignment horizontal="center" vertical="center" wrapText="1"/>
    </xf>
    <xf numFmtId="0" fontId="16"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2"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7" fillId="0" borderId="87" xfId="0" applyFont="1" applyBorder="1" applyAlignment="1">
      <alignment vertical="center" wrapText="1"/>
    </xf>
    <xf numFmtId="0" fontId="9" fillId="2" borderId="104"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7" fillId="2" borderId="87" xfId="0" applyNumberFormat="1" applyFont="1" applyFill="1" applyBorder="1" applyAlignment="1" applyProtection="1">
      <alignment vertical="center"/>
      <protection locked="0"/>
    </xf>
    <xf numFmtId="193" fontId="17" fillId="2" borderId="102" xfId="0" applyNumberFormat="1" applyFont="1" applyFill="1" applyBorder="1" applyAlignment="1" applyProtection="1">
      <alignment vertical="center"/>
      <protection locked="0"/>
    </xf>
    <xf numFmtId="193" fontId="9" fillId="2" borderId="102" xfId="0" applyNumberFormat="1" applyFont="1" applyFill="1" applyBorder="1" applyAlignment="1" applyProtection="1">
      <alignment vertical="center"/>
      <protection locked="0"/>
    </xf>
    <xf numFmtId="0" fontId="15" fillId="0" borderId="104" xfId="0" applyFont="1" applyFill="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10" fontId="4" fillId="0" borderId="102" xfId="20961" applyNumberFormat="1" applyFont="1" applyBorder="1" applyAlignment="1" applyProtection="1">
      <alignment vertical="center" wrapText="1"/>
      <protection locked="0"/>
    </xf>
    <xf numFmtId="164" fontId="4" fillId="0" borderId="87" xfId="7" applyNumberFormat="1" applyFont="1" applyFill="1" applyBorder="1" applyAlignment="1">
      <alignment vertical="center"/>
    </xf>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7" fillId="2" borderId="82" xfId="0" applyNumberFormat="1" applyFont="1" applyFill="1" applyBorder="1" applyAlignment="1" applyProtection="1">
      <alignment vertical="center"/>
      <protection locked="0"/>
    </xf>
    <xf numFmtId="193" fontId="17" fillId="2" borderId="96"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10" fontId="9" fillId="2" borderId="87" xfId="20961" applyNumberFormat="1" applyFont="1" applyFill="1" applyBorder="1" applyAlignment="1" applyProtection="1">
      <alignment vertical="center"/>
      <protection locked="0"/>
    </xf>
    <xf numFmtId="10" fontId="17" fillId="2" borderId="87" xfId="20961" applyNumberFormat="1" applyFont="1" applyFill="1" applyBorder="1" applyAlignment="1" applyProtection="1">
      <alignment vertical="center"/>
      <protection locked="0"/>
    </xf>
    <xf numFmtId="10" fontId="17" fillId="2" borderId="102" xfId="20961" applyNumberFormat="1" applyFont="1" applyFill="1" applyBorder="1" applyAlignment="1" applyProtection="1">
      <alignment vertical="center"/>
      <protection locked="0"/>
    </xf>
    <xf numFmtId="10" fontId="9" fillId="2" borderId="102"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7" fillId="2" borderId="25"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0" fontId="9" fillId="0" borderId="104" xfId="0" applyFont="1" applyBorder="1" applyAlignment="1">
      <alignment vertical="center"/>
    </xf>
    <xf numFmtId="0" fontId="13" fillId="0" borderId="88" xfId="0" applyFont="1" applyBorder="1" applyAlignment="1">
      <alignment wrapText="1"/>
    </xf>
    <xf numFmtId="0" fontId="9" fillId="0" borderId="95" xfId="0" applyFont="1" applyBorder="1" applyAlignment="1">
      <alignment vertical="center"/>
    </xf>
    <xf numFmtId="0" fontId="13" fillId="0" borderId="83" xfId="0" applyFont="1" applyBorder="1" applyAlignment="1">
      <alignment wrapText="1"/>
    </xf>
    <xf numFmtId="0" fontId="4" fillId="0" borderId="96" xfId="0" applyFont="1" applyBorder="1" applyAlignment="1"/>
    <xf numFmtId="9" fontId="4" fillId="0" borderId="23" xfId="20961" applyFont="1" applyBorder="1" applyAlignment="1"/>
    <xf numFmtId="9" fontId="4" fillId="0" borderId="102" xfId="20961" applyFont="1" applyBorder="1" applyAlignment="1"/>
    <xf numFmtId="9" fontId="4" fillId="0" borderId="96" xfId="20961" applyFont="1" applyBorder="1" applyAlignment="1"/>
    <xf numFmtId="43" fontId="4" fillId="0" borderId="3" xfId="7" applyFont="1" applyBorder="1" applyAlignment="1"/>
    <xf numFmtId="164" fontId="4" fillId="0" borderId="3" xfId="7" applyNumberFormat="1" applyFont="1" applyBorder="1" applyAlignment="1"/>
    <xf numFmtId="164" fontId="4" fillId="0" borderId="8" xfId="7" applyNumberFormat="1" applyFont="1" applyBorder="1" applyAlignment="1"/>
    <xf numFmtId="43" fontId="4" fillId="0" borderId="21" xfId="7" applyFont="1" applyBorder="1" applyAlignment="1"/>
    <xf numFmtId="43" fontId="4" fillId="0" borderId="22" xfId="7" applyFont="1" applyBorder="1" applyAlignment="1"/>
    <xf numFmtId="43" fontId="4" fillId="0" borderId="23" xfId="7" applyFont="1" applyBorder="1" applyAlignment="1">
      <alignment wrapText="1"/>
    </xf>
    <xf numFmtId="43" fontId="4" fillId="0" borderId="23" xfId="7" applyFont="1" applyBorder="1" applyAlignment="1"/>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36" borderId="25" xfId="7" applyNumberFormat="1" applyFont="1" applyFill="1" applyBorder="1"/>
    <xf numFmtId="164" fontId="4" fillId="3" borderId="85" xfId="7" applyNumberFormat="1" applyFont="1" applyFill="1" applyBorder="1" applyAlignment="1">
      <alignment vertical="center"/>
    </xf>
    <xf numFmtId="164" fontId="4" fillId="3" borderId="23" xfId="7" applyNumberFormat="1" applyFont="1" applyFill="1" applyBorder="1" applyAlignment="1">
      <alignment vertical="center"/>
    </xf>
    <xf numFmtId="164" fontId="28" fillId="37" borderId="0" xfId="7" applyNumberFormat="1" applyFont="1" applyFill="1" applyBorder="1"/>
    <xf numFmtId="164" fontId="4" fillId="0" borderId="58" xfId="7" applyNumberFormat="1" applyFont="1" applyFill="1" applyBorder="1" applyAlignment="1">
      <alignment vertical="center"/>
    </xf>
    <xf numFmtId="164" fontId="4" fillId="0" borderId="72" xfId="7" applyNumberFormat="1" applyFont="1" applyFill="1" applyBorder="1" applyAlignment="1">
      <alignment vertical="center"/>
    </xf>
    <xf numFmtId="164" fontId="4" fillId="0" borderId="88" xfId="7" applyNumberFormat="1" applyFont="1" applyFill="1" applyBorder="1" applyAlignment="1">
      <alignment vertical="center"/>
    </xf>
    <xf numFmtId="164" fontId="4" fillId="0" borderId="102" xfId="7" applyNumberFormat="1" applyFont="1" applyFill="1" applyBorder="1" applyAlignment="1">
      <alignment vertical="center"/>
    </xf>
    <xf numFmtId="164" fontId="4" fillId="0" borderId="25"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26" xfId="7" applyNumberFormat="1" applyFont="1" applyFill="1" applyBorder="1" applyAlignment="1">
      <alignment vertical="center"/>
    </xf>
    <xf numFmtId="165" fontId="4" fillId="0" borderId="81" xfId="20961" applyNumberFormat="1" applyFont="1" applyFill="1" applyBorder="1" applyAlignment="1">
      <alignment vertical="center"/>
    </xf>
    <xf numFmtId="9" fontId="4" fillId="0" borderId="81" xfId="20961" applyNumberFormat="1" applyFont="1" applyFill="1" applyBorder="1" applyAlignment="1">
      <alignment vertical="center"/>
    </xf>
    <xf numFmtId="9" fontId="4" fillId="0" borderId="98" xfId="20961" applyNumberFormat="1" applyFont="1" applyFill="1" applyBorder="1" applyAlignment="1">
      <alignment vertical="center"/>
    </xf>
    <xf numFmtId="43" fontId="9" fillId="36" borderId="3" xfId="7" applyFont="1" applyFill="1" applyBorder="1" applyProtection="1">
      <protection locked="0"/>
    </xf>
    <xf numFmtId="43" fontId="9" fillId="3" borderId="3" xfId="7" applyFont="1" applyFill="1" applyBorder="1" applyProtection="1">
      <protection locked="0"/>
    </xf>
    <xf numFmtId="164" fontId="9" fillId="36" borderId="3" xfId="7" applyNumberFormat="1" applyFont="1" applyFill="1" applyBorder="1" applyProtection="1">
      <protection locked="0"/>
    </xf>
    <xf numFmtId="164" fontId="9" fillId="36" borderId="22" xfId="7" applyNumberFormat="1" applyFont="1" applyFill="1" applyBorder="1" applyProtection="1">
      <protection locked="0"/>
    </xf>
    <xf numFmtId="164" fontId="9" fillId="3" borderId="3" xfId="7" applyNumberFormat="1" applyFont="1" applyFill="1" applyBorder="1" applyProtection="1">
      <protection locked="0"/>
    </xf>
    <xf numFmtId="164" fontId="9" fillId="0" borderId="3" xfId="7" applyNumberFormat="1" applyFont="1" applyFill="1" applyBorder="1" applyProtection="1">
      <protection locked="0"/>
    </xf>
    <xf numFmtId="164" fontId="10" fillId="36" borderId="25" xfId="7" applyNumberFormat="1" applyFont="1" applyFill="1" applyBorder="1" applyAlignment="1" applyProtection="1">
      <protection locked="0"/>
    </xf>
    <xf numFmtId="164" fontId="9" fillId="3" borderId="25" xfId="7" applyNumberFormat="1" applyFont="1" applyFill="1" applyBorder="1" applyProtection="1">
      <protection locked="0"/>
    </xf>
    <xf numFmtId="164" fontId="10" fillId="36" borderId="26" xfId="7" applyNumberFormat="1" applyFont="1" applyFill="1" applyBorder="1" applyAlignment="1" applyProtection="1">
      <protection locked="0"/>
    </xf>
    <xf numFmtId="10" fontId="112" fillId="78" borderId="87" xfId="20961" applyNumberFormat="1" applyFont="1" applyFill="1" applyBorder="1" applyAlignment="1" applyProtection="1">
      <alignment horizontal="right" vertical="center"/>
    </xf>
    <xf numFmtId="164" fontId="4" fillId="0" borderId="22" xfId="7" applyNumberFormat="1" applyFont="1" applyBorder="1" applyAlignment="1"/>
    <xf numFmtId="164" fontId="4" fillId="36" borderId="26" xfId="7" applyNumberFormat="1" applyFont="1" applyFill="1" applyBorder="1"/>
    <xf numFmtId="164" fontId="0" fillId="36" borderId="20" xfId="7" applyNumberFormat="1" applyFont="1" applyFill="1" applyBorder="1" applyAlignment="1">
      <alignment horizontal="center" vertical="center"/>
    </xf>
    <xf numFmtId="164" fontId="0" fillId="0" borderId="22" xfId="7" applyNumberFormat="1" applyFont="1" applyBorder="1" applyAlignment="1"/>
    <xf numFmtId="164" fontId="0" fillId="0" borderId="22" xfId="7" applyNumberFormat="1" applyFont="1" applyBorder="1" applyAlignment="1">
      <alignment wrapText="1"/>
    </xf>
    <xf numFmtId="164" fontId="0" fillId="36" borderId="22" xfId="7" applyNumberFormat="1" applyFont="1" applyFill="1" applyBorder="1" applyAlignment="1">
      <alignment horizontal="center" vertical="center" wrapText="1"/>
    </xf>
    <xf numFmtId="164" fontId="0" fillId="0" borderId="22" xfId="7" applyNumberFormat="1" applyFont="1" applyFill="1" applyBorder="1" applyAlignment="1">
      <alignment wrapText="1"/>
    </xf>
    <xf numFmtId="164" fontId="0" fillId="36" borderId="26" xfId="7" applyNumberFormat="1" applyFont="1" applyFill="1" applyBorder="1" applyAlignment="1">
      <alignment horizontal="center" vertical="center" wrapText="1"/>
    </xf>
    <xf numFmtId="164" fontId="4" fillId="0" borderId="102" xfId="7" applyNumberFormat="1" applyFont="1" applyFill="1" applyBorder="1" applyAlignment="1">
      <alignment horizontal="right" vertical="center" wrapText="1"/>
    </xf>
    <xf numFmtId="164" fontId="6" fillId="36" borderId="102" xfId="7" applyNumberFormat="1" applyFont="1" applyFill="1" applyBorder="1" applyAlignment="1">
      <alignment horizontal="right" vertical="center" wrapText="1"/>
    </xf>
    <xf numFmtId="164" fontId="108" fillId="0" borderId="102" xfId="7" applyNumberFormat="1" applyFont="1" applyFill="1" applyBorder="1" applyAlignment="1">
      <alignment horizontal="right" vertical="center" wrapText="1"/>
    </xf>
    <xf numFmtId="164" fontId="6" fillId="36" borderId="102" xfId="7" applyNumberFormat="1" applyFont="1" applyFill="1" applyBorder="1" applyAlignment="1">
      <alignment horizontal="center" vertical="center" wrapText="1"/>
    </xf>
    <xf numFmtId="164" fontId="7" fillId="0" borderId="26" xfId="7" applyNumberFormat="1" applyFont="1" applyFill="1" applyBorder="1" applyAlignment="1" applyProtection="1">
      <alignment horizontal="right" vertical="center"/>
    </xf>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13" fillId="0" borderId="3" xfId="0" applyFont="1" applyBorder="1" applyAlignment="1">
      <alignment wrapText="1"/>
    </xf>
    <xf numFmtId="0" fontId="4" fillId="0" borderId="22" xfId="0" applyFont="1" applyBorder="1" applyAlignment="1"/>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3" xfId="0" applyFont="1" applyFill="1" applyBorder="1" applyAlignment="1">
      <alignment horizontal="center"/>
    </xf>
    <xf numFmtId="0" fontId="6" fillId="36" borderId="106"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8" xfId="1" applyNumberFormat="1" applyFont="1" applyFill="1" applyBorder="1" applyAlignment="1" applyProtection="1">
      <alignment horizontal="center"/>
      <protection locked="0"/>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78" xfId="1" applyNumberFormat="1" applyFont="1" applyFill="1" applyBorder="1" applyAlignment="1" applyProtection="1">
      <alignment horizontal="center" vertical="center" wrapText="1"/>
      <protection locked="0"/>
    </xf>
    <xf numFmtId="164" fontId="15"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4"/>
  <sheetViews>
    <sheetView tabSelected="1" workbookViewId="0">
      <pane xSplit="1" ySplit="7" topLeftCell="B8" activePane="bottomRight" state="frozen"/>
      <selection pane="topRight" activeCell="B1" sqref="B1"/>
      <selection pane="bottomLeft" activeCell="A8" sqref="A8"/>
      <selection pane="bottomRight" activeCell="A11" sqref="A11"/>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6" t="s">
        <v>254</v>
      </c>
      <c r="C1" s="94"/>
    </row>
    <row r="2" spans="1:3" s="183" customFormat="1" ht="15.75">
      <c r="A2" s="229">
        <v>1</v>
      </c>
      <c r="B2" s="184" t="s">
        <v>255</v>
      </c>
      <c r="C2" s="181" t="s">
        <v>501</v>
      </c>
    </row>
    <row r="3" spans="1:3" s="183" customFormat="1" ht="15.75">
      <c r="A3" s="229">
        <v>2</v>
      </c>
      <c r="B3" s="185" t="s">
        <v>256</v>
      </c>
      <c r="C3" s="181" t="s">
        <v>502</v>
      </c>
    </row>
    <row r="4" spans="1:3" s="183" customFormat="1" ht="15.75">
      <c r="A4" s="229">
        <v>3</v>
      </c>
      <c r="B4" s="185" t="s">
        <v>257</v>
      </c>
      <c r="C4" s="181" t="s">
        <v>503</v>
      </c>
    </row>
    <row r="5" spans="1:3" s="183" customFormat="1" ht="15.75">
      <c r="A5" s="230">
        <v>4</v>
      </c>
      <c r="B5" s="188" t="s">
        <v>258</v>
      </c>
      <c r="C5" s="380" t="s">
        <v>504</v>
      </c>
    </row>
    <row r="6" spans="1:3" s="187" customFormat="1" ht="65.25" customHeight="1">
      <c r="A6" s="531" t="s">
        <v>373</v>
      </c>
      <c r="B6" s="532"/>
      <c r="C6" s="532"/>
    </row>
    <row r="7" spans="1:3">
      <c r="A7" s="374" t="s">
        <v>327</v>
      </c>
      <c r="B7" s="375" t="s">
        <v>259</v>
      </c>
    </row>
    <row r="8" spans="1:3">
      <c r="A8" s="376">
        <v>1</v>
      </c>
      <c r="B8" s="372" t="s">
        <v>223</v>
      </c>
    </row>
    <row r="9" spans="1:3">
      <c r="A9" s="376">
        <v>2</v>
      </c>
      <c r="B9" s="372" t="s">
        <v>260</v>
      </c>
    </row>
    <row r="10" spans="1:3">
      <c r="A10" s="376">
        <v>3</v>
      </c>
      <c r="B10" s="372" t="s">
        <v>261</v>
      </c>
    </row>
    <row r="11" spans="1:3">
      <c r="A11" s="376">
        <v>4</v>
      </c>
      <c r="B11" s="372" t="s">
        <v>262</v>
      </c>
      <c r="C11" s="182"/>
    </row>
    <row r="12" spans="1:3">
      <c r="A12" s="376">
        <v>5</v>
      </c>
      <c r="B12" s="372" t="s">
        <v>187</v>
      </c>
    </row>
    <row r="13" spans="1:3">
      <c r="A13" s="376">
        <v>6</v>
      </c>
      <c r="B13" s="377" t="s">
        <v>149</v>
      </c>
    </row>
    <row r="14" spans="1:3">
      <c r="A14" s="376">
        <v>7</v>
      </c>
      <c r="B14" s="372" t="s">
        <v>263</v>
      </c>
    </row>
    <row r="15" spans="1:3">
      <c r="A15" s="376">
        <v>8</v>
      </c>
      <c r="B15" s="372" t="s">
        <v>266</v>
      </c>
    </row>
    <row r="16" spans="1:3">
      <c r="A16" s="376">
        <v>9</v>
      </c>
      <c r="B16" s="372" t="s">
        <v>88</v>
      </c>
    </row>
    <row r="17" spans="1:2">
      <c r="A17" s="378" t="s">
        <v>420</v>
      </c>
      <c r="B17" s="372" t="s">
        <v>400</v>
      </c>
    </row>
    <row r="18" spans="1:2">
      <c r="A18" s="376">
        <v>10</v>
      </c>
      <c r="B18" s="372" t="s">
        <v>269</v>
      </c>
    </row>
    <row r="19" spans="1:2">
      <c r="A19" s="376">
        <v>11</v>
      </c>
      <c r="B19" s="377" t="s">
        <v>250</v>
      </c>
    </row>
    <row r="20" spans="1:2">
      <c r="A20" s="376">
        <v>12</v>
      </c>
      <c r="B20" s="377" t="s">
        <v>247</v>
      </c>
    </row>
    <row r="21" spans="1:2">
      <c r="A21" s="376">
        <v>13</v>
      </c>
      <c r="B21" s="379" t="s">
        <v>363</v>
      </c>
    </row>
    <row r="22" spans="1:2">
      <c r="A22" s="376">
        <v>14</v>
      </c>
      <c r="B22" s="380" t="s">
        <v>394</v>
      </c>
    </row>
    <row r="23" spans="1:2">
      <c r="A23" s="381">
        <v>15</v>
      </c>
      <c r="B23" s="377" t="s">
        <v>77</v>
      </c>
    </row>
    <row r="24" spans="1:2">
      <c r="A24" s="381">
        <v>15.1</v>
      </c>
      <c r="B24" s="372" t="s">
        <v>429</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C6" sqref="C6:C52"/>
    </sheetView>
  </sheetViews>
  <sheetFormatPr defaultRowHeight="15"/>
  <cols>
    <col min="1" max="1" width="9.5703125" style="5" bestFit="1" customWidth="1"/>
    <col min="2" max="2" width="132.42578125" style="2" customWidth="1"/>
    <col min="3" max="3" width="18.42578125" style="2" customWidth="1"/>
  </cols>
  <sheetData>
    <row r="1" spans="1:6" ht="15.75">
      <c r="A1" s="18" t="s">
        <v>188</v>
      </c>
      <c r="B1" s="17" t="str">
        <f ca="1">Info!C2</f>
        <v>ს.ს. "ტერაბანკი"</v>
      </c>
      <c r="D1" s="2"/>
      <c r="E1" s="2"/>
      <c r="F1" s="2"/>
    </row>
    <row r="2" spans="1:6" s="22" customFormat="1" ht="15.75" customHeight="1">
      <c r="A2" s="22" t="s">
        <v>189</v>
      </c>
      <c r="B2" s="457">
        <f>'1. key ratios'!B2</f>
        <v>44286</v>
      </c>
    </row>
    <row r="3" spans="1:6" s="22" customFormat="1" ht="15.75" customHeight="1"/>
    <row r="4" spans="1:6" ht="15.75" thickBot="1">
      <c r="A4" s="5" t="s">
        <v>336</v>
      </c>
      <c r="B4" s="61" t="s">
        <v>88</v>
      </c>
    </row>
    <row r="5" spans="1:6">
      <c r="A5" s="135" t="s">
        <v>26</v>
      </c>
      <c r="B5" s="136"/>
      <c r="C5" s="137" t="s">
        <v>27</v>
      </c>
    </row>
    <row r="6" spans="1:6">
      <c r="A6" s="138">
        <v>1</v>
      </c>
      <c r="B6" s="83" t="s">
        <v>28</v>
      </c>
      <c r="C6" s="263">
        <f>SUM(C7:C11)</f>
        <v>132419597.12000002</v>
      </c>
    </row>
    <row r="7" spans="1:6">
      <c r="A7" s="138">
        <v>2</v>
      </c>
      <c r="B7" s="80" t="s">
        <v>29</v>
      </c>
      <c r="C7" s="264">
        <v>121372000.00000001</v>
      </c>
    </row>
    <row r="8" spans="1:6">
      <c r="A8" s="138">
        <v>3</v>
      </c>
      <c r="B8" s="74" t="s">
        <v>30</v>
      </c>
      <c r="C8" s="264">
        <v>0</v>
      </c>
    </row>
    <row r="9" spans="1:6">
      <c r="A9" s="138">
        <v>4</v>
      </c>
      <c r="B9" s="74" t="s">
        <v>31</v>
      </c>
      <c r="C9" s="264">
        <v>0</v>
      </c>
    </row>
    <row r="10" spans="1:6">
      <c r="A10" s="138">
        <v>5</v>
      </c>
      <c r="B10" s="74" t="s">
        <v>32</v>
      </c>
      <c r="C10" s="264">
        <v>0</v>
      </c>
    </row>
    <row r="11" spans="1:6">
      <c r="A11" s="138">
        <v>6</v>
      </c>
      <c r="B11" s="81" t="s">
        <v>33</v>
      </c>
      <c r="C11" s="264">
        <v>11047597.120000001</v>
      </c>
    </row>
    <row r="12" spans="1:6" s="4" customFormat="1">
      <c r="A12" s="138">
        <v>7</v>
      </c>
      <c r="B12" s="83" t="s">
        <v>34</v>
      </c>
      <c r="C12" s="265">
        <f>SUM(C13:C27)</f>
        <v>22798096</v>
      </c>
    </row>
    <row r="13" spans="1:6" s="4" customFormat="1">
      <c r="A13" s="138">
        <v>8</v>
      </c>
      <c r="B13" s="82" t="s">
        <v>35</v>
      </c>
      <c r="C13" s="266">
        <v>0</v>
      </c>
    </row>
    <row r="14" spans="1:6" s="4" customFormat="1" ht="25.5">
      <c r="A14" s="138">
        <v>9</v>
      </c>
      <c r="B14" s="75" t="s">
        <v>36</v>
      </c>
      <c r="C14" s="266">
        <v>0</v>
      </c>
    </row>
    <row r="15" spans="1:6" s="4" customFormat="1">
      <c r="A15" s="138">
        <v>10</v>
      </c>
      <c r="B15" s="76" t="s">
        <v>37</v>
      </c>
      <c r="C15" s="266">
        <v>22798096</v>
      </c>
    </row>
    <row r="16" spans="1:6" s="4" customFormat="1">
      <c r="A16" s="138">
        <v>11</v>
      </c>
      <c r="B16" s="77" t="s">
        <v>38</v>
      </c>
      <c r="C16" s="266">
        <v>0</v>
      </c>
    </row>
    <row r="17" spans="1:3" s="4" customFormat="1">
      <c r="A17" s="138">
        <v>12</v>
      </c>
      <c r="B17" s="76" t="s">
        <v>39</v>
      </c>
      <c r="C17" s="266">
        <v>0</v>
      </c>
    </row>
    <row r="18" spans="1:3" s="4" customFormat="1">
      <c r="A18" s="138">
        <v>13</v>
      </c>
      <c r="B18" s="76" t="s">
        <v>40</v>
      </c>
      <c r="C18" s="266">
        <v>0</v>
      </c>
    </row>
    <row r="19" spans="1:3" s="4" customFormat="1">
      <c r="A19" s="138">
        <v>14</v>
      </c>
      <c r="B19" s="76" t="s">
        <v>41</v>
      </c>
      <c r="C19" s="266">
        <v>0</v>
      </c>
    </row>
    <row r="20" spans="1:3" s="4" customFormat="1" ht="25.5">
      <c r="A20" s="138">
        <v>15</v>
      </c>
      <c r="B20" s="76" t="s">
        <v>42</v>
      </c>
      <c r="C20" s="266">
        <v>0</v>
      </c>
    </row>
    <row r="21" spans="1:3" s="4" customFormat="1" ht="25.5">
      <c r="A21" s="138">
        <v>16</v>
      </c>
      <c r="B21" s="75" t="s">
        <v>43</v>
      </c>
      <c r="C21" s="266">
        <v>0</v>
      </c>
    </row>
    <row r="22" spans="1:3" s="4" customFormat="1">
      <c r="A22" s="138">
        <v>17</v>
      </c>
      <c r="B22" s="139" t="s">
        <v>44</v>
      </c>
      <c r="C22" s="266">
        <v>0</v>
      </c>
    </row>
    <row r="23" spans="1:3" s="4" customFormat="1" ht="25.5">
      <c r="A23" s="138">
        <v>18</v>
      </c>
      <c r="B23" s="75" t="s">
        <v>45</v>
      </c>
      <c r="C23" s="266">
        <v>0</v>
      </c>
    </row>
    <row r="24" spans="1:3" s="4" customFormat="1" ht="25.5">
      <c r="A24" s="138">
        <v>19</v>
      </c>
      <c r="B24" s="75" t="s">
        <v>46</v>
      </c>
      <c r="C24" s="266">
        <v>0</v>
      </c>
    </row>
    <row r="25" spans="1:3" s="4" customFormat="1" ht="25.5">
      <c r="A25" s="138">
        <v>20</v>
      </c>
      <c r="B25" s="78" t="s">
        <v>47</v>
      </c>
      <c r="C25" s="266">
        <v>0</v>
      </c>
    </row>
    <row r="26" spans="1:3" s="4" customFormat="1">
      <c r="A26" s="138">
        <v>21</v>
      </c>
      <c r="B26" s="78" t="s">
        <v>48</v>
      </c>
      <c r="C26" s="266">
        <v>0</v>
      </c>
    </row>
    <row r="27" spans="1:3" s="4" customFormat="1" ht="25.5">
      <c r="A27" s="138">
        <v>22</v>
      </c>
      <c r="B27" s="78" t="s">
        <v>49</v>
      </c>
      <c r="C27" s="266">
        <v>0</v>
      </c>
    </row>
    <row r="28" spans="1:3" s="4" customFormat="1">
      <c r="A28" s="138">
        <v>23</v>
      </c>
      <c r="B28" s="84" t="s">
        <v>23</v>
      </c>
      <c r="C28" s="265">
        <f>C6-C12</f>
        <v>109621501.12000002</v>
      </c>
    </row>
    <row r="29" spans="1:3" s="4" customFormat="1">
      <c r="A29" s="140"/>
      <c r="B29" s="79"/>
      <c r="C29" s="266"/>
    </row>
    <row r="30" spans="1:3" s="4" customFormat="1">
      <c r="A30" s="140">
        <v>24</v>
      </c>
      <c r="B30" s="84" t="s">
        <v>50</v>
      </c>
      <c r="C30" s="265">
        <f>C31+C34</f>
        <v>0</v>
      </c>
    </row>
    <row r="31" spans="1:3" s="4" customFormat="1">
      <c r="A31" s="140">
        <v>25</v>
      </c>
      <c r="B31" s="74" t="s">
        <v>51</v>
      </c>
      <c r="C31" s="267">
        <f>C32+C33</f>
        <v>0</v>
      </c>
    </row>
    <row r="32" spans="1:3" s="4" customFormat="1">
      <c r="A32" s="140">
        <v>26</v>
      </c>
      <c r="B32" s="179" t="s">
        <v>52</v>
      </c>
      <c r="C32" s="266">
        <v>0</v>
      </c>
    </row>
    <row r="33" spans="1:3" s="4" customFormat="1">
      <c r="A33" s="140">
        <v>27</v>
      </c>
      <c r="B33" s="179" t="s">
        <v>53</v>
      </c>
      <c r="C33" s="266">
        <v>0</v>
      </c>
    </row>
    <row r="34" spans="1:3" s="4" customFormat="1">
      <c r="A34" s="140">
        <v>28</v>
      </c>
      <c r="B34" s="74" t="s">
        <v>54</v>
      </c>
      <c r="C34" s="266">
        <v>0</v>
      </c>
    </row>
    <row r="35" spans="1:3" s="4" customFormat="1">
      <c r="A35" s="140">
        <v>29</v>
      </c>
      <c r="B35" s="84" t="s">
        <v>55</v>
      </c>
      <c r="C35" s="265">
        <f>SUM(C36:C40)</f>
        <v>0</v>
      </c>
    </row>
    <row r="36" spans="1:3" s="4" customFormat="1">
      <c r="A36" s="140">
        <v>30</v>
      </c>
      <c r="B36" s="75" t="s">
        <v>56</v>
      </c>
      <c r="C36" s="266">
        <v>0</v>
      </c>
    </row>
    <row r="37" spans="1:3" s="4" customFormat="1">
      <c r="A37" s="140">
        <v>31</v>
      </c>
      <c r="B37" s="76" t="s">
        <v>57</v>
      </c>
      <c r="C37" s="266">
        <v>0</v>
      </c>
    </row>
    <row r="38" spans="1:3" s="4" customFormat="1" ht="25.5">
      <c r="A38" s="140">
        <v>32</v>
      </c>
      <c r="B38" s="75" t="s">
        <v>58</v>
      </c>
      <c r="C38" s="266">
        <v>0</v>
      </c>
    </row>
    <row r="39" spans="1:3" s="4" customFormat="1" ht="25.5">
      <c r="A39" s="140">
        <v>33</v>
      </c>
      <c r="B39" s="75" t="s">
        <v>46</v>
      </c>
      <c r="C39" s="266">
        <v>0</v>
      </c>
    </row>
    <row r="40" spans="1:3" s="4" customFormat="1" ht="25.5">
      <c r="A40" s="140">
        <v>34</v>
      </c>
      <c r="B40" s="78" t="s">
        <v>59</v>
      </c>
      <c r="C40" s="266">
        <v>0</v>
      </c>
    </row>
    <row r="41" spans="1:3" s="4" customFormat="1">
      <c r="A41" s="140">
        <v>35</v>
      </c>
      <c r="B41" s="84" t="s">
        <v>24</v>
      </c>
      <c r="C41" s="265">
        <f>C30-C35</f>
        <v>0</v>
      </c>
    </row>
    <row r="42" spans="1:3" s="4" customFormat="1">
      <c r="A42" s="140"/>
      <c r="B42" s="79"/>
      <c r="C42" s="266"/>
    </row>
    <row r="43" spans="1:3" s="4" customFormat="1">
      <c r="A43" s="140">
        <v>36</v>
      </c>
      <c r="B43" s="85" t="s">
        <v>60</v>
      </c>
      <c r="C43" s="265">
        <f>SUM(C44:C46)</f>
        <v>61084545.900253132</v>
      </c>
    </row>
    <row r="44" spans="1:3" s="4" customFormat="1">
      <c r="A44" s="140">
        <v>37</v>
      </c>
      <c r="B44" s="74" t="s">
        <v>61</v>
      </c>
      <c r="C44" s="266">
        <v>48474995.149999999</v>
      </c>
    </row>
    <row r="45" spans="1:3" s="4" customFormat="1">
      <c r="A45" s="140">
        <v>38</v>
      </c>
      <c r="B45" s="74" t="s">
        <v>62</v>
      </c>
      <c r="C45" s="266">
        <v>0</v>
      </c>
    </row>
    <row r="46" spans="1:3" s="4" customFormat="1">
      <c r="A46" s="140">
        <v>39</v>
      </c>
      <c r="B46" s="74" t="s">
        <v>63</v>
      </c>
      <c r="C46" s="266">
        <v>12609550.750253132</v>
      </c>
    </row>
    <row r="47" spans="1:3" s="4" customFormat="1">
      <c r="A47" s="140">
        <v>40</v>
      </c>
      <c r="B47" s="85" t="s">
        <v>64</v>
      </c>
      <c r="C47" s="265">
        <f>SUM(C48:C51)</f>
        <v>0</v>
      </c>
    </row>
    <row r="48" spans="1:3" s="4" customFormat="1">
      <c r="A48" s="140">
        <v>41</v>
      </c>
      <c r="B48" s="75" t="s">
        <v>65</v>
      </c>
      <c r="C48" s="266">
        <v>0</v>
      </c>
    </row>
    <row r="49" spans="1:3" s="4" customFormat="1">
      <c r="A49" s="140">
        <v>42</v>
      </c>
      <c r="B49" s="76" t="s">
        <v>66</v>
      </c>
      <c r="C49" s="266">
        <v>0</v>
      </c>
    </row>
    <row r="50" spans="1:3" s="4" customFormat="1" ht="25.5">
      <c r="A50" s="140">
        <v>43</v>
      </c>
      <c r="B50" s="75" t="s">
        <v>67</v>
      </c>
      <c r="C50" s="266">
        <v>0</v>
      </c>
    </row>
    <row r="51" spans="1:3" s="4" customFormat="1" ht="25.5">
      <c r="A51" s="140">
        <v>44</v>
      </c>
      <c r="B51" s="75" t="s">
        <v>46</v>
      </c>
      <c r="C51" s="266">
        <v>0</v>
      </c>
    </row>
    <row r="52" spans="1:3" s="4" customFormat="1" ht="15.75" thickBot="1">
      <c r="A52" s="141">
        <v>45</v>
      </c>
      <c r="B52" s="142" t="s">
        <v>25</v>
      </c>
      <c r="C52" s="268">
        <f>C43-C47</f>
        <v>61084545.900253132</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7" sqref="C7:D21"/>
    </sheetView>
  </sheetViews>
  <sheetFormatPr defaultColWidth="9.140625" defaultRowHeight="12.75"/>
  <cols>
    <col min="1" max="1" width="10.85546875" style="325" bestFit="1" customWidth="1"/>
    <col min="2" max="2" width="59" style="325" customWidth="1"/>
    <col min="3" max="3" width="16.7109375" style="325" bestFit="1" customWidth="1"/>
    <col min="4" max="4" width="22.140625" style="325" customWidth="1"/>
    <col min="5" max="16384" width="9.140625" style="325"/>
  </cols>
  <sheetData>
    <row r="1" spans="1:4" ht="15">
      <c r="A1" s="18" t="s">
        <v>188</v>
      </c>
      <c r="B1" s="17" t="str">
        <f ca="1">Info!C2</f>
        <v>ს.ს. "ტერაბანკი"</v>
      </c>
    </row>
    <row r="2" spans="1:4" s="22" customFormat="1" ht="15.75" customHeight="1">
      <c r="A2" s="22" t="s">
        <v>189</v>
      </c>
      <c r="B2" s="457">
        <f>'1. key ratios'!B2</f>
        <v>44286</v>
      </c>
    </row>
    <row r="3" spans="1:4" s="22" customFormat="1" ht="15.75" customHeight="1"/>
    <row r="4" spans="1:4" ht="13.5" thickBot="1">
      <c r="A4" s="326" t="s">
        <v>399</v>
      </c>
      <c r="B4" s="359" t="s">
        <v>400</v>
      </c>
    </row>
    <row r="5" spans="1:4" s="360" customFormat="1">
      <c r="A5" s="550" t="s">
        <v>401</v>
      </c>
      <c r="B5" s="551"/>
      <c r="C5" s="349" t="s">
        <v>402</v>
      </c>
      <c r="D5" s="350" t="s">
        <v>403</v>
      </c>
    </row>
    <row r="6" spans="1:4" s="361" customFormat="1">
      <c r="A6" s="351">
        <v>1</v>
      </c>
      <c r="B6" s="352" t="s">
        <v>404</v>
      </c>
      <c r="C6" s="352"/>
      <c r="D6" s="353"/>
    </row>
    <row r="7" spans="1:4" s="361" customFormat="1">
      <c r="A7" s="354" t="s">
        <v>405</v>
      </c>
      <c r="B7" s="355" t="s">
        <v>406</v>
      </c>
      <c r="C7" s="408">
        <v>4.4999999999999998E-2</v>
      </c>
      <c r="D7" s="526">
        <f>C7*'5. RWA'!$C$13</f>
        <v>51008887.153361268</v>
      </c>
    </row>
    <row r="8" spans="1:4" s="361" customFormat="1">
      <c r="A8" s="354" t="s">
        <v>407</v>
      </c>
      <c r="B8" s="355" t="s">
        <v>408</v>
      </c>
      <c r="C8" s="409">
        <v>0.06</v>
      </c>
      <c r="D8" s="526">
        <f>C8*'5. RWA'!$C$13</f>
        <v>68011849.537815019</v>
      </c>
    </row>
    <row r="9" spans="1:4" s="361" customFormat="1">
      <c r="A9" s="354" t="s">
        <v>409</v>
      </c>
      <c r="B9" s="355" t="s">
        <v>410</v>
      </c>
      <c r="C9" s="409">
        <v>0.08</v>
      </c>
      <c r="D9" s="526">
        <f>C9*'5. RWA'!$C$13</f>
        <v>90682466.050420031</v>
      </c>
    </row>
    <row r="10" spans="1:4" s="361" customFormat="1">
      <c r="A10" s="351" t="s">
        <v>411</v>
      </c>
      <c r="B10" s="352" t="s">
        <v>412</v>
      </c>
      <c r="C10" s="410"/>
      <c r="D10" s="527"/>
    </row>
    <row r="11" spans="1:4" s="362" customFormat="1">
      <c r="A11" s="356" t="s">
        <v>413</v>
      </c>
      <c r="B11" s="357" t="s">
        <v>475</v>
      </c>
      <c r="C11" s="411">
        <v>0</v>
      </c>
      <c r="D11" s="528">
        <f>C11*'5. RWA'!$C$13</f>
        <v>0</v>
      </c>
    </row>
    <row r="12" spans="1:4" s="362" customFormat="1">
      <c r="A12" s="356" t="s">
        <v>414</v>
      </c>
      <c r="B12" s="357" t="s">
        <v>415</v>
      </c>
      <c r="C12" s="411">
        <v>0</v>
      </c>
      <c r="D12" s="528">
        <f>C12*'5. RWA'!$C$13</f>
        <v>0</v>
      </c>
    </row>
    <row r="13" spans="1:4" s="362" customFormat="1">
      <c r="A13" s="356" t="s">
        <v>416</v>
      </c>
      <c r="B13" s="357" t="s">
        <v>417</v>
      </c>
      <c r="C13" s="411">
        <v>0</v>
      </c>
      <c r="D13" s="528">
        <f>C13*'5. RWA'!$C$13</f>
        <v>0</v>
      </c>
    </row>
    <row r="14" spans="1:4" s="361" customFormat="1">
      <c r="A14" s="351" t="s">
        <v>418</v>
      </c>
      <c r="B14" s="352" t="s">
        <v>473</v>
      </c>
      <c r="C14" s="412"/>
      <c r="D14" s="527"/>
    </row>
    <row r="15" spans="1:4" s="361" customFormat="1">
      <c r="A15" s="373" t="s">
        <v>421</v>
      </c>
      <c r="B15" s="357" t="s">
        <v>474</v>
      </c>
      <c r="C15" s="411">
        <v>1.6507906785680933E-2</v>
      </c>
      <c r="D15" s="528">
        <f>C15*'5. RWA'!$C$13</f>
        <v>18712221.208200123</v>
      </c>
    </row>
    <row r="16" spans="1:4" s="361" customFormat="1">
      <c r="A16" s="373" t="s">
        <v>422</v>
      </c>
      <c r="B16" s="357" t="s">
        <v>424</v>
      </c>
      <c r="C16" s="411">
        <v>2.2042323209071804E-2</v>
      </c>
      <c r="D16" s="528">
        <f>C16*'5. RWA'!$C$13</f>
        <v>24985652.825987995</v>
      </c>
    </row>
    <row r="17" spans="1:6" s="361" customFormat="1">
      <c r="A17" s="373" t="s">
        <v>423</v>
      </c>
      <c r="B17" s="357" t="s">
        <v>471</v>
      </c>
      <c r="C17" s="411">
        <v>4.6763340629657008E-2</v>
      </c>
      <c r="D17" s="528">
        <f>C17*'5. RWA'!$C$13</f>
        <v>53007688.113163747</v>
      </c>
    </row>
    <row r="18" spans="1:6" s="360" customFormat="1">
      <c r="A18" s="552" t="s">
        <v>472</v>
      </c>
      <c r="B18" s="553"/>
      <c r="C18" s="413" t="s">
        <v>402</v>
      </c>
      <c r="D18" s="529" t="s">
        <v>403</v>
      </c>
    </row>
    <row r="19" spans="1:6" s="361" customFormat="1">
      <c r="A19" s="358">
        <v>4</v>
      </c>
      <c r="B19" s="357" t="s">
        <v>23</v>
      </c>
      <c r="C19" s="411">
        <f>C7+C11+C12+C13+C15</f>
        <v>6.1507906785680931E-2</v>
      </c>
      <c r="D19" s="526">
        <f>C19*'5. RWA'!$C$13</f>
        <v>69721108.361561388</v>
      </c>
    </row>
    <row r="20" spans="1:6" s="361" customFormat="1">
      <c r="A20" s="358">
        <v>5</v>
      </c>
      <c r="B20" s="357" t="s">
        <v>89</v>
      </c>
      <c r="C20" s="411">
        <f>C8+C11+C12+C13+C16</f>
        <v>8.2042323209071802E-2</v>
      </c>
      <c r="D20" s="526">
        <f>C20*'5. RWA'!$C$13</f>
        <v>92997502.363803014</v>
      </c>
    </row>
    <row r="21" spans="1:6" s="361" customFormat="1" ht="13.5" thickBot="1">
      <c r="A21" s="363" t="s">
        <v>419</v>
      </c>
      <c r="B21" s="364" t="s">
        <v>88</v>
      </c>
      <c r="C21" s="414">
        <f>C9+C11+C12+C13+C17</f>
        <v>0.126763340629657</v>
      </c>
      <c r="D21" s="530">
        <f>C21*'5. RWA'!$C$13</f>
        <v>143690154.16358376</v>
      </c>
    </row>
    <row r="22" spans="1:6">
      <c r="F22" s="326"/>
    </row>
    <row r="23" spans="1:6" ht="63.75">
      <c r="B23" s="24" t="s">
        <v>476</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6" activePane="bottomRight" state="frozen"/>
      <selection pane="topRight" activeCell="B1" sqref="B1"/>
      <selection pane="bottomLeft" activeCell="A5" sqref="A5"/>
      <selection pane="bottomRight" activeCell="B20" sqref="B20"/>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188</v>
      </c>
      <c r="B1" s="20" t="str">
        <f ca="1">Info!C2</f>
        <v>ს.ს. "ტერაბანკი"</v>
      </c>
      <c r="E1" s="2"/>
      <c r="F1" s="2"/>
    </row>
    <row r="2" spans="1:6" s="22" customFormat="1" ht="15.75" customHeight="1">
      <c r="A2" s="22" t="s">
        <v>189</v>
      </c>
      <c r="B2" s="457">
        <f>'1. key ratios'!B2</f>
        <v>44286</v>
      </c>
    </row>
    <row r="3" spans="1:6" s="22" customFormat="1" ht="15.75" customHeight="1">
      <c r="A3" s="27"/>
    </row>
    <row r="4" spans="1:6" s="22" customFormat="1" ht="15.75" customHeight="1" thickBot="1">
      <c r="A4" s="22" t="s">
        <v>337</v>
      </c>
      <c r="B4" s="203" t="s">
        <v>269</v>
      </c>
      <c r="D4" s="205" t="s">
        <v>93</v>
      </c>
    </row>
    <row r="5" spans="1:6" ht="38.25">
      <c r="A5" s="154" t="s">
        <v>26</v>
      </c>
      <c r="B5" s="155" t="s">
        <v>231</v>
      </c>
      <c r="C5" s="156" t="s">
        <v>237</v>
      </c>
      <c r="D5" s="204" t="s">
        <v>270</v>
      </c>
    </row>
    <row r="6" spans="1:6">
      <c r="A6" s="143">
        <v>1</v>
      </c>
      <c r="B6" s="86" t="s">
        <v>154</v>
      </c>
      <c r="C6" s="269">
        <v>35898343.460000001</v>
      </c>
      <c r="D6" s="144"/>
      <c r="E6" s="8"/>
    </row>
    <row r="7" spans="1:6">
      <c r="A7" s="143">
        <v>2</v>
      </c>
      <c r="B7" s="87" t="s">
        <v>155</v>
      </c>
      <c r="C7" s="270">
        <v>176541439.69</v>
      </c>
      <c r="D7" s="145"/>
      <c r="E7" s="8"/>
    </row>
    <row r="8" spans="1:6">
      <c r="A8" s="143">
        <v>3</v>
      </c>
      <c r="B8" s="87" t="s">
        <v>156</v>
      </c>
      <c r="C8" s="270">
        <v>49846089.920000002</v>
      </c>
      <c r="D8" s="145"/>
      <c r="E8" s="8"/>
    </row>
    <row r="9" spans="1:6">
      <c r="A9" s="143">
        <v>4</v>
      </c>
      <c r="B9" s="87" t="s">
        <v>185</v>
      </c>
      <c r="C9" s="270">
        <v>0</v>
      </c>
      <c r="D9" s="145"/>
      <c r="E9" s="8"/>
    </row>
    <row r="10" spans="1:6">
      <c r="A10" s="143">
        <v>5</v>
      </c>
      <c r="B10" s="87" t="s">
        <v>157</v>
      </c>
      <c r="C10" s="270">
        <v>86462260.989999995</v>
      </c>
      <c r="D10" s="145"/>
      <c r="E10" s="8"/>
    </row>
    <row r="11" spans="1:6">
      <c r="A11" s="143">
        <v>6.1</v>
      </c>
      <c r="B11" s="87" t="s">
        <v>158</v>
      </c>
      <c r="C11" s="271">
        <v>966304346.47000003</v>
      </c>
      <c r="D11" s="146"/>
      <c r="E11" s="9"/>
    </row>
    <row r="12" spans="1:6">
      <c r="A12" s="143">
        <v>6.2</v>
      </c>
      <c r="B12" s="88" t="s">
        <v>159</v>
      </c>
      <c r="C12" s="271">
        <v>-55169305.230000094</v>
      </c>
      <c r="D12" s="146"/>
      <c r="E12" s="9"/>
    </row>
    <row r="13" spans="1:6">
      <c r="A13" s="143" t="s">
        <v>371</v>
      </c>
      <c r="B13" s="89" t="s">
        <v>372</v>
      </c>
      <c r="C13" s="271">
        <v>-14896447.000000013</v>
      </c>
      <c r="D13" s="146"/>
      <c r="E13" s="9"/>
    </row>
    <row r="14" spans="1:6">
      <c r="A14" s="143" t="s">
        <v>495</v>
      </c>
      <c r="B14" s="89" t="s">
        <v>484</v>
      </c>
      <c r="C14" s="271">
        <v>-1621297.71</v>
      </c>
      <c r="D14" s="146"/>
      <c r="E14" s="9"/>
    </row>
    <row r="15" spans="1:6">
      <c r="A15" s="143">
        <v>6</v>
      </c>
      <c r="B15" s="87" t="s">
        <v>160</v>
      </c>
      <c r="C15" s="277">
        <v>911135041.23999989</v>
      </c>
      <c r="D15" s="146"/>
      <c r="E15" s="8"/>
    </row>
    <row r="16" spans="1:6">
      <c r="A16" s="143">
        <v>7</v>
      </c>
      <c r="B16" s="87" t="s">
        <v>161</v>
      </c>
      <c r="C16" s="270">
        <v>12751738.469999973</v>
      </c>
      <c r="D16" s="145"/>
      <c r="E16" s="8"/>
    </row>
    <row r="17" spans="1:5">
      <c r="A17" s="143">
        <v>8</v>
      </c>
      <c r="B17" s="87" t="s">
        <v>162</v>
      </c>
      <c r="C17" s="270">
        <v>2939066.8800000232</v>
      </c>
      <c r="D17" s="145"/>
      <c r="E17" s="8"/>
    </row>
    <row r="18" spans="1:5">
      <c r="A18" s="143">
        <v>9</v>
      </c>
      <c r="B18" s="87" t="s">
        <v>163</v>
      </c>
      <c r="C18" s="270">
        <v>0</v>
      </c>
      <c r="D18" s="145"/>
      <c r="E18" s="8"/>
    </row>
    <row r="19" spans="1:5">
      <c r="A19" s="143">
        <v>9.1</v>
      </c>
      <c r="B19" s="89" t="s">
        <v>246</v>
      </c>
      <c r="C19" s="271">
        <v>0</v>
      </c>
      <c r="D19" s="145"/>
      <c r="E19" s="8"/>
    </row>
    <row r="20" spans="1:5">
      <c r="A20" s="143">
        <v>9.1999999999999993</v>
      </c>
      <c r="B20" s="89" t="s">
        <v>236</v>
      </c>
      <c r="C20" s="271">
        <v>0</v>
      </c>
      <c r="D20" s="145"/>
      <c r="E20" s="8"/>
    </row>
    <row r="21" spans="1:5">
      <c r="A21" s="143">
        <v>9.3000000000000007</v>
      </c>
      <c r="B21" s="89" t="s">
        <v>235</v>
      </c>
      <c r="C21" s="271">
        <v>0</v>
      </c>
      <c r="D21" s="145"/>
      <c r="E21" s="8"/>
    </row>
    <row r="22" spans="1:5">
      <c r="A22" s="143">
        <v>10</v>
      </c>
      <c r="B22" s="87" t="s">
        <v>164</v>
      </c>
      <c r="C22" s="270">
        <v>46393296.260000035</v>
      </c>
      <c r="D22" s="145"/>
      <c r="E22" s="8"/>
    </row>
    <row r="23" spans="1:5">
      <c r="A23" s="143">
        <v>10.1</v>
      </c>
      <c r="B23" s="89" t="s">
        <v>234</v>
      </c>
      <c r="C23" s="270">
        <v>22798096</v>
      </c>
      <c r="D23" s="231" t="s">
        <v>344</v>
      </c>
      <c r="E23" s="8"/>
    </row>
    <row r="24" spans="1:5">
      <c r="A24" s="143">
        <v>11</v>
      </c>
      <c r="B24" s="90" t="s">
        <v>165</v>
      </c>
      <c r="C24" s="272">
        <v>8066074.5870000012</v>
      </c>
      <c r="D24" s="147"/>
      <c r="E24" s="8"/>
    </row>
    <row r="25" spans="1:5">
      <c r="A25" s="143">
        <v>12</v>
      </c>
      <c r="B25" s="92" t="s">
        <v>166</v>
      </c>
      <c r="C25" s="273">
        <f>SUM(C6:C10,C15:C18,C22,C24)</f>
        <v>1330033351.497</v>
      </c>
      <c r="D25" s="148"/>
      <c r="E25" s="7"/>
    </row>
    <row r="26" spans="1:5">
      <c r="A26" s="143">
        <v>13</v>
      </c>
      <c r="B26" s="87" t="s">
        <v>167</v>
      </c>
      <c r="C26" s="274">
        <v>10880360.040000001</v>
      </c>
      <c r="D26" s="149"/>
      <c r="E26" s="8"/>
    </row>
    <row r="27" spans="1:5">
      <c r="A27" s="143">
        <v>14</v>
      </c>
      <c r="B27" s="87" t="s">
        <v>168</v>
      </c>
      <c r="C27" s="270">
        <v>243168340.95000005</v>
      </c>
      <c r="D27" s="145"/>
      <c r="E27" s="8"/>
    </row>
    <row r="28" spans="1:5">
      <c r="A28" s="143">
        <v>15</v>
      </c>
      <c r="B28" s="87" t="s">
        <v>169</v>
      </c>
      <c r="C28" s="270">
        <v>266649648.19999993</v>
      </c>
      <c r="D28" s="145"/>
      <c r="E28" s="8"/>
    </row>
    <row r="29" spans="1:5">
      <c r="A29" s="143">
        <v>16</v>
      </c>
      <c r="B29" s="87" t="s">
        <v>170</v>
      </c>
      <c r="C29" s="270">
        <v>412694553.4200002</v>
      </c>
      <c r="D29" s="145"/>
      <c r="E29" s="8"/>
    </row>
    <row r="30" spans="1:5">
      <c r="A30" s="143">
        <v>17</v>
      </c>
      <c r="B30" s="87" t="s">
        <v>171</v>
      </c>
      <c r="C30" s="270">
        <v>0</v>
      </c>
      <c r="D30" s="145"/>
      <c r="E30" s="8"/>
    </row>
    <row r="31" spans="1:5">
      <c r="A31" s="143">
        <v>18</v>
      </c>
      <c r="B31" s="87" t="s">
        <v>172</v>
      </c>
      <c r="C31" s="270">
        <v>171306068</v>
      </c>
      <c r="D31" s="145"/>
      <c r="E31" s="8"/>
    </row>
    <row r="32" spans="1:5">
      <c r="A32" s="143">
        <v>19</v>
      </c>
      <c r="B32" s="87" t="s">
        <v>173</v>
      </c>
      <c r="C32" s="270">
        <v>5887665.8399999999</v>
      </c>
      <c r="D32" s="145"/>
      <c r="E32" s="8"/>
    </row>
    <row r="33" spans="1:5">
      <c r="A33" s="143">
        <v>20</v>
      </c>
      <c r="B33" s="87" t="s">
        <v>95</v>
      </c>
      <c r="C33" s="270">
        <v>22208262.090000004</v>
      </c>
      <c r="D33" s="145"/>
      <c r="E33" s="8"/>
    </row>
    <row r="34" spans="1:5">
      <c r="A34" s="143">
        <v>20.100000000000001</v>
      </c>
      <c r="B34" s="91" t="s">
        <v>370</v>
      </c>
      <c r="C34" s="272">
        <v>822092.85999999987</v>
      </c>
      <c r="D34" s="147"/>
      <c r="E34" s="8"/>
    </row>
    <row r="35" spans="1:5">
      <c r="A35" s="143">
        <v>21</v>
      </c>
      <c r="B35" s="90" t="s">
        <v>174</v>
      </c>
      <c r="C35" s="272">
        <v>64818855.649999999</v>
      </c>
      <c r="D35" s="147"/>
      <c r="E35" s="8"/>
    </row>
    <row r="36" spans="1:5">
      <c r="A36" s="143">
        <v>21.1</v>
      </c>
      <c r="B36" s="91" t="s">
        <v>233</v>
      </c>
      <c r="C36" s="275">
        <v>48474995.149999999</v>
      </c>
      <c r="D36" s="150"/>
      <c r="E36" s="8"/>
    </row>
    <row r="37" spans="1:5">
      <c r="A37" s="143">
        <v>22</v>
      </c>
      <c r="B37" s="92" t="s">
        <v>175</v>
      </c>
      <c r="C37" s="273">
        <f>SUM(C26:C33)+C35</f>
        <v>1197613754.1900001</v>
      </c>
      <c r="D37" s="148"/>
      <c r="E37" s="7"/>
    </row>
    <row r="38" spans="1:5">
      <c r="A38" s="143">
        <v>23</v>
      </c>
      <c r="B38" s="90" t="s">
        <v>176</v>
      </c>
      <c r="C38" s="270">
        <v>121372000</v>
      </c>
      <c r="D38" s="145"/>
      <c r="E38" s="8"/>
    </row>
    <row r="39" spans="1:5">
      <c r="A39" s="143">
        <v>24</v>
      </c>
      <c r="B39" s="90" t="s">
        <v>177</v>
      </c>
      <c r="C39" s="270">
        <v>0</v>
      </c>
      <c r="D39" s="145"/>
      <c r="E39" s="8"/>
    </row>
    <row r="40" spans="1:5">
      <c r="A40" s="143">
        <v>25</v>
      </c>
      <c r="B40" s="90" t="s">
        <v>232</v>
      </c>
      <c r="C40" s="270">
        <v>0</v>
      </c>
      <c r="D40" s="145"/>
      <c r="E40" s="8"/>
    </row>
    <row r="41" spans="1:5">
      <c r="A41" s="143">
        <v>26</v>
      </c>
      <c r="B41" s="90" t="s">
        <v>179</v>
      </c>
      <c r="C41" s="270">
        <v>0</v>
      </c>
      <c r="D41" s="145"/>
      <c r="E41" s="8"/>
    </row>
    <row r="42" spans="1:5">
      <c r="A42" s="143">
        <v>27</v>
      </c>
      <c r="B42" s="90" t="s">
        <v>180</v>
      </c>
      <c r="C42" s="270">
        <v>0</v>
      </c>
      <c r="D42" s="145"/>
      <c r="E42" s="8"/>
    </row>
    <row r="43" spans="1:5">
      <c r="A43" s="143">
        <v>28</v>
      </c>
      <c r="B43" s="90" t="s">
        <v>181</v>
      </c>
      <c r="C43" s="270">
        <v>11047597.130000018</v>
      </c>
      <c r="D43" s="145"/>
      <c r="E43" s="8"/>
    </row>
    <row r="44" spans="1:5">
      <c r="A44" s="143">
        <v>29</v>
      </c>
      <c r="B44" s="90" t="s">
        <v>35</v>
      </c>
      <c r="C44" s="270">
        <v>0</v>
      </c>
      <c r="D44" s="145"/>
      <c r="E44" s="8"/>
    </row>
    <row r="45" spans="1:5" ht="16.5" thickBot="1">
      <c r="A45" s="151">
        <v>30</v>
      </c>
      <c r="B45" s="152" t="s">
        <v>182</v>
      </c>
      <c r="C45" s="276">
        <f>SUM(C38:C44)</f>
        <v>132419597.13000003</v>
      </c>
      <c r="D45" s="153"/>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N8" activePane="bottomRight" state="frozen"/>
      <selection pane="topRight" activeCell="C1" sqref="C1"/>
      <selection pane="bottomLeft" activeCell="A8" sqref="A8"/>
      <selection pane="bottomRight" activeCell="C8" sqref="C8:S22"/>
    </sheetView>
  </sheetViews>
  <sheetFormatPr defaultColWidth="9.140625" defaultRowHeight="12.75"/>
  <cols>
    <col min="1" max="1" width="10.5703125" style="2" bestFit="1" customWidth="1"/>
    <col min="2" max="2" width="95" style="2" customWidth="1"/>
    <col min="3" max="3" width="14.5703125" style="2" bestFit="1" customWidth="1"/>
    <col min="4" max="4" width="13.42578125" style="2" bestFit="1" customWidth="1"/>
    <col min="5" max="5" width="13.5703125" style="2" bestFit="1" customWidth="1"/>
    <col min="6" max="6" width="13.42578125" style="2" bestFit="1" customWidth="1"/>
    <col min="7" max="7" width="14.5703125" style="2" bestFit="1" customWidth="1"/>
    <col min="8" max="8" width="13.42578125" style="2" bestFit="1" customWidth="1"/>
    <col min="9" max="9" width="13.5703125" style="2" bestFit="1" customWidth="1"/>
    <col min="10" max="10" width="13.42578125" style="2" bestFit="1" customWidth="1"/>
    <col min="11" max="11" width="14.5703125" style="2" bestFit="1" customWidth="1"/>
    <col min="12" max="12" width="13.42578125" style="2" bestFit="1" customWidth="1"/>
    <col min="13" max="13" width="14.5703125" style="2" bestFit="1" customWidth="1"/>
    <col min="14" max="14" width="13.5703125" style="2" bestFit="1" customWidth="1"/>
    <col min="15" max="15" width="12.42578125" style="2" bestFit="1" customWidth="1"/>
    <col min="16" max="16" width="13.42578125" style="2" bestFit="1" customWidth="1"/>
    <col min="17" max="17" width="9.5703125" style="2" bestFit="1" customWidth="1"/>
    <col min="18" max="18" width="13.42578125" style="2" bestFit="1" customWidth="1"/>
    <col min="19" max="19" width="31.5703125" style="2" bestFit="1" customWidth="1"/>
    <col min="20" max="16384" width="9.140625" style="13"/>
  </cols>
  <sheetData>
    <row r="1" spans="1:19">
      <c r="A1" s="2" t="s">
        <v>188</v>
      </c>
      <c r="B1" s="325" t="str">
        <f ca="1">Info!C2</f>
        <v>ს.ს. "ტერაბანკი"</v>
      </c>
    </row>
    <row r="2" spans="1:19">
      <c r="A2" s="2" t="s">
        <v>189</v>
      </c>
      <c r="B2" s="457">
        <f>'1. key ratios'!B2</f>
        <v>44286</v>
      </c>
    </row>
    <row r="4" spans="1:19" ht="39" thickBot="1">
      <c r="A4" s="69" t="s">
        <v>338</v>
      </c>
      <c r="B4" s="292" t="s">
        <v>360</v>
      </c>
    </row>
    <row r="5" spans="1:19">
      <c r="A5" s="132"/>
      <c r="B5" s="134"/>
      <c r="C5" s="118" t="s">
        <v>0</v>
      </c>
      <c r="D5" s="118" t="s">
        <v>1</v>
      </c>
      <c r="E5" s="118" t="s">
        <v>2</v>
      </c>
      <c r="F5" s="118" t="s">
        <v>3</v>
      </c>
      <c r="G5" s="118" t="s">
        <v>4</v>
      </c>
      <c r="H5" s="118" t="s">
        <v>5</v>
      </c>
      <c r="I5" s="118" t="s">
        <v>238</v>
      </c>
      <c r="J5" s="118" t="s">
        <v>239</v>
      </c>
      <c r="K5" s="118" t="s">
        <v>240</v>
      </c>
      <c r="L5" s="118" t="s">
        <v>241</v>
      </c>
      <c r="M5" s="118" t="s">
        <v>242</v>
      </c>
      <c r="N5" s="118" t="s">
        <v>243</v>
      </c>
      <c r="O5" s="118" t="s">
        <v>347</v>
      </c>
      <c r="P5" s="118" t="s">
        <v>348</v>
      </c>
      <c r="Q5" s="118" t="s">
        <v>349</v>
      </c>
      <c r="R5" s="287" t="s">
        <v>350</v>
      </c>
      <c r="S5" s="119" t="s">
        <v>351</v>
      </c>
    </row>
    <row r="6" spans="1:19" ht="46.5" customHeight="1">
      <c r="A6" s="158"/>
      <c r="B6" s="558" t="s">
        <v>352</v>
      </c>
      <c r="C6" s="556">
        <v>0</v>
      </c>
      <c r="D6" s="557"/>
      <c r="E6" s="556">
        <v>0.2</v>
      </c>
      <c r="F6" s="557"/>
      <c r="G6" s="556">
        <v>0.35</v>
      </c>
      <c r="H6" s="557"/>
      <c r="I6" s="556">
        <v>0.5</v>
      </c>
      <c r="J6" s="557"/>
      <c r="K6" s="556">
        <v>0.75</v>
      </c>
      <c r="L6" s="557"/>
      <c r="M6" s="556">
        <v>1</v>
      </c>
      <c r="N6" s="557"/>
      <c r="O6" s="556">
        <v>1.5</v>
      </c>
      <c r="P6" s="557"/>
      <c r="Q6" s="556">
        <v>2.5</v>
      </c>
      <c r="R6" s="557"/>
      <c r="S6" s="554" t="s">
        <v>251</v>
      </c>
    </row>
    <row r="7" spans="1:19">
      <c r="A7" s="158"/>
      <c r="B7" s="559"/>
      <c r="C7" s="291" t="s">
        <v>345</v>
      </c>
      <c r="D7" s="291" t="s">
        <v>346</v>
      </c>
      <c r="E7" s="291" t="s">
        <v>345</v>
      </c>
      <c r="F7" s="291" t="s">
        <v>346</v>
      </c>
      <c r="G7" s="291" t="s">
        <v>345</v>
      </c>
      <c r="H7" s="291" t="s">
        <v>346</v>
      </c>
      <c r="I7" s="291" t="s">
        <v>345</v>
      </c>
      <c r="J7" s="291" t="s">
        <v>346</v>
      </c>
      <c r="K7" s="291" t="s">
        <v>345</v>
      </c>
      <c r="L7" s="291" t="s">
        <v>346</v>
      </c>
      <c r="M7" s="291" t="s">
        <v>345</v>
      </c>
      <c r="N7" s="291" t="s">
        <v>346</v>
      </c>
      <c r="O7" s="291" t="s">
        <v>345</v>
      </c>
      <c r="P7" s="291" t="s">
        <v>346</v>
      </c>
      <c r="Q7" s="291" t="s">
        <v>345</v>
      </c>
      <c r="R7" s="291" t="s">
        <v>346</v>
      </c>
      <c r="S7" s="555"/>
    </row>
    <row r="8" spans="1:19" s="162" customFormat="1">
      <c r="A8" s="122">
        <v>1</v>
      </c>
      <c r="B8" s="178" t="s">
        <v>216</v>
      </c>
      <c r="C8" s="484">
        <v>100691104.44000004</v>
      </c>
      <c r="D8" s="484">
        <v>0</v>
      </c>
      <c r="E8" s="484">
        <v>0</v>
      </c>
      <c r="F8" s="485">
        <v>0</v>
      </c>
      <c r="G8" s="484">
        <v>0</v>
      </c>
      <c r="H8" s="484">
        <v>0</v>
      </c>
      <c r="I8" s="484">
        <v>0</v>
      </c>
      <c r="J8" s="484">
        <v>0</v>
      </c>
      <c r="K8" s="484">
        <v>0</v>
      </c>
      <c r="L8" s="484">
        <v>0</v>
      </c>
      <c r="M8" s="484">
        <v>160632553.17999998</v>
      </c>
      <c r="N8" s="484">
        <v>0</v>
      </c>
      <c r="O8" s="484">
        <v>0</v>
      </c>
      <c r="P8" s="484">
        <v>0</v>
      </c>
      <c r="Q8" s="484">
        <v>0</v>
      </c>
      <c r="R8" s="485">
        <v>0</v>
      </c>
      <c r="S8" s="518">
        <f>$C$6*SUM(C8:D8)+$E$6*SUM(E8:F8)+$G$6*SUM(G8:H8)+$I$6*SUM(I8:J8)+$K$6*SUM(K8:L8)+$M$6*SUM(M8:N8)+$O$6*SUM(O8:P8)+$Q$6*SUM(Q8:R8)</f>
        <v>160632553.17999998</v>
      </c>
    </row>
    <row r="9" spans="1:19" s="162" customFormat="1">
      <c r="A9" s="122">
        <v>2</v>
      </c>
      <c r="B9" s="178" t="s">
        <v>217</v>
      </c>
      <c r="C9" s="484">
        <v>0</v>
      </c>
      <c r="D9" s="484">
        <v>0</v>
      </c>
      <c r="E9" s="484">
        <v>0</v>
      </c>
      <c r="F9" s="484">
        <v>0</v>
      </c>
      <c r="G9" s="484">
        <v>0</v>
      </c>
      <c r="H9" s="484">
        <v>0</v>
      </c>
      <c r="I9" s="484">
        <v>0</v>
      </c>
      <c r="J9" s="484">
        <v>0</v>
      </c>
      <c r="K9" s="484">
        <v>0</v>
      </c>
      <c r="L9" s="484">
        <v>0</v>
      </c>
      <c r="M9" s="484">
        <v>0</v>
      </c>
      <c r="N9" s="484">
        <v>0</v>
      </c>
      <c r="O9" s="484">
        <v>0</v>
      </c>
      <c r="P9" s="484">
        <v>0</v>
      </c>
      <c r="Q9" s="484">
        <v>0</v>
      </c>
      <c r="R9" s="485">
        <v>0</v>
      </c>
      <c r="S9" s="518">
        <f t="shared" ref="S9:S21" si="0">$C$6*SUM(C9:D9)+$E$6*SUM(E9:F9)+$G$6*SUM(G9:H9)+$I$6*SUM(I9:J9)+$K$6*SUM(K9:L9)+$M$6*SUM(M9:N9)+$O$6*SUM(O9:P9)+$Q$6*SUM(Q9:R9)</f>
        <v>0</v>
      </c>
    </row>
    <row r="10" spans="1:19" s="162" customFormat="1">
      <c r="A10" s="122">
        <v>3</v>
      </c>
      <c r="B10" s="178" t="s">
        <v>218</v>
      </c>
      <c r="C10" s="484">
        <v>0</v>
      </c>
      <c r="D10" s="484">
        <v>0</v>
      </c>
      <c r="E10" s="484">
        <v>0</v>
      </c>
      <c r="F10" s="484">
        <v>0</v>
      </c>
      <c r="G10" s="484">
        <v>0</v>
      </c>
      <c r="H10" s="484">
        <v>0</v>
      </c>
      <c r="I10" s="484">
        <v>0</v>
      </c>
      <c r="J10" s="484">
        <v>0</v>
      </c>
      <c r="K10" s="484">
        <v>0</v>
      </c>
      <c r="L10" s="484">
        <v>0</v>
      </c>
      <c r="M10" s="484">
        <v>0</v>
      </c>
      <c r="N10" s="484">
        <v>0</v>
      </c>
      <c r="O10" s="484">
        <v>0</v>
      </c>
      <c r="P10" s="484">
        <v>0</v>
      </c>
      <c r="Q10" s="484">
        <v>0</v>
      </c>
      <c r="R10" s="485">
        <v>0</v>
      </c>
      <c r="S10" s="518">
        <f t="shared" si="0"/>
        <v>0</v>
      </c>
    </row>
    <row r="11" spans="1:19" s="162" customFormat="1">
      <c r="A11" s="122">
        <v>4</v>
      </c>
      <c r="B11" s="178" t="s">
        <v>219</v>
      </c>
      <c r="C11" s="484">
        <v>0</v>
      </c>
      <c r="D11" s="484">
        <v>0</v>
      </c>
      <c r="E11" s="484">
        <v>0</v>
      </c>
      <c r="F11" s="484">
        <v>0</v>
      </c>
      <c r="G11" s="484">
        <v>0</v>
      </c>
      <c r="H11" s="484">
        <v>0</v>
      </c>
      <c r="I11" s="484">
        <v>0</v>
      </c>
      <c r="J11" s="484">
        <v>0</v>
      </c>
      <c r="K11" s="484">
        <v>0</v>
      </c>
      <c r="L11" s="484">
        <v>0</v>
      </c>
      <c r="M11" s="484">
        <v>0</v>
      </c>
      <c r="N11" s="484">
        <v>0</v>
      </c>
      <c r="O11" s="484">
        <v>0</v>
      </c>
      <c r="P11" s="484">
        <v>0</v>
      </c>
      <c r="Q11" s="484">
        <v>0</v>
      </c>
      <c r="R11" s="485">
        <v>0</v>
      </c>
      <c r="S11" s="518">
        <f t="shared" si="0"/>
        <v>0</v>
      </c>
    </row>
    <row r="12" spans="1:19" s="162" customFormat="1">
      <c r="A12" s="122">
        <v>5</v>
      </c>
      <c r="B12" s="178" t="s">
        <v>220</v>
      </c>
      <c r="C12" s="484">
        <v>0</v>
      </c>
      <c r="D12" s="484">
        <v>0</v>
      </c>
      <c r="E12" s="484">
        <v>0</v>
      </c>
      <c r="F12" s="484">
        <v>0</v>
      </c>
      <c r="G12" s="484">
        <v>0</v>
      </c>
      <c r="H12" s="484">
        <v>0</v>
      </c>
      <c r="I12" s="484">
        <v>0</v>
      </c>
      <c r="J12" s="484">
        <v>0</v>
      </c>
      <c r="K12" s="484">
        <v>0</v>
      </c>
      <c r="L12" s="484">
        <v>0</v>
      </c>
      <c r="M12" s="484">
        <v>0</v>
      </c>
      <c r="N12" s="484">
        <v>0</v>
      </c>
      <c r="O12" s="484">
        <v>0</v>
      </c>
      <c r="P12" s="484">
        <v>0</v>
      </c>
      <c r="Q12" s="484">
        <v>0</v>
      </c>
      <c r="R12" s="485">
        <v>0</v>
      </c>
      <c r="S12" s="518">
        <f t="shared" si="0"/>
        <v>0</v>
      </c>
    </row>
    <row r="13" spans="1:19" s="162" customFormat="1">
      <c r="A13" s="122">
        <v>6</v>
      </c>
      <c r="B13" s="178" t="s">
        <v>221</v>
      </c>
      <c r="C13" s="484">
        <v>0</v>
      </c>
      <c r="D13" s="484">
        <v>0</v>
      </c>
      <c r="E13" s="484">
        <v>19117498.190000001</v>
      </c>
      <c r="F13" s="484">
        <v>0</v>
      </c>
      <c r="G13" s="484">
        <v>0</v>
      </c>
      <c r="H13" s="484">
        <v>0</v>
      </c>
      <c r="I13" s="484">
        <v>27188159.600000001</v>
      </c>
      <c r="J13" s="484">
        <v>0</v>
      </c>
      <c r="K13" s="484">
        <v>0</v>
      </c>
      <c r="L13" s="484">
        <v>0</v>
      </c>
      <c r="M13" s="484">
        <v>3540432.13</v>
      </c>
      <c r="N13" s="484">
        <v>0</v>
      </c>
      <c r="O13" s="484">
        <v>0</v>
      </c>
      <c r="P13" s="484">
        <v>0</v>
      </c>
      <c r="Q13" s="484">
        <v>0</v>
      </c>
      <c r="R13" s="485">
        <v>0</v>
      </c>
      <c r="S13" s="518">
        <f t="shared" si="0"/>
        <v>20958011.568</v>
      </c>
    </row>
    <row r="14" spans="1:19" s="162" customFormat="1">
      <c r="A14" s="122">
        <v>7</v>
      </c>
      <c r="B14" s="178" t="s">
        <v>73</v>
      </c>
      <c r="C14" s="484">
        <v>0</v>
      </c>
      <c r="D14" s="484">
        <v>0</v>
      </c>
      <c r="E14" s="484">
        <v>0</v>
      </c>
      <c r="F14" s="484">
        <v>0</v>
      </c>
      <c r="G14" s="484">
        <v>0</v>
      </c>
      <c r="H14" s="484">
        <v>0</v>
      </c>
      <c r="I14" s="484">
        <v>0</v>
      </c>
      <c r="J14" s="484">
        <v>0</v>
      </c>
      <c r="K14" s="484">
        <v>0</v>
      </c>
      <c r="L14" s="484">
        <v>0</v>
      </c>
      <c r="M14" s="484">
        <v>499291172.15000039</v>
      </c>
      <c r="N14" s="484">
        <v>30411480.424999997</v>
      </c>
      <c r="O14" s="484">
        <v>0</v>
      </c>
      <c r="P14" s="484">
        <v>0</v>
      </c>
      <c r="Q14" s="484">
        <v>0</v>
      </c>
      <c r="R14" s="485">
        <v>0</v>
      </c>
      <c r="S14" s="518">
        <f t="shared" si="0"/>
        <v>529702652.57500041</v>
      </c>
    </row>
    <row r="15" spans="1:19" s="162" customFormat="1">
      <c r="A15" s="122">
        <v>8</v>
      </c>
      <c r="B15" s="178" t="s">
        <v>74</v>
      </c>
      <c r="C15" s="484">
        <v>0</v>
      </c>
      <c r="D15" s="484">
        <v>0</v>
      </c>
      <c r="E15" s="484">
        <v>0</v>
      </c>
      <c r="F15" s="484">
        <v>0</v>
      </c>
      <c r="G15" s="484">
        <v>0</v>
      </c>
      <c r="H15" s="484">
        <v>0</v>
      </c>
      <c r="I15" s="484">
        <v>0</v>
      </c>
      <c r="J15" s="484">
        <v>0</v>
      </c>
      <c r="K15" s="484">
        <v>262120804.50999969</v>
      </c>
      <c r="L15" s="484">
        <v>5773450.0859999983</v>
      </c>
      <c r="M15" s="484">
        <v>0</v>
      </c>
      <c r="N15" s="484">
        <v>0</v>
      </c>
      <c r="O15" s="484">
        <v>0</v>
      </c>
      <c r="P15" s="484">
        <v>0</v>
      </c>
      <c r="Q15" s="484">
        <v>0</v>
      </c>
      <c r="R15" s="485">
        <v>0</v>
      </c>
      <c r="S15" s="518">
        <f t="shared" si="0"/>
        <v>200920690.94699976</v>
      </c>
    </row>
    <row r="16" spans="1:19" s="162" customFormat="1">
      <c r="A16" s="122">
        <v>9</v>
      </c>
      <c r="B16" s="178" t="s">
        <v>75</v>
      </c>
      <c r="C16" s="484">
        <v>0</v>
      </c>
      <c r="D16" s="484">
        <v>0</v>
      </c>
      <c r="E16" s="484">
        <v>0</v>
      </c>
      <c r="F16" s="484">
        <v>0</v>
      </c>
      <c r="G16" s="484">
        <v>125974659.57000011</v>
      </c>
      <c r="H16" s="484">
        <v>849831.09000000008</v>
      </c>
      <c r="I16" s="484">
        <v>0</v>
      </c>
      <c r="J16" s="484">
        <v>0</v>
      </c>
      <c r="K16" s="484">
        <v>0</v>
      </c>
      <c r="L16" s="484">
        <v>0</v>
      </c>
      <c r="M16" s="484">
        <v>0</v>
      </c>
      <c r="N16" s="484">
        <v>0</v>
      </c>
      <c r="O16" s="484">
        <v>0</v>
      </c>
      <c r="P16" s="484">
        <v>0</v>
      </c>
      <c r="Q16" s="484">
        <v>0</v>
      </c>
      <c r="R16" s="485">
        <v>0</v>
      </c>
      <c r="S16" s="518">
        <f t="shared" si="0"/>
        <v>44388571.731000036</v>
      </c>
    </row>
    <row r="17" spans="1:19" s="162" customFormat="1">
      <c r="A17" s="122">
        <v>10</v>
      </c>
      <c r="B17" s="178" t="s">
        <v>69</v>
      </c>
      <c r="C17" s="484">
        <v>0</v>
      </c>
      <c r="D17" s="484">
        <v>0</v>
      </c>
      <c r="E17" s="484">
        <v>0</v>
      </c>
      <c r="F17" s="484">
        <v>0</v>
      </c>
      <c r="G17" s="484">
        <v>0</v>
      </c>
      <c r="H17" s="484">
        <v>0</v>
      </c>
      <c r="I17" s="484">
        <v>2743477.2800000003</v>
      </c>
      <c r="J17" s="484">
        <v>0</v>
      </c>
      <c r="K17" s="484">
        <v>0</v>
      </c>
      <c r="L17" s="484">
        <v>0</v>
      </c>
      <c r="M17" s="484">
        <v>8469997.650000006</v>
      </c>
      <c r="N17" s="484">
        <v>0</v>
      </c>
      <c r="O17" s="484">
        <v>622627.62000000011</v>
      </c>
      <c r="P17" s="484">
        <v>0</v>
      </c>
      <c r="Q17" s="484">
        <v>0</v>
      </c>
      <c r="R17" s="485">
        <v>0</v>
      </c>
      <c r="S17" s="518">
        <f t="shared" si="0"/>
        <v>10775677.720000006</v>
      </c>
    </row>
    <row r="18" spans="1:19" s="162" customFormat="1">
      <c r="A18" s="122">
        <v>11</v>
      </c>
      <c r="B18" s="178" t="s">
        <v>70</v>
      </c>
      <c r="C18" s="484">
        <v>0</v>
      </c>
      <c r="D18" s="484">
        <v>0</v>
      </c>
      <c r="E18" s="484">
        <v>0</v>
      </c>
      <c r="F18" s="484">
        <v>0</v>
      </c>
      <c r="G18" s="484">
        <v>0</v>
      </c>
      <c r="H18" s="484">
        <v>0</v>
      </c>
      <c r="I18" s="484">
        <v>0</v>
      </c>
      <c r="J18" s="484">
        <v>0</v>
      </c>
      <c r="K18" s="484">
        <v>0</v>
      </c>
      <c r="L18" s="484">
        <v>0</v>
      </c>
      <c r="M18" s="484">
        <v>36030171.320000008</v>
      </c>
      <c r="N18" s="484">
        <v>0</v>
      </c>
      <c r="O18" s="484">
        <v>9240398.3400000893</v>
      </c>
      <c r="P18" s="484">
        <v>0</v>
      </c>
      <c r="Q18" s="484">
        <v>0</v>
      </c>
      <c r="R18" s="485">
        <v>0</v>
      </c>
      <c r="S18" s="518">
        <f t="shared" si="0"/>
        <v>49890768.83000014</v>
      </c>
    </row>
    <row r="19" spans="1:19" s="162" customFormat="1">
      <c r="A19" s="122">
        <v>12</v>
      </c>
      <c r="B19" s="178" t="s">
        <v>71</v>
      </c>
      <c r="C19" s="484">
        <v>0</v>
      </c>
      <c r="D19" s="484">
        <v>0</v>
      </c>
      <c r="E19" s="484">
        <v>0</v>
      </c>
      <c r="F19" s="484">
        <v>0</v>
      </c>
      <c r="G19" s="484">
        <v>0</v>
      </c>
      <c r="H19" s="484">
        <v>0</v>
      </c>
      <c r="I19" s="484">
        <v>0</v>
      </c>
      <c r="J19" s="484">
        <v>0</v>
      </c>
      <c r="K19" s="484">
        <v>0</v>
      </c>
      <c r="L19" s="484">
        <v>0</v>
      </c>
      <c r="M19" s="484">
        <v>0</v>
      </c>
      <c r="N19" s="484">
        <v>0</v>
      </c>
      <c r="O19" s="484">
        <v>0</v>
      </c>
      <c r="P19" s="484">
        <v>0</v>
      </c>
      <c r="Q19" s="484">
        <v>0</v>
      </c>
      <c r="R19" s="485">
        <v>0</v>
      </c>
      <c r="S19" s="518">
        <f t="shared" si="0"/>
        <v>0</v>
      </c>
    </row>
    <row r="20" spans="1:19" s="162" customFormat="1">
      <c r="A20" s="122">
        <v>13</v>
      </c>
      <c r="B20" s="178" t="s">
        <v>72</v>
      </c>
      <c r="C20" s="484">
        <v>0</v>
      </c>
      <c r="D20" s="484">
        <v>0</v>
      </c>
      <c r="E20" s="484">
        <v>0</v>
      </c>
      <c r="F20" s="484">
        <v>0</v>
      </c>
      <c r="G20" s="484">
        <v>0</v>
      </c>
      <c r="H20" s="484">
        <v>0</v>
      </c>
      <c r="I20" s="484">
        <v>0</v>
      </c>
      <c r="J20" s="484">
        <v>0</v>
      </c>
      <c r="K20" s="484">
        <v>0</v>
      </c>
      <c r="L20" s="484">
        <v>0</v>
      </c>
      <c r="M20" s="484">
        <v>0</v>
      </c>
      <c r="N20" s="484">
        <v>0</v>
      </c>
      <c r="O20" s="484">
        <v>0</v>
      </c>
      <c r="P20" s="484">
        <v>0</v>
      </c>
      <c r="Q20" s="484">
        <v>0</v>
      </c>
      <c r="R20" s="485">
        <v>0</v>
      </c>
      <c r="S20" s="518">
        <f t="shared" si="0"/>
        <v>0</v>
      </c>
    </row>
    <row r="21" spans="1:19" s="162" customFormat="1">
      <c r="A21" s="122">
        <v>14</v>
      </c>
      <c r="B21" s="178" t="s">
        <v>249</v>
      </c>
      <c r="C21" s="484">
        <v>35270184.62000002</v>
      </c>
      <c r="D21" s="484">
        <v>0</v>
      </c>
      <c r="E21" s="484">
        <v>628158.84000000008</v>
      </c>
      <c r="F21" s="484">
        <v>0</v>
      </c>
      <c r="G21" s="484">
        <v>0</v>
      </c>
      <c r="H21" s="484">
        <v>0</v>
      </c>
      <c r="I21" s="484">
        <v>0</v>
      </c>
      <c r="J21" s="484">
        <v>0</v>
      </c>
      <c r="K21" s="484">
        <v>0</v>
      </c>
      <c r="L21" s="484">
        <v>0</v>
      </c>
      <c r="M21" s="484">
        <v>32291601.150000028</v>
      </c>
      <c r="N21" s="484">
        <v>0</v>
      </c>
      <c r="O21" s="484">
        <v>0</v>
      </c>
      <c r="P21" s="484">
        <v>0</v>
      </c>
      <c r="Q21" s="484">
        <v>0</v>
      </c>
      <c r="R21" s="485">
        <v>0</v>
      </c>
      <c r="S21" s="518">
        <f t="shared" si="0"/>
        <v>32417232.918000028</v>
      </c>
    </row>
    <row r="22" spans="1:19" ht="13.5" thickBot="1">
      <c r="A22" s="104"/>
      <c r="B22" s="164" t="s">
        <v>68</v>
      </c>
      <c r="C22" s="278">
        <f>SUM(C8:C21)</f>
        <v>135961289.06000006</v>
      </c>
      <c r="D22" s="278">
        <f t="shared" ref="D22:S22" si="1">SUM(D8:D21)</f>
        <v>0</v>
      </c>
      <c r="E22" s="278">
        <f t="shared" si="1"/>
        <v>19745657.030000001</v>
      </c>
      <c r="F22" s="278">
        <f t="shared" si="1"/>
        <v>0</v>
      </c>
      <c r="G22" s="278">
        <f t="shared" si="1"/>
        <v>125974659.57000011</v>
      </c>
      <c r="H22" s="278">
        <f t="shared" si="1"/>
        <v>849831.09000000008</v>
      </c>
      <c r="I22" s="278">
        <f t="shared" si="1"/>
        <v>29931636.880000003</v>
      </c>
      <c r="J22" s="278">
        <f t="shared" si="1"/>
        <v>0</v>
      </c>
      <c r="K22" s="278">
        <f t="shared" si="1"/>
        <v>262120804.50999969</v>
      </c>
      <c r="L22" s="278">
        <f t="shared" si="1"/>
        <v>5773450.0859999983</v>
      </c>
      <c r="M22" s="278">
        <f t="shared" si="1"/>
        <v>740255927.5800004</v>
      </c>
      <c r="N22" s="278">
        <f t="shared" si="1"/>
        <v>30411480.424999997</v>
      </c>
      <c r="O22" s="278">
        <f t="shared" si="1"/>
        <v>9863025.9600000903</v>
      </c>
      <c r="P22" s="278">
        <f t="shared" si="1"/>
        <v>0</v>
      </c>
      <c r="Q22" s="278">
        <f t="shared" si="1"/>
        <v>0</v>
      </c>
      <c r="R22" s="278">
        <f t="shared" si="1"/>
        <v>0</v>
      </c>
      <c r="S22" s="519">
        <f t="shared" si="1"/>
        <v>1049686159.4690005</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Q7" activePane="bottomRight" state="frozen"/>
      <selection pane="topRight" activeCell="C1" sqref="C1"/>
      <selection pane="bottomLeft" activeCell="A6" sqref="A6"/>
      <selection pane="bottomRight" activeCell="C7" sqref="C7:V21"/>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188</v>
      </c>
      <c r="B1" s="325" t="str">
        <f ca="1">Info!C2</f>
        <v>ს.ს. "ტერაბანკი"</v>
      </c>
    </row>
    <row r="2" spans="1:22">
      <c r="A2" s="2" t="s">
        <v>189</v>
      </c>
      <c r="B2" s="457">
        <f>'1. key ratios'!B2</f>
        <v>44286</v>
      </c>
    </row>
    <row r="4" spans="1:22" ht="27.75" thickBot="1">
      <c r="A4" s="2" t="s">
        <v>339</v>
      </c>
      <c r="B4" s="293" t="s">
        <v>361</v>
      </c>
      <c r="V4" s="205" t="s">
        <v>93</v>
      </c>
    </row>
    <row r="5" spans="1:22">
      <c r="A5" s="102"/>
      <c r="B5" s="103"/>
      <c r="C5" s="560" t="s">
        <v>198</v>
      </c>
      <c r="D5" s="561"/>
      <c r="E5" s="561"/>
      <c r="F5" s="561"/>
      <c r="G5" s="561"/>
      <c r="H5" s="561"/>
      <c r="I5" s="561"/>
      <c r="J5" s="561"/>
      <c r="K5" s="561"/>
      <c r="L5" s="562"/>
      <c r="M5" s="560" t="s">
        <v>199</v>
      </c>
      <c r="N5" s="561"/>
      <c r="O5" s="561"/>
      <c r="P5" s="561"/>
      <c r="Q5" s="561"/>
      <c r="R5" s="561"/>
      <c r="S5" s="562"/>
      <c r="T5" s="565" t="s">
        <v>359</v>
      </c>
      <c r="U5" s="565" t="s">
        <v>358</v>
      </c>
      <c r="V5" s="563" t="s">
        <v>200</v>
      </c>
    </row>
    <row r="6" spans="1:22" s="69" customFormat="1" ht="140.25">
      <c r="A6" s="120"/>
      <c r="B6" s="180"/>
      <c r="C6" s="100" t="s">
        <v>201</v>
      </c>
      <c r="D6" s="99" t="s">
        <v>202</v>
      </c>
      <c r="E6" s="96" t="s">
        <v>203</v>
      </c>
      <c r="F6" s="294" t="s">
        <v>353</v>
      </c>
      <c r="G6" s="99" t="s">
        <v>204</v>
      </c>
      <c r="H6" s="99" t="s">
        <v>205</v>
      </c>
      <c r="I6" s="99" t="s">
        <v>206</v>
      </c>
      <c r="J6" s="99" t="s">
        <v>248</v>
      </c>
      <c r="K6" s="99" t="s">
        <v>207</v>
      </c>
      <c r="L6" s="101" t="s">
        <v>208</v>
      </c>
      <c r="M6" s="100" t="s">
        <v>209</v>
      </c>
      <c r="N6" s="99" t="s">
        <v>210</v>
      </c>
      <c r="O6" s="99" t="s">
        <v>211</v>
      </c>
      <c r="P6" s="99" t="s">
        <v>212</v>
      </c>
      <c r="Q6" s="99" t="s">
        <v>213</v>
      </c>
      <c r="R6" s="99" t="s">
        <v>214</v>
      </c>
      <c r="S6" s="101" t="s">
        <v>215</v>
      </c>
      <c r="T6" s="566"/>
      <c r="U6" s="566"/>
      <c r="V6" s="564"/>
    </row>
    <row r="7" spans="1:22" s="162" customFormat="1">
      <c r="A7" s="163">
        <v>1</v>
      </c>
      <c r="B7" s="161" t="s">
        <v>216</v>
      </c>
      <c r="C7" s="486">
        <v>0</v>
      </c>
      <c r="D7" s="483">
        <v>0</v>
      </c>
      <c r="E7" s="483">
        <v>0</v>
      </c>
      <c r="F7" s="483">
        <v>0</v>
      </c>
      <c r="G7" s="483">
        <v>0</v>
      </c>
      <c r="H7" s="483">
        <v>0</v>
      </c>
      <c r="I7" s="483">
        <v>0</v>
      </c>
      <c r="J7" s="483">
        <v>0</v>
      </c>
      <c r="K7" s="483">
        <v>0</v>
      </c>
      <c r="L7" s="487">
        <v>0</v>
      </c>
      <c r="M7" s="486">
        <v>0</v>
      </c>
      <c r="N7" s="483">
        <v>0</v>
      </c>
      <c r="O7" s="483">
        <v>0</v>
      </c>
      <c r="P7" s="483">
        <v>0</v>
      </c>
      <c r="Q7" s="483">
        <v>0</v>
      </c>
      <c r="R7" s="483">
        <v>0</v>
      </c>
      <c r="S7" s="487">
        <v>0</v>
      </c>
      <c r="T7" s="488">
        <v>0</v>
      </c>
      <c r="U7" s="489">
        <v>0</v>
      </c>
      <c r="V7" s="279">
        <f>SUM(C7:S7)</f>
        <v>0</v>
      </c>
    </row>
    <row r="8" spans="1:22" s="162" customFormat="1">
      <c r="A8" s="163">
        <v>2</v>
      </c>
      <c r="B8" s="161" t="s">
        <v>217</v>
      </c>
      <c r="C8" s="486">
        <v>0</v>
      </c>
      <c r="D8" s="483">
        <v>0</v>
      </c>
      <c r="E8" s="483">
        <v>0</v>
      </c>
      <c r="F8" s="483">
        <v>0</v>
      </c>
      <c r="G8" s="483">
        <v>0</v>
      </c>
      <c r="H8" s="483">
        <v>0</v>
      </c>
      <c r="I8" s="483">
        <v>0</v>
      </c>
      <c r="J8" s="483">
        <v>0</v>
      </c>
      <c r="K8" s="483">
        <v>0</v>
      </c>
      <c r="L8" s="487">
        <v>0</v>
      </c>
      <c r="M8" s="486">
        <v>0</v>
      </c>
      <c r="N8" s="483">
        <v>0</v>
      </c>
      <c r="O8" s="483">
        <v>0</v>
      </c>
      <c r="P8" s="483">
        <v>0</v>
      </c>
      <c r="Q8" s="483">
        <v>0</v>
      </c>
      <c r="R8" s="483">
        <v>0</v>
      </c>
      <c r="S8" s="487">
        <v>0</v>
      </c>
      <c r="T8" s="489">
        <v>0</v>
      </c>
      <c r="U8" s="489">
        <v>0</v>
      </c>
      <c r="V8" s="279">
        <f t="shared" ref="V8:V20" si="0">SUM(C8:S8)</f>
        <v>0</v>
      </c>
    </row>
    <row r="9" spans="1:22" s="162" customFormat="1">
      <c r="A9" s="163">
        <v>3</v>
      </c>
      <c r="B9" s="161" t="s">
        <v>218</v>
      </c>
      <c r="C9" s="486">
        <v>0</v>
      </c>
      <c r="D9" s="483">
        <v>0</v>
      </c>
      <c r="E9" s="483">
        <v>0</v>
      </c>
      <c r="F9" s="483">
        <v>0</v>
      </c>
      <c r="G9" s="483">
        <v>0</v>
      </c>
      <c r="H9" s="483">
        <v>0</v>
      </c>
      <c r="I9" s="483">
        <v>0</v>
      </c>
      <c r="J9" s="483">
        <v>0</v>
      </c>
      <c r="K9" s="483">
        <v>0</v>
      </c>
      <c r="L9" s="487">
        <v>0</v>
      </c>
      <c r="M9" s="486">
        <v>0</v>
      </c>
      <c r="N9" s="483">
        <v>0</v>
      </c>
      <c r="O9" s="483">
        <v>0</v>
      </c>
      <c r="P9" s="483">
        <v>0</v>
      </c>
      <c r="Q9" s="483">
        <v>0</v>
      </c>
      <c r="R9" s="483">
        <v>0</v>
      </c>
      <c r="S9" s="487">
        <v>0</v>
      </c>
      <c r="T9" s="489">
        <v>0</v>
      </c>
      <c r="U9" s="489">
        <v>0</v>
      </c>
      <c r="V9" s="279">
        <f>SUM(C9:S9)</f>
        <v>0</v>
      </c>
    </row>
    <row r="10" spans="1:22" s="162" customFormat="1">
      <c r="A10" s="163">
        <v>4</v>
      </c>
      <c r="B10" s="161" t="s">
        <v>219</v>
      </c>
      <c r="C10" s="486">
        <v>0</v>
      </c>
      <c r="D10" s="483">
        <v>0</v>
      </c>
      <c r="E10" s="483">
        <v>0</v>
      </c>
      <c r="F10" s="483">
        <v>0</v>
      </c>
      <c r="G10" s="483">
        <v>0</v>
      </c>
      <c r="H10" s="483">
        <v>0</v>
      </c>
      <c r="I10" s="483">
        <v>0</v>
      </c>
      <c r="J10" s="483">
        <v>0</v>
      </c>
      <c r="K10" s="483">
        <v>0</v>
      </c>
      <c r="L10" s="487">
        <v>0</v>
      </c>
      <c r="M10" s="486">
        <v>0</v>
      </c>
      <c r="N10" s="483">
        <v>0</v>
      </c>
      <c r="O10" s="483">
        <v>0</v>
      </c>
      <c r="P10" s="483">
        <v>0</v>
      </c>
      <c r="Q10" s="483">
        <v>0</v>
      </c>
      <c r="R10" s="483">
        <v>0</v>
      </c>
      <c r="S10" s="487">
        <v>0</v>
      </c>
      <c r="T10" s="489">
        <v>0</v>
      </c>
      <c r="U10" s="489">
        <v>0</v>
      </c>
      <c r="V10" s="279">
        <f t="shared" si="0"/>
        <v>0</v>
      </c>
    </row>
    <row r="11" spans="1:22" s="162" customFormat="1">
      <c r="A11" s="163">
        <v>5</v>
      </c>
      <c r="B11" s="161" t="s">
        <v>220</v>
      </c>
      <c r="C11" s="486">
        <v>0</v>
      </c>
      <c r="D11" s="483">
        <v>0</v>
      </c>
      <c r="E11" s="483">
        <v>0</v>
      </c>
      <c r="F11" s="483">
        <v>0</v>
      </c>
      <c r="G11" s="483">
        <v>0</v>
      </c>
      <c r="H11" s="483">
        <v>0</v>
      </c>
      <c r="I11" s="483">
        <v>0</v>
      </c>
      <c r="J11" s="483">
        <v>0</v>
      </c>
      <c r="K11" s="483">
        <v>0</v>
      </c>
      <c r="L11" s="487">
        <v>0</v>
      </c>
      <c r="M11" s="486">
        <v>0</v>
      </c>
      <c r="N11" s="483">
        <v>0</v>
      </c>
      <c r="O11" s="483">
        <v>0</v>
      </c>
      <c r="P11" s="483">
        <v>0</v>
      </c>
      <c r="Q11" s="483">
        <v>0</v>
      </c>
      <c r="R11" s="483">
        <v>0</v>
      </c>
      <c r="S11" s="487">
        <v>0</v>
      </c>
      <c r="T11" s="489">
        <v>0</v>
      </c>
      <c r="U11" s="489">
        <v>0</v>
      </c>
      <c r="V11" s="279">
        <f t="shared" si="0"/>
        <v>0</v>
      </c>
    </row>
    <row r="12" spans="1:22" s="162" customFormat="1">
      <c r="A12" s="163">
        <v>6</v>
      </c>
      <c r="B12" s="161" t="s">
        <v>221</v>
      </c>
      <c r="C12" s="486">
        <v>0</v>
      </c>
      <c r="D12" s="483">
        <v>0</v>
      </c>
      <c r="E12" s="483">
        <v>0</v>
      </c>
      <c r="F12" s="483">
        <v>0</v>
      </c>
      <c r="G12" s="483">
        <v>0</v>
      </c>
      <c r="H12" s="483">
        <v>0</v>
      </c>
      <c r="I12" s="483">
        <v>0</v>
      </c>
      <c r="J12" s="483">
        <v>0</v>
      </c>
      <c r="K12" s="483">
        <v>0</v>
      </c>
      <c r="L12" s="487">
        <v>0</v>
      </c>
      <c r="M12" s="486">
        <v>0</v>
      </c>
      <c r="N12" s="483">
        <v>0</v>
      </c>
      <c r="O12" s="483">
        <v>0</v>
      </c>
      <c r="P12" s="483">
        <v>0</v>
      </c>
      <c r="Q12" s="483">
        <v>0</v>
      </c>
      <c r="R12" s="483">
        <v>0</v>
      </c>
      <c r="S12" s="487">
        <v>0</v>
      </c>
      <c r="T12" s="489">
        <v>0</v>
      </c>
      <c r="U12" s="489">
        <v>0</v>
      </c>
      <c r="V12" s="279">
        <f t="shared" si="0"/>
        <v>0</v>
      </c>
    </row>
    <row r="13" spans="1:22" s="162" customFormat="1">
      <c r="A13" s="163">
        <v>7</v>
      </c>
      <c r="B13" s="161" t="s">
        <v>73</v>
      </c>
      <c r="C13" s="486">
        <v>0</v>
      </c>
      <c r="D13" s="483">
        <v>37253140.359999999</v>
      </c>
      <c r="E13" s="483">
        <v>0</v>
      </c>
      <c r="F13" s="483">
        <v>0</v>
      </c>
      <c r="G13" s="483">
        <v>0</v>
      </c>
      <c r="H13" s="483">
        <v>0</v>
      </c>
      <c r="I13" s="483">
        <v>0</v>
      </c>
      <c r="J13" s="483">
        <v>0</v>
      </c>
      <c r="K13" s="483">
        <v>0</v>
      </c>
      <c r="L13" s="487">
        <v>0</v>
      </c>
      <c r="M13" s="486">
        <v>0</v>
      </c>
      <c r="N13" s="483">
        <v>0</v>
      </c>
      <c r="O13" s="483">
        <v>0</v>
      </c>
      <c r="P13" s="483">
        <v>0</v>
      </c>
      <c r="Q13" s="483">
        <v>0</v>
      </c>
      <c r="R13" s="483">
        <v>0</v>
      </c>
      <c r="S13" s="487">
        <v>0</v>
      </c>
      <c r="T13" s="489">
        <v>25662199.390000001</v>
      </c>
      <c r="U13" s="489">
        <v>11590940.969999999</v>
      </c>
      <c r="V13" s="279">
        <f t="shared" si="0"/>
        <v>37253140.359999999</v>
      </c>
    </row>
    <row r="14" spans="1:22" s="162" customFormat="1">
      <c r="A14" s="163">
        <v>8</v>
      </c>
      <c r="B14" s="161" t="s">
        <v>74</v>
      </c>
      <c r="C14" s="486">
        <v>0</v>
      </c>
      <c r="D14" s="483">
        <v>3278647.7047499996</v>
      </c>
      <c r="E14" s="483">
        <v>0</v>
      </c>
      <c r="F14" s="483">
        <v>0</v>
      </c>
      <c r="G14" s="483">
        <v>0</v>
      </c>
      <c r="H14" s="483">
        <v>0</v>
      </c>
      <c r="I14" s="483">
        <v>0</v>
      </c>
      <c r="J14" s="483">
        <v>0</v>
      </c>
      <c r="K14" s="483">
        <v>0</v>
      </c>
      <c r="L14" s="487">
        <v>0</v>
      </c>
      <c r="M14" s="486">
        <v>0</v>
      </c>
      <c r="N14" s="483">
        <v>0</v>
      </c>
      <c r="O14" s="483">
        <v>0</v>
      </c>
      <c r="P14" s="483">
        <v>0</v>
      </c>
      <c r="Q14" s="483">
        <v>0</v>
      </c>
      <c r="R14" s="483">
        <v>0</v>
      </c>
      <c r="S14" s="487">
        <v>0</v>
      </c>
      <c r="T14" s="489">
        <v>2645599.6574999997</v>
      </c>
      <c r="U14" s="489">
        <v>633048.04725000006</v>
      </c>
      <c r="V14" s="279">
        <f t="shared" si="0"/>
        <v>3278647.7047499996</v>
      </c>
    </row>
    <row r="15" spans="1:22" s="162" customFormat="1">
      <c r="A15" s="163">
        <v>9</v>
      </c>
      <c r="B15" s="161" t="s">
        <v>75</v>
      </c>
      <c r="C15" s="486">
        <v>0</v>
      </c>
      <c r="D15" s="483">
        <v>0</v>
      </c>
      <c r="E15" s="483">
        <v>0</v>
      </c>
      <c r="F15" s="483">
        <v>0</v>
      </c>
      <c r="G15" s="483">
        <v>0</v>
      </c>
      <c r="H15" s="483">
        <v>0</v>
      </c>
      <c r="I15" s="483">
        <v>0</v>
      </c>
      <c r="J15" s="483">
        <v>0</v>
      </c>
      <c r="K15" s="483">
        <v>0</v>
      </c>
      <c r="L15" s="487">
        <v>0</v>
      </c>
      <c r="M15" s="486">
        <v>0</v>
      </c>
      <c r="N15" s="483">
        <v>0</v>
      </c>
      <c r="O15" s="483">
        <v>0</v>
      </c>
      <c r="P15" s="483">
        <v>0</v>
      </c>
      <c r="Q15" s="483">
        <v>0</v>
      </c>
      <c r="R15" s="483">
        <v>0</v>
      </c>
      <c r="S15" s="487">
        <v>0</v>
      </c>
      <c r="T15" s="489">
        <v>0</v>
      </c>
      <c r="U15" s="489">
        <v>0</v>
      </c>
      <c r="V15" s="279">
        <f t="shared" si="0"/>
        <v>0</v>
      </c>
    </row>
    <row r="16" spans="1:22" s="162" customFormat="1">
      <c r="A16" s="163">
        <v>10</v>
      </c>
      <c r="B16" s="161" t="s">
        <v>69</v>
      </c>
      <c r="C16" s="486">
        <v>0</v>
      </c>
      <c r="D16" s="483">
        <v>295792.14</v>
      </c>
      <c r="E16" s="483">
        <v>0</v>
      </c>
      <c r="F16" s="483">
        <v>0</v>
      </c>
      <c r="G16" s="483">
        <v>0</v>
      </c>
      <c r="H16" s="483">
        <v>0</v>
      </c>
      <c r="I16" s="483">
        <v>0</v>
      </c>
      <c r="J16" s="483">
        <v>0</v>
      </c>
      <c r="K16" s="483">
        <v>0</v>
      </c>
      <c r="L16" s="487">
        <v>0</v>
      </c>
      <c r="M16" s="486">
        <v>0</v>
      </c>
      <c r="N16" s="483">
        <v>0</v>
      </c>
      <c r="O16" s="483">
        <v>0</v>
      </c>
      <c r="P16" s="483">
        <v>0</v>
      </c>
      <c r="Q16" s="483">
        <v>0</v>
      </c>
      <c r="R16" s="483">
        <v>0</v>
      </c>
      <c r="S16" s="487">
        <v>0</v>
      </c>
      <c r="T16" s="489">
        <v>295792.14</v>
      </c>
      <c r="U16" s="489">
        <v>0</v>
      </c>
      <c r="V16" s="279">
        <f t="shared" si="0"/>
        <v>295792.14</v>
      </c>
    </row>
    <row r="17" spans="1:22" s="162" customFormat="1">
      <c r="A17" s="163">
        <v>11</v>
      </c>
      <c r="B17" s="161" t="s">
        <v>70</v>
      </c>
      <c r="C17" s="486">
        <v>0</v>
      </c>
      <c r="D17" s="483">
        <v>30030.03000000001</v>
      </c>
      <c r="E17" s="483">
        <v>0</v>
      </c>
      <c r="F17" s="483">
        <v>0</v>
      </c>
      <c r="G17" s="483">
        <v>0</v>
      </c>
      <c r="H17" s="483">
        <v>0</v>
      </c>
      <c r="I17" s="483">
        <v>0</v>
      </c>
      <c r="J17" s="483">
        <v>0</v>
      </c>
      <c r="K17" s="483">
        <v>0</v>
      </c>
      <c r="L17" s="487">
        <v>0</v>
      </c>
      <c r="M17" s="486">
        <v>0</v>
      </c>
      <c r="N17" s="483">
        <v>0</v>
      </c>
      <c r="O17" s="483">
        <v>0</v>
      </c>
      <c r="P17" s="483">
        <v>0</v>
      </c>
      <c r="Q17" s="483">
        <v>0</v>
      </c>
      <c r="R17" s="483">
        <v>0</v>
      </c>
      <c r="S17" s="487">
        <v>0</v>
      </c>
      <c r="T17" s="489">
        <v>30030.03000000001</v>
      </c>
      <c r="U17" s="489">
        <v>0</v>
      </c>
      <c r="V17" s="279">
        <f t="shared" si="0"/>
        <v>30030.03000000001</v>
      </c>
    </row>
    <row r="18" spans="1:22" s="162" customFormat="1">
      <c r="A18" s="163">
        <v>12</v>
      </c>
      <c r="B18" s="161" t="s">
        <v>71</v>
      </c>
      <c r="C18" s="486">
        <v>0</v>
      </c>
      <c r="D18" s="483">
        <v>0</v>
      </c>
      <c r="E18" s="483">
        <v>0</v>
      </c>
      <c r="F18" s="483">
        <v>0</v>
      </c>
      <c r="G18" s="483">
        <v>0</v>
      </c>
      <c r="H18" s="483">
        <v>0</v>
      </c>
      <c r="I18" s="483">
        <v>0</v>
      </c>
      <c r="J18" s="483">
        <v>0</v>
      </c>
      <c r="K18" s="483">
        <v>0</v>
      </c>
      <c r="L18" s="487">
        <v>0</v>
      </c>
      <c r="M18" s="486">
        <v>0</v>
      </c>
      <c r="N18" s="483">
        <v>0</v>
      </c>
      <c r="O18" s="483">
        <v>0</v>
      </c>
      <c r="P18" s="483">
        <v>0</v>
      </c>
      <c r="Q18" s="483">
        <v>0</v>
      </c>
      <c r="R18" s="483">
        <v>0</v>
      </c>
      <c r="S18" s="487">
        <v>0</v>
      </c>
      <c r="T18" s="489">
        <v>0</v>
      </c>
      <c r="U18" s="489">
        <v>0</v>
      </c>
      <c r="V18" s="279">
        <f t="shared" si="0"/>
        <v>0</v>
      </c>
    </row>
    <row r="19" spans="1:22" s="162" customFormat="1">
      <c r="A19" s="163">
        <v>13</v>
      </c>
      <c r="B19" s="161" t="s">
        <v>72</v>
      </c>
      <c r="C19" s="486">
        <v>0</v>
      </c>
      <c r="D19" s="483">
        <v>0</v>
      </c>
      <c r="E19" s="483">
        <v>0</v>
      </c>
      <c r="F19" s="483">
        <v>0</v>
      </c>
      <c r="G19" s="483">
        <v>0</v>
      </c>
      <c r="H19" s="483">
        <v>0</v>
      </c>
      <c r="I19" s="483">
        <v>0</v>
      </c>
      <c r="J19" s="483">
        <v>0</v>
      </c>
      <c r="K19" s="483">
        <v>0</v>
      </c>
      <c r="L19" s="487">
        <v>0</v>
      </c>
      <c r="M19" s="486">
        <v>0</v>
      </c>
      <c r="N19" s="483">
        <v>0</v>
      </c>
      <c r="O19" s="483">
        <v>0</v>
      </c>
      <c r="P19" s="483">
        <v>0</v>
      </c>
      <c r="Q19" s="483">
        <v>0</v>
      </c>
      <c r="R19" s="483">
        <v>0</v>
      </c>
      <c r="S19" s="487">
        <v>0</v>
      </c>
      <c r="T19" s="489">
        <v>0</v>
      </c>
      <c r="U19" s="489">
        <v>0</v>
      </c>
      <c r="V19" s="279">
        <f t="shared" si="0"/>
        <v>0</v>
      </c>
    </row>
    <row r="20" spans="1:22" s="162" customFormat="1">
      <c r="A20" s="163">
        <v>14</v>
      </c>
      <c r="B20" s="161" t="s">
        <v>249</v>
      </c>
      <c r="C20" s="486">
        <v>0</v>
      </c>
      <c r="D20" s="483">
        <v>0</v>
      </c>
      <c r="E20" s="483">
        <v>0</v>
      </c>
      <c r="F20" s="483">
        <v>0</v>
      </c>
      <c r="G20" s="483">
        <v>0</v>
      </c>
      <c r="H20" s="483">
        <v>0</v>
      </c>
      <c r="I20" s="483">
        <v>0</v>
      </c>
      <c r="J20" s="483">
        <v>0</v>
      </c>
      <c r="K20" s="483">
        <v>0</v>
      </c>
      <c r="L20" s="487">
        <v>0</v>
      </c>
      <c r="M20" s="486">
        <v>0</v>
      </c>
      <c r="N20" s="483">
        <v>0</v>
      </c>
      <c r="O20" s="483">
        <v>0</v>
      </c>
      <c r="P20" s="483">
        <v>0</v>
      </c>
      <c r="Q20" s="483">
        <v>0</v>
      </c>
      <c r="R20" s="483">
        <v>0</v>
      </c>
      <c r="S20" s="487">
        <v>0</v>
      </c>
      <c r="T20" s="489">
        <v>0</v>
      </c>
      <c r="U20" s="489">
        <v>0</v>
      </c>
      <c r="V20" s="279">
        <f t="shared" si="0"/>
        <v>0</v>
      </c>
    </row>
    <row r="21" spans="1:22" ht="13.5" thickBot="1">
      <c r="A21" s="104"/>
      <c r="B21" s="105" t="s">
        <v>68</v>
      </c>
      <c r="C21" s="280">
        <f>SUM(C7:C20)</f>
        <v>0</v>
      </c>
      <c r="D21" s="278">
        <f t="shared" ref="D21:V21" si="1">SUM(D7:D20)</f>
        <v>40857610.234750003</v>
      </c>
      <c r="E21" s="278">
        <f t="shared" si="1"/>
        <v>0</v>
      </c>
      <c r="F21" s="278">
        <f t="shared" si="1"/>
        <v>0</v>
      </c>
      <c r="G21" s="278">
        <f t="shared" si="1"/>
        <v>0</v>
      </c>
      <c r="H21" s="278">
        <f t="shared" si="1"/>
        <v>0</v>
      </c>
      <c r="I21" s="278">
        <f t="shared" si="1"/>
        <v>0</v>
      </c>
      <c r="J21" s="278">
        <f t="shared" si="1"/>
        <v>0</v>
      </c>
      <c r="K21" s="278">
        <f t="shared" si="1"/>
        <v>0</v>
      </c>
      <c r="L21" s="281">
        <f t="shared" si="1"/>
        <v>0</v>
      </c>
      <c r="M21" s="280">
        <f t="shared" si="1"/>
        <v>0</v>
      </c>
      <c r="N21" s="278">
        <f t="shared" si="1"/>
        <v>0</v>
      </c>
      <c r="O21" s="278">
        <f t="shared" si="1"/>
        <v>0</v>
      </c>
      <c r="P21" s="278">
        <f t="shared" si="1"/>
        <v>0</v>
      </c>
      <c r="Q21" s="278">
        <f t="shared" si="1"/>
        <v>0</v>
      </c>
      <c r="R21" s="278">
        <f t="shared" si="1"/>
        <v>0</v>
      </c>
      <c r="S21" s="281">
        <f t="shared" si="1"/>
        <v>0</v>
      </c>
      <c r="T21" s="281">
        <f>SUM(T7:T20)</f>
        <v>28633621.217500001</v>
      </c>
      <c r="U21" s="281">
        <f t="shared" si="1"/>
        <v>12223989.01725</v>
      </c>
      <c r="V21" s="282">
        <f t="shared" si="1"/>
        <v>40857610.234750003</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H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188</v>
      </c>
      <c r="B1" s="325" t="str">
        <f ca="1">Info!C2</f>
        <v>ს.ს. "ტერაბანკი"</v>
      </c>
    </row>
    <row r="2" spans="1:9">
      <c r="A2" s="2" t="s">
        <v>189</v>
      </c>
      <c r="B2" s="457">
        <f>'1. key ratios'!B2</f>
        <v>44286</v>
      </c>
    </row>
    <row r="4" spans="1:9" ht="13.5" thickBot="1">
      <c r="A4" s="2" t="s">
        <v>340</v>
      </c>
      <c r="B4" s="290" t="s">
        <v>362</v>
      </c>
    </row>
    <row r="5" spans="1:9">
      <c r="A5" s="102"/>
      <c r="B5" s="159"/>
      <c r="C5" s="165" t="s">
        <v>0</v>
      </c>
      <c r="D5" s="165" t="s">
        <v>1</v>
      </c>
      <c r="E5" s="165" t="s">
        <v>2</v>
      </c>
      <c r="F5" s="165" t="s">
        <v>3</v>
      </c>
      <c r="G5" s="288" t="s">
        <v>4</v>
      </c>
      <c r="H5" s="166" t="s">
        <v>5</v>
      </c>
      <c r="I5" s="25"/>
    </row>
    <row r="6" spans="1:9" ht="15" customHeight="1">
      <c r="A6" s="158"/>
      <c r="B6" s="23"/>
      <c r="C6" s="567" t="s">
        <v>354</v>
      </c>
      <c r="D6" s="571" t="s">
        <v>364</v>
      </c>
      <c r="E6" s="572"/>
      <c r="F6" s="567" t="s">
        <v>365</v>
      </c>
      <c r="G6" s="567" t="s">
        <v>366</v>
      </c>
      <c r="H6" s="569" t="s">
        <v>356</v>
      </c>
      <c r="I6" s="25"/>
    </row>
    <row r="7" spans="1:9" ht="76.5">
      <c r="A7" s="158"/>
      <c r="B7" s="23"/>
      <c r="C7" s="568"/>
      <c r="D7" s="289" t="s">
        <v>357</v>
      </c>
      <c r="E7" s="289" t="s">
        <v>355</v>
      </c>
      <c r="F7" s="568"/>
      <c r="G7" s="568"/>
      <c r="H7" s="570"/>
      <c r="I7" s="25"/>
    </row>
    <row r="8" spans="1:9">
      <c r="A8" s="93">
        <v>1</v>
      </c>
      <c r="B8" s="75" t="s">
        <v>216</v>
      </c>
      <c r="C8" s="490">
        <v>261323657.62</v>
      </c>
      <c r="D8" s="491">
        <v>0</v>
      </c>
      <c r="E8" s="490">
        <v>0</v>
      </c>
      <c r="F8" s="490">
        <v>160632553.17999998</v>
      </c>
      <c r="G8" s="492">
        <v>160632553.17999998</v>
      </c>
      <c r="H8" s="295">
        <f>G8/(C8+E8)</f>
        <v>0.61468814053407084</v>
      </c>
    </row>
    <row r="9" spans="1:9" ht="15" customHeight="1">
      <c r="A9" s="93">
        <v>2</v>
      </c>
      <c r="B9" s="75" t="s">
        <v>217</v>
      </c>
      <c r="C9" s="490">
        <v>0</v>
      </c>
      <c r="D9" s="491">
        <v>0</v>
      </c>
      <c r="E9" s="490">
        <v>0</v>
      </c>
      <c r="F9" s="490">
        <v>0</v>
      </c>
      <c r="G9" s="492">
        <v>0</v>
      </c>
      <c r="H9" s="295"/>
    </row>
    <row r="10" spans="1:9">
      <c r="A10" s="93">
        <v>3</v>
      </c>
      <c r="B10" s="75" t="s">
        <v>218</v>
      </c>
      <c r="C10" s="490">
        <v>0</v>
      </c>
      <c r="D10" s="491">
        <v>0</v>
      </c>
      <c r="E10" s="490">
        <v>0</v>
      </c>
      <c r="F10" s="490">
        <v>0</v>
      </c>
      <c r="G10" s="492">
        <v>0</v>
      </c>
      <c r="H10" s="295"/>
    </row>
    <row r="11" spans="1:9">
      <c r="A11" s="93">
        <v>4</v>
      </c>
      <c r="B11" s="75" t="s">
        <v>219</v>
      </c>
      <c r="C11" s="490">
        <v>0</v>
      </c>
      <c r="D11" s="491">
        <v>0</v>
      </c>
      <c r="E11" s="490">
        <v>0</v>
      </c>
      <c r="F11" s="490">
        <v>0</v>
      </c>
      <c r="G11" s="492">
        <v>0</v>
      </c>
      <c r="H11" s="295"/>
    </row>
    <row r="12" spans="1:9">
      <c r="A12" s="93">
        <v>5</v>
      </c>
      <c r="B12" s="75" t="s">
        <v>220</v>
      </c>
      <c r="C12" s="490">
        <v>0</v>
      </c>
      <c r="D12" s="491">
        <v>0</v>
      </c>
      <c r="E12" s="490">
        <v>0</v>
      </c>
      <c r="F12" s="490">
        <v>0</v>
      </c>
      <c r="G12" s="492">
        <v>0</v>
      </c>
      <c r="H12" s="295"/>
    </row>
    <row r="13" spans="1:9">
      <c r="A13" s="93">
        <v>6</v>
      </c>
      <c r="B13" s="75" t="s">
        <v>221</v>
      </c>
      <c r="C13" s="490">
        <v>49846089.920000009</v>
      </c>
      <c r="D13" s="491">
        <v>0</v>
      </c>
      <c r="E13" s="490">
        <v>0</v>
      </c>
      <c r="F13" s="490">
        <v>20958011.568</v>
      </c>
      <c r="G13" s="492">
        <v>20958011.568</v>
      </c>
      <c r="H13" s="295">
        <f t="shared" ref="H13:H21" si="0">G13/(C13+E13)</f>
        <v>0.42045447499766492</v>
      </c>
    </row>
    <row r="14" spans="1:9">
      <c r="A14" s="93">
        <v>7</v>
      </c>
      <c r="B14" s="75" t="s">
        <v>73</v>
      </c>
      <c r="C14" s="490">
        <v>499291172.15000039</v>
      </c>
      <c r="D14" s="491">
        <v>55403547.479999997</v>
      </c>
      <c r="E14" s="490">
        <v>30411480.424999997</v>
      </c>
      <c r="F14" s="491">
        <v>529702652.57500041</v>
      </c>
      <c r="G14" s="493">
        <v>492449512.21500039</v>
      </c>
      <c r="H14" s="295">
        <f>G14/(C14+E14)</f>
        <v>0.92967159937956823</v>
      </c>
    </row>
    <row r="15" spans="1:9">
      <c r="A15" s="93">
        <v>8</v>
      </c>
      <c r="B15" s="75" t="s">
        <v>74</v>
      </c>
      <c r="C15" s="490">
        <v>262120804.50999969</v>
      </c>
      <c r="D15" s="491">
        <v>12882689.710000005</v>
      </c>
      <c r="E15" s="490">
        <v>5773450.0859999983</v>
      </c>
      <c r="F15" s="491">
        <v>200920690.94699976</v>
      </c>
      <c r="G15" s="493">
        <v>197642043.24224976</v>
      </c>
      <c r="H15" s="295">
        <f t="shared" si="0"/>
        <v>0.73776141089813818</v>
      </c>
    </row>
    <row r="16" spans="1:9">
      <c r="A16" s="93">
        <v>9</v>
      </c>
      <c r="B16" s="75" t="s">
        <v>75</v>
      </c>
      <c r="C16" s="490">
        <v>125974659.57000011</v>
      </c>
      <c r="D16" s="491">
        <v>1389509.4700000002</v>
      </c>
      <c r="E16" s="490">
        <v>849831.09000000008</v>
      </c>
      <c r="F16" s="491">
        <v>44388571.731000036</v>
      </c>
      <c r="G16" s="493">
        <v>44388571.731000036</v>
      </c>
      <c r="H16" s="295">
        <f t="shared" si="0"/>
        <v>0.35</v>
      </c>
    </row>
    <row r="17" spans="1:8">
      <c r="A17" s="93">
        <v>10</v>
      </c>
      <c r="B17" s="75" t="s">
        <v>69</v>
      </c>
      <c r="C17" s="490">
        <v>11836102.550000008</v>
      </c>
      <c r="D17" s="491">
        <v>0</v>
      </c>
      <c r="E17" s="490">
        <v>0</v>
      </c>
      <c r="F17" s="491">
        <v>10775677.720000006</v>
      </c>
      <c r="G17" s="493">
        <v>10479885.580000006</v>
      </c>
      <c r="H17" s="295">
        <f t="shared" si="0"/>
        <v>0.88541692974770636</v>
      </c>
    </row>
    <row r="18" spans="1:8">
      <c r="A18" s="93">
        <v>11</v>
      </c>
      <c r="B18" s="75" t="s">
        <v>70</v>
      </c>
      <c r="C18" s="490">
        <v>45270569.660000101</v>
      </c>
      <c r="D18" s="491">
        <v>0</v>
      </c>
      <c r="E18" s="490">
        <v>0</v>
      </c>
      <c r="F18" s="491">
        <v>49890768.83000014</v>
      </c>
      <c r="G18" s="493">
        <v>49860738.800000139</v>
      </c>
      <c r="H18" s="295">
        <f t="shared" si="0"/>
        <v>1.1013941104446889</v>
      </c>
    </row>
    <row r="19" spans="1:8">
      <c r="A19" s="93">
        <v>12</v>
      </c>
      <c r="B19" s="75" t="s">
        <v>71</v>
      </c>
      <c r="C19" s="490">
        <v>0</v>
      </c>
      <c r="D19" s="491">
        <v>0</v>
      </c>
      <c r="E19" s="490">
        <v>0</v>
      </c>
      <c r="F19" s="491">
        <v>0</v>
      </c>
      <c r="G19" s="493">
        <v>0</v>
      </c>
      <c r="H19" s="295"/>
    </row>
    <row r="20" spans="1:8">
      <c r="A20" s="93">
        <v>13</v>
      </c>
      <c r="B20" s="75" t="s">
        <v>72</v>
      </c>
      <c r="C20" s="490">
        <v>0</v>
      </c>
      <c r="D20" s="491">
        <v>0</v>
      </c>
      <c r="E20" s="490">
        <v>0</v>
      </c>
      <c r="F20" s="491">
        <v>0</v>
      </c>
      <c r="G20" s="493">
        <v>0</v>
      </c>
      <c r="H20" s="295"/>
    </row>
    <row r="21" spans="1:8">
      <c r="A21" s="93">
        <v>14</v>
      </c>
      <c r="B21" s="75" t="s">
        <v>249</v>
      </c>
      <c r="C21" s="490">
        <v>68189944.610000044</v>
      </c>
      <c r="D21" s="491">
        <v>0</v>
      </c>
      <c r="E21" s="490">
        <v>0</v>
      </c>
      <c r="F21" s="491">
        <v>32417232.918000028</v>
      </c>
      <c r="G21" s="493">
        <v>32417232.918000028</v>
      </c>
      <c r="H21" s="295">
        <f t="shared" si="0"/>
        <v>0.4753960881388668</v>
      </c>
    </row>
    <row r="22" spans="1:8" ht="13.5" thickBot="1">
      <c r="A22" s="160"/>
      <c r="B22" s="167" t="s">
        <v>68</v>
      </c>
      <c r="C22" s="494">
        <f>SUM(C8:C21)</f>
        <v>1323853000.5900004</v>
      </c>
      <c r="D22" s="278">
        <f>SUM(D8:D21)</f>
        <v>69675746.659999996</v>
      </c>
      <c r="E22" s="278">
        <f>SUM(E8:E21)</f>
        <v>37034761.600999996</v>
      </c>
      <c r="F22" s="278">
        <f>SUM(F8:F21)</f>
        <v>1049686159.4690005</v>
      </c>
      <c r="G22" s="278">
        <f>SUM(G8:G21)</f>
        <v>1008828549.2342503</v>
      </c>
      <c r="H22" s="296">
        <f t="shared" ref="H22" si="1">IFERROR(G22/(C22+E22),"")</f>
        <v>0.74130180111992316</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K8" sqref="C8:K25"/>
    </sheetView>
  </sheetViews>
  <sheetFormatPr defaultColWidth="9.140625" defaultRowHeight="12.75"/>
  <cols>
    <col min="1" max="1" width="10.5703125" style="325" bestFit="1" customWidth="1"/>
    <col min="2" max="2" width="104.140625" style="325" customWidth="1"/>
    <col min="3" max="4" width="12.7109375" style="325" customWidth="1"/>
    <col min="5" max="5" width="13.5703125" style="325" bestFit="1" customWidth="1"/>
    <col min="6" max="11" width="12.7109375" style="325" customWidth="1"/>
    <col min="12" max="16384" width="9.140625" style="325"/>
  </cols>
  <sheetData>
    <row r="1" spans="1:11">
      <c r="A1" s="325" t="s">
        <v>188</v>
      </c>
      <c r="B1" s="325" t="str">
        <f ca="1">Info!C2</f>
        <v>ს.ს. "ტერაბანკი"</v>
      </c>
    </row>
    <row r="2" spans="1:11">
      <c r="A2" s="325" t="s">
        <v>189</v>
      </c>
      <c r="B2" s="457">
        <f>'1. key ratios'!B2</f>
        <v>44286</v>
      </c>
      <c r="C2" s="326"/>
      <c r="D2" s="326"/>
    </row>
    <row r="3" spans="1:11">
      <c r="B3" s="326"/>
      <c r="C3" s="326"/>
      <c r="D3" s="326"/>
    </row>
    <row r="4" spans="1:11" ht="13.5" thickBot="1">
      <c r="A4" s="325" t="s">
        <v>395</v>
      </c>
      <c r="B4" s="290" t="s">
        <v>394</v>
      </c>
      <c r="C4" s="326"/>
      <c r="D4" s="326"/>
    </row>
    <row r="5" spans="1:11" ht="30" customHeight="1">
      <c r="A5" s="576"/>
      <c r="B5" s="577"/>
      <c r="C5" s="574" t="s">
        <v>426</v>
      </c>
      <c r="D5" s="574"/>
      <c r="E5" s="574"/>
      <c r="F5" s="574" t="s">
        <v>427</v>
      </c>
      <c r="G5" s="574"/>
      <c r="H5" s="574"/>
      <c r="I5" s="574" t="s">
        <v>428</v>
      </c>
      <c r="J5" s="574"/>
      <c r="K5" s="575"/>
    </row>
    <row r="6" spans="1:11">
      <c r="A6" s="323"/>
      <c r="B6" s="324"/>
      <c r="C6" s="327" t="s">
        <v>27</v>
      </c>
      <c r="D6" s="327" t="s">
        <v>96</v>
      </c>
      <c r="E6" s="327" t="s">
        <v>68</v>
      </c>
      <c r="F6" s="327" t="s">
        <v>27</v>
      </c>
      <c r="G6" s="327" t="s">
        <v>96</v>
      </c>
      <c r="H6" s="327" t="s">
        <v>68</v>
      </c>
      <c r="I6" s="327" t="s">
        <v>27</v>
      </c>
      <c r="J6" s="327" t="s">
        <v>96</v>
      </c>
      <c r="K6" s="328" t="s">
        <v>68</v>
      </c>
    </row>
    <row r="7" spans="1:11">
      <c r="A7" s="329" t="s">
        <v>374</v>
      </c>
      <c r="B7" s="322"/>
      <c r="C7" s="495"/>
      <c r="D7" s="495"/>
      <c r="E7" s="495"/>
      <c r="F7" s="495"/>
      <c r="G7" s="495"/>
      <c r="H7" s="495"/>
      <c r="I7" s="495"/>
      <c r="J7" s="495"/>
      <c r="K7" s="496"/>
    </row>
    <row r="8" spans="1:11">
      <c r="A8" s="321">
        <v>1</v>
      </c>
      <c r="B8" s="302" t="s">
        <v>374</v>
      </c>
      <c r="C8" s="497"/>
      <c r="D8" s="497"/>
      <c r="E8" s="497"/>
      <c r="F8" s="498">
        <v>76560244.286444411</v>
      </c>
      <c r="G8" s="498">
        <v>212703788.52752665</v>
      </c>
      <c r="H8" s="498">
        <v>289264032.8139711</v>
      </c>
      <c r="I8" s="498">
        <v>73644103.165666625</v>
      </c>
      <c r="J8" s="498">
        <v>178559375.86600441</v>
      </c>
      <c r="K8" s="499">
        <v>252203479.03167105</v>
      </c>
    </row>
    <row r="9" spans="1:11">
      <c r="A9" s="329" t="s">
        <v>375</v>
      </c>
      <c r="B9" s="322"/>
      <c r="C9" s="495"/>
      <c r="D9" s="495"/>
      <c r="E9" s="495"/>
      <c r="F9" s="495"/>
      <c r="G9" s="495"/>
      <c r="H9" s="495"/>
      <c r="I9" s="495"/>
      <c r="J9" s="495"/>
      <c r="K9" s="496"/>
    </row>
    <row r="10" spans="1:11">
      <c r="A10" s="330">
        <v>2</v>
      </c>
      <c r="B10" s="303" t="s">
        <v>376</v>
      </c>
      <c r="C10" s="461">
        <v>84909397.327557668</v>
      </c>
      <c r="D10" s="500">
        <v>310789773.56997716</v>
      </c>
      <c r="E10" s="500">
        <v>395699170.89753485</v>
      </c>
      <c r="F10" s="500">
        <v>13690862.183603484</v>
      </c>
      <c r="G10" s="500">
        <v>58223612.700495966</v>
      </c>
      <c r="H10" s="500">
        <v>71914474.884099454</v>
      </c>
      <c r="I10" s="500">
        <v>3447796.2390328273</v>
      </c>
      <c r="J10" s="500">
        <v>12628781.192801191</v>
      </c>
      <c r="K10" s="501">
        <v>16076577.431834018</v>
      </c>
    </row>
    <row r="11" spans="1:11">
      <c r="A11" s="330">
        <v>3</v>
      </c>
      <c r="B11" s="303" t="s">
        <v>377</v>
      </c>
      <c r="C11" s="461">
        <v>190443518.19979995</v>
      </c>
      <c r="D11" s="500">
        <v>412353449.61609459</v>
      </c>
      <c r="E11" s="500">
        <v>602796967.8158946</v>
      </c>
      <c r="F11" s="500">
        <v>57018068.554749116</v>
      </c>
      <c r="G11" s="500">
        <v>115647047.80891013</v>
      </c>
      <c r="H11" s="500">
        <v>172665116.36365926</v>
      </c>
      <c r="I11" s="500">
        <v>48313229.154873326</v>
      </c>
      <c r="J11" s="500">
        <v>99576971.566560045</v>
      </c>
      <c r="K11" s="501">
        <v>147890200.72143337</v>
      </c>
    </row>
    <row r="12" spans="1:11">
      <c r="A12" s="330">
        <v>4</v>
      </c>
      <c r="B12" s="303" t="s">
        <v>378</v>
      </c>
      <c r="C12" s="461">
        <v>76675555.555555552</v>
      </c>
      <c r="D12" s="500">
        <v>0</v>
      </c>
      <c r="E12" s="500">
        <v>76675555.555555552</v>
      </c>
      <c r="F12" s="500">
        <v>0</v>
      </c>
      <c r="G12" s="500">
        <v>0</v>
      </c>
      <c r="H12" s="500">
        <v>0</v>
      </c>
      <c r="I12" s="500">
        <v>0</v>
      </c>
      <c r="J12" s="500">
        <v>0</v>
      </c>
      <c r="K12" s="501">
        <v>0</v>
      </c>
    </row>
    <row r="13" spans="1:11">
      <c r="A13" s="330">
        <v>5</v>
      </c>
      <c r="B13" s="303" t="s">
        <v>379</v>
      </c>
      <c r="C13" s="461">
        <v>36477380.450444452</v>
      </c>
      <c r="D13" s="500">
        <v>31095987.742945556</v>
      </c>
      <c r="E13" s="500">
        <v>67573368.193390012</v>
      </c>
      <c r="F13" s="500">
        <v>5518607.0621777782</v>
      </c>
      <c r="G13" s="500">
        <v>5065640.2294943389</v>
      </c>
      <c r="H13" s="500">
        <v>10584247.291672118</v>
      </c>
      <c r="I13" s="500">
        <v>2149735.6536055556</v>
      </c>
      <c r="J13" s="500">
        <v>2099324.6472021667</v>
      </c>
      <c r="K13" s="501">
        <v>4249060.3008077219</v>
      </c>
    </row>
    <row r="14" spans="1:11">
      <c r="A14" s="330">
        <v>6</v>
      </c>
      <c r="B14" s="303" t="s">
        <v>393</v>
      </c>
      <c r="C14" s="461">
        <v>5563829.5843333332</v>
      </c>
      <c r="D14" s="500">
        <v>11007454.230729999</v>
      </c>
      <c r="E14" s="500">
        <v>16571283.815063331</v>
      </c>
      <c r="F14" s="500">
        <v>0</v>
      </c>
      <c r="G14" s="500">
        <v>0</v>
      </c>
      <c r="H14" s="500">
        <v>0</v>
      </c>
      <c r="I14" s="500">
        <v>0</v>
      </c>
      <c r="J14" s="500">
        <v>0</v>
      </c>
      <c r="K14" s="501">
        <v>0</v>
      </c>
    </row>
    <row r="15" spans="1:11">
      <c r="A15" s="330">
        <v>7</v>
      </c>
      <c r="B15" s="303" t="s">
        <v>380</v>
      </c>
      <c r="C15" s="461">
        <v>6373479.1881111115</v>
      </c>
      <c r="D15" s="500">
        <v>5506784.4276733333</v>
      </c>
      <c r="E15" s="500">
        <v>11880263.615784444</v>
      </c>
      <c r="F15" s="500">
        <v>2122732.0425555557</v>
      </c>
      <c r="G15" s="500">
        <v>2141801.3474266664</v>
      </c>
      <c r="H15" s="500">
        <v>4264533.3899822216</v>
      </c>
      <c r="I15" s="500">
        <v>2122732.0425555557</v>
      </c>
      <c r="J15" s="500">
        <v>2141801.3474266664</v>
      </c>
      <c r="K15" s="501">
        <v>4264533.3899822216</v>
      </c>
    </row>
    <row r="16" spans="1:11">
      <c r="A16" s="330">
        <v>8</v>
      </c>
      <c r="B16" s="304" t="s">
        <v>381</v>
      </c>
      <c r="C16" s="461">
        <v>400443160.30580211</v>
      </c>
      <c r="D16" s="500">
        <v>770753449.5874207</v>
      </c>
      <c r="E16" s="500">
        <v>1171196609.8932228</v>
      </c>
      <c r="F16" s="500">
        <v>78350269.84308593</v>
      </c>
      <c r="G16" s="500">
        <v>181078102.08632708</v>
      </c>
      <c r="H16" s="500">
        <v>259428371.92941302</v>
      </c>
      <c r="I16" s="500">
        <v>56033493.090067267</v>
      </c>
      <c r="J16" s="500">
        <v>116446878.75399007</v>
      </c>
      <c r="K16" s="501">
        <v>172480371.84405732</v>
      </c>
    </row>
    <row r="17" spans="1:11">
      <c r="A17" s="329" t="s">
        <v>382</v>
      </c>
      <c r="B17" s="322"/>
      <c r="C17" s="495"/>
      <c r="D17" s="495"/>
      <c r="E17" s="495"/>
      <c r="F17" s="495"/>
      <c r="G17" s="495"/>
      <c r="H17" s="495"/>
      <c r="I17" s="495"/>
      <c r="J17" s="495"/>
      <c r="K17" s="496"/>
    </row>
    <row r="18" spans="1:11">
      <c r="A18" s="330">
        <v>9</v>
      </c>
      <c r="B18" s="303" t="s">
        <v>383</v>
      </c>
      <c r="C18" s="461">
        <v>0</v>
      </c>
      <c r="D18" s="500">
        <v>0</v>
      </c>
      <c r="E18" s="500">
        <v>0</v>
      </c>
      <c r="F18" s="500">
        <v>0</v>
      </c>
      <c r="G18" s="500">
        <v>0</v>
      </c>
      <c r="H18" s="500">
        <v>0</v>
      </c>
      <c r="I18" s="500">
        <v>0</v>
      </c>
      <c r="J18" s="500">
        <v>0</v>
      </c>
      <c r="K18" s="501">
        <v>0</v>
      </c>
    </row>
    <row r="19" spans="1:11">
      <c r="A19" s="330">
        <v>10</v>
      </c>
      <c r="B19" s="303" t="s">
        <v>384</v>
      </c>
      <c r="C19" s="461">
        <v>249959090.37177736</v>
      </c>
      <c r="D19" s="500">
        <v>456648433.41713226</v>
      </c>
      <c r="E19" s="500">
        <v>706607523.78890967</v>
      </c>
      <c r="F19" s="500">
        <v>7501863.1991111115</v>
      </c>
      <c r="G19" s="500">
        <v>6375868.9223888889</v>
      </c>
      <c r="H19" s="500">
        <v>13877732.1215</v>
      </c>
      <c r="I19" s="500">
        <v>10418004.31988889</v>
      </c>
      <c r="J19" s="500">
        <v>42541584.097298883</v>
      </c>
      <c r="K19" s="501">
        <v>52959588.417187773</v>
      </c>
    </row>
    <row r="20" spans="1:11">
      <c r="A20" s="330">
        <v>11</v>
      </c>
      <c r="B20" s="303" t="s">
        <v>385</v>
      </c>
      <c r="C20" s="461">
        <v>12087671.035666667</v>
      </c>
      <c r="D20" s="500">
        <v>899783.19058222219</v>
      </c>
      <c r="E20" s="500">
        <v>12987454.226248888</v>
      </c>
      <c r="F20" s="500">
        <v>4401586.7467777785</v>
      </c>
      <c r="G20" s="500">
        <v>370757.20169444446</v>
      </c>
      <c r="H20" s="500">
        <v>4772343.9484722232</v>
      </c>
      <c r="I20" s="500">
        <v>4401586.7467777785</v>
      </c>
      <c r="J20" s="500">
        <v>370757.20169444446</v>
      </c>
      <c r="K20" s="501">
        <v>4772343.9484722232</v>
      </c>
    </row>
    <row r="21" spans="1:11" ht="13.5" thickBot="1">
      <c r="A21" s="224">
        <v>12</v>
      </c>
      <c r="B21" s="331" t="s">
        <v>386</v>
      </c>
      <c r="C21" s="502">
        <v>262046761.40744403</v>
      </c>
      <c r="D21" s="503">
        <v>457548216.60771447</v>
      </c>
      <c r="E21" s="502">
        <v>719594978.01515853</v>
      </c>
      <c r="F21" s="503">
        <v>11903449.94588889</v>
      </c>
      <c r="G21" s="503">
        <v>6746626.1240833336</v>
      </c>
      <c r="H21" s="503">
        <v>18650076.069972225</v>
      </c>
      <c r="I21" s="503">
        <v>14819591.066666668</v>
      </c>
      <c r="J21" s="503">
        <v>42912341.298993327</v>
      </c>
      <c r="K21" s="504">
        <v>57731932.365659997</v>
      </c>
    </row>
    <row r="22" spans="1:11" ht="38.25" customHeight="1" thickBot="1">
      <c r="A22" s="319"/>
      <c r="B22" s="320"/>
      <c r="C22" s="320"/>
      <c r="D22" s="320"/>
      <c r="E22" s="320"/>
      <c r="F22" s="573" t="s">
        <v>387</v>
      </c>
      <c r="G22" s="574"/>
      <c r="H22" s="574"/>
      <c r="I22" s="573" t="s">
        <v>388</v>
      </c>
      <c r="J22" s="574"/>
      <c r="K22" s="575"/>
    </row>
    <row r="23" spans="1:11">
      <c r="A23" s="310">
        <v>13</v>
      </c>
      <c r="B23" s="305" t="s">
        <v>374</v>
      </c>
      <c r="C23" s="318"/>
      <c r="D23" s="318"/>
      <c r="E23" s="318"/>
      <c r="F23" s="306">
        <v>76560244.286444411</v>
      </c>
      <c r="G23" s="306">
        <v>212703788.52752665</v>
      </c>
      <c r="H23" s="306">
        <v>289264032.8139711</v>
      </c>
      <c r="I23" s="306">
        <v>73644103.165666625</v>
      </c>
      <c r="J23" s="306">
        <v>178559375.86600441</v>
      </c>
      <c r="K23" s="311">
        <v>252203479.03167105</v>
      </c>
    </row>
    <row r="24" spans="1:11" ht="13.5" thickBot="1">
      <c r="A24" s="312">
        <v>14</v>
      </c>
      <c r="B24" s="307" t="s">
        <v>389</v>
      </c>
      <c r="C24" s="332"/>
      <c r="D24" s="316"/>
      <c r="E24" s="317"/>
      <c r="F24" s="308">
        <v>66446819.897197038</v>
      </c>
      <c r="G24" s="308">
        <v>174331475.96224374</v>
      </c>
      <c r="H24" s="308">
        <v>240778295.8594408</v>
      </c>
      <c r="I24" s="308">
        <v>41213902.023400597</v>
      </c>
      <c r="J24" s="308">
        <v>73534537.454996735</v>
      </c>
      <c r="K24" s="313">
        <v>114748439.47839732</v>
      </c>
    </row>
    <row r="25" spans="1:11" ht="13.5" thickBot="1">
      <c r="A25" s="314">
        <v>15</v>
      </c>
      <c r="B25" s="309" t="s">
        <v>390</v>
      </c>
      <c r="C25" s="315"/>
      <c r="D25" s="315"/>
      <c r="E25" s="315"/>
      <c r="F25" s="505">
        <v>1.1522032868524683</v>
      </c>
      <c r="G25" s="505">
        <v>1.2201112125821356</v>
      </c>
      <c r="H25" s="505">
        <v>1.2013708784733439</v>
      </c>
      <c r="I25" s="506">
        <v>1.7868752908630849</v>
      </c>
      <c r="J25" s="506">
        <v>2.4282382407760852</v>
      </c>
      <c r="K25" s="507">
        <v>2.1978815588089211</v>
      </c>
    </row>
    <row r="28" spans="1:11" ht="38.25">
      <c r="B28" s="24" t="s">
        <v>425</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N7" sqref="C7:N21"/>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188</v>
      </c>
      <c r="B1" s="70" t="str">
        <f ca="1">Info!C2</f>
        <v>ს.ს. "ტერაბანკი"</v>
      </c>
    </row>
    <row r="2" spans="1:14" ht="14.25" customHeight="1">
      <c r="A2" s="70" t="s">
        <v>189</v>
      </c>
      <c r="B2" s="457">
        <f>'1. key ratios'!B2</f>
        <v>44286</v>
      </c>
    </row>
    <row r="3" spans="1:14" ht="14.25" customHeight="1"/>
    <row r="4" spans="1:14" ht="15.75" thickBot="1">
      <c r="A4" s="2" t="s">
        <v>341</v>
      </c>
      <c r="B4" s="95" t="s">
        <v>77</v>
      </c>
    </row>
    <row r="5" spans="1:14" s="26" customFormat="1" ht="12.75">
      <c r="A5" s="174"/>
      <c r="B5" s="175"/>
      <c r="C5" s="176" t="s">
        <v>0</v>
      </c>
      <c r="D5" s="176" t="s">
        <v>1</v>
      </c>
      <c r="E5" s="176" t="s">
        <v>2</v>
      </c>
      <c r="F5" s="176" t="s">
        <v>3</v>
      </c>
      <c r="G5" s="176" t="s">
        <v>4</v>
      </c>
      <c r="H5" s="176" t="s">
        <v>5</v>
      </c>
      <c r="I5" s="176" t="s">
        <v>238</v>
      </c>
      <c r="J5" s="176" t="s">
        <v>239</v>
      </c>
      <c r="K5" s="176" t="s">
        <v>240</v>
      </c>
      <c r="L5" s="176" t="s">
        <v>241</v>
      </c>
      <c r="M5" s="176" t="s">
        <v>242</v>
      </c>
      <c r="N5" s="177" t="s">
        <v>243</v>
      </c>
    </row>
    <row r="6" spans="1:14" ht="45">
      <c r="A6" s="168"/>
      <c r="B6" s="107"/>
      <c r="C6" s="108" t="s">
        <v>87</v>
      </c>
      <c r="D6" s="109" t="s">
        <v>76</v>
      </c>
      <c r="E6" s="110" t="s">
        <v>86</v>
      </c>
      <c r="F6" s="111">
        <v>0</v>
      </c>
      <c r="G6" s="111">
        <v>0.2</v>
      </c>
      <c r="H6" s="111">
        <v>0.35</v>
      </c>
      <c r="I6" s="111">
        <v>0.5</v>
      </c>
      <c r="J6" s="111">
        <v>0.75</v>
      </c>
      <c r="K6" s="111">
        <v>1</v>
      </c>
      <c r="L6" s="111">
        <v>1.5</v>
      </c>
      <c r="M6" s="111">
        <v>2.5</v>
      </c>
      <c r="N6" s="169" t="s">
        <v>77</v>
      </c>
    </row>
    <row r="7" spans="1:14">
      <c r="A7" s="170">
        <v>1</v>
      </c>
      <c r="B7" s="112" t="s">
        <v>78</v>
      </c>
      <c r="C7" s="283">
        <f>SUM(C8:C13)</f>
        <v>77840424.799999997</v>
      </c>
      <c r="D7" s="107"/>
      <c r="E7" s="510">
        <f t="shared" ref="E7:M7" si="0">SUM(E8:E13)</f>
        <v>1556808.496</v>
      </c>
      <c r="F7" s="510">
        <f>SUM(F8:F13)</f>
        <v>0</v>
      </c>
      <c r="G7" s="510">
        <f t="shared" si="0"/>
        <v>0</v>
      </c>
      <c r="H7" s="510">
        <f t="shared" si="0"/>
        <v>0</v>
      </c>
      <c r="I7" s="510">
        <f t="shared" si="0"/>
        <v>0</v>
      </c>
      <c r="J7" s="510">
        <f t="shared" si="0"/>
        <v>0</v>
      </c>
      <c r="K7" s="510">
        <f t="shared" si="0"/>
        <v>1556808.496</v>
      </c>
      <c r="L7" s="510">
        <f t="shared" si="0"/>
        <v>0</v>
      </c>
      <c r="M7" s="510">
        <f t="shared" si="0"/>
        <v>0</v>
      </c>
      <c r="N7" s="511">
        <f>SUM(N8:N13)</f>
        <v>1556808.496</v>
      </c>
    </row>
    <row r="8" spans="1:14">
      <c r="A8" s="170">
        <v>1.1000000000000001</v>
      </c>
      <c r="B8" s="113" t="s">
        <v>79</v>
      </c>
      <c r="C8" s="284">
        <v>77840424.799999997</v>
      </c>
      <c r="D8" s="114">
        <v>0.02</v>
      </c>
      <c r="E8" s="510">
        <f>C8*D8</f>
        <v>1556808.496</v>
      </c>
      <c r="F8" s="512">
        <v>0</v>
      </c>
      <c r="G8" s="512">
        <v>0</v>
      </c>
      <c r="H8" s="512">
        <v>0</v>
      </c>
      <c r="I8" s="512">
        <v>0</v>
      </c>
      <c r="J8" s="512">
        <v>0</v>
      </c>
      <c r="K8" s="512">
        <v>1556808.496</v>
      </c>
      <c r="L8" s="512">
        <v>0</v>
      </c>
      <c r="M8" s="512">
        <v>0</v>
      </c>
      <c r="N8" s="511">
        <f>SUMPRODUCT($F$6:$M$6,F8:M8)</f>
        <v>1556808.496</v>
      </c>
    </row>
    <row r="9" spans="1:14">
      <c r="A9" s="170">
        <v>1.2</v>
      </c>
      <c r="B9" s="113" t="s">
        <v>80</v>
      </c>
      <c r="C9" s="509">
        <v>0</v>
      </c>
      <c r="D9" s="114">
        <v>0.05</v>
      </c>
      <c r="E9" s="510">
        <f>C9*D9</f>
        <v>0</v>
      </c>
      <c r="F9" s="512">
        <v>0</v>
      </c>
      <c r="G9" s="512">
        <v>0</v>
      </c>
      <c r="H9" s="512">
        <v>0</v>
      </c>
      <c r="I9" s="512">
        <v>0</v>
      </c>
      <c r="J9" s="512">
        <v>0</v>
      </c>
      <c r="K9" s="512">
        <v>0</v>
      </c>
      <c r="L9" s="512">
        <v>0</v>
      </c>
      <c r="M9" s="512">
        <v>0</v>
      </c>
      <c r="N9" s="511">
        <f t="shared" ref="N9:N12" si="1">SUMPRODUCT($F$6:$M$6,F9:M9)</f>
        <v>0</v>
      </c>
    </row>
    <row r="10" spans="1:14">
      <c r="A10" s="170">
        <v>1.3</v>
      </c>
      <c r="B10" s="113" t="s">
        <v>81</v>
      </c>
      <c r="C10" s="509">
        <v>0</v>
      </c>
      <c r="D10" s="114">
        <v>0.08</v>
      </c>
      <c r="E10" s="510">
        <f>C10*D10</f>
        <v>0</v>
      </c>
      <c r="F10" s="512">
        <v>0</v>
      </c>
      <c r="G10" s="512">
        <v>0</v>
      </c>
      <c r="H10" s="512">
        <v>0</v>
      </c>
      <c r="I10" s="512">
        <v>0</v>
      </c>
      <c r="J10" s="512">
        <v>0</v>
      </c>
      <c r="K10" s="512">
        <v>0</v>
      </c>
      <c r="L10" s="512">
        <v>0</v>
      </c>
      <c r="M10" s="512">
        <v>0</v>
      </c>
      <c r="N10" s="511">
        <f>SUMPRODUCT($F$6:$M$6,F10:M10)</f>
        <v>0</v>
      </c>
    </row>
    <row r="11" spans="1:14">
      <c r="A11" s="170">
        <v>1.4</v>
      </c>
      <c r="B11" s="113" t="s">
        <v>82</v>
      </c>
      <c r="C11" s="509">
        <v>0</v>
      </c>
      <c r="D11" s="114">
        <v>0.11</v>
      </c>
      <c r="E11" s="510">
        <f>C11*D11</f>
        <v>0</v>
      </c>
      <c r="F11" s="512">
        <v>0</v>
      </c>
      <c r="G11" s="512">
        <v>0</v>
      </c>
      <c r="H11" s="512">
        <v>0</v>
      </c>
      <c r="I11" s="512">
        <v>0</v>
      </c>
      <c r="J11" s="512">
        <v>0</v>
      </c>
      <c r="K11" s="512">
        <v>0</v>
      </c>
      <c r="L11" s="512">
        <v>0</v>
      </c>
      <c r="M11" s="512">
        <v>0</v>
      </c>
      <c r="N11" s="511">
        <f t="shared" si="1"/>
        <v>0</v>
      </c>
    </row>
    <row r="12" spans="1:14">
      <c r="A12" s="170">
        <v>1.5</v>
      </c>
      <c r="B12" s="113" t="s">
        <v>83</v>
      </c>
      <c r="C12" s="509">
        <v>0</v>
      </c>
      <c r="D12" s="114">
        <v>0.14000000000000001</v>
      </c>
      <c r="E12" s="510">
        <f>C12*D12</f>
        <v>0</v>
      </c>
      <c r="F12" s="512">
        <v>0</v>
      </c>
      <c r="G12" s="512">
        <v>0</v>
      </c>
      <c r="H12" s="512">
        <v>0</v>
      </c>
      <c r="I12" s="512">
        <v>0</v>
      </c>
      <c r="J12" s="512">
        <v>0</v>
      </c>
      <c r="K12" s="512">
        <v>0</v>
      </c>
      <c r="L12" s="512">
        <v>0</v>
      </c>
      <c r="M12" s="512">
        <v>0</v>
      </c>
      <c r="N12" s="511">
        <f t="shared" si="1"/>
        <v>0</v>
      </c>
    </row>
    <row r="13" spans="1:14">
      <c r="A13" s="170">
        <v>1.6</v>
      </c>
      <c r="B13" s="115" t="s">
        <v>84</v>
      </c>
      <c r="C13" s="509">
        <v>0</v>
      </c>
      <c r="D13" s="116"/>
      <c r="E13" s="512"/>
      <c r="F13" s="512">
        <v>0</v>
      </c>
      <c r="G13" s="512">
        <v>0</v>
      </c>
      <c r="H13" s="512">
        <v>0</v>
      </c>
      <c r="I13" s="512">
        <v>0</v>
      </c>
      <c r="J13" s="512">
        <v>0</v>
      </c>
      <c r="K13" s="512">
        <v>0</v>
      </c>
      <c r="L13" s="512">
        <v>0</v>
      </c>
      <c r="M13" s="512">
        <v>0</v>
      </c>
      <c r="N13" s="511">
        <f>SUMPRODUCT($F$6:$M$6,F13:M13)</f>
        <v>0</v>
      </c>
    </row>
    <row r="14" spans="1:14">
      <c r="A14" s="170">
        <v>2</v>
      </c>
      <c r="B14" s="117" t="s">
        <v>85</v>
      </c>
      <c r="C14" s="508">
        <f>SUM(C15:C20)</f>
        <v>0</v>
      </c>
      <c r="D14" s="107"/>
      <c r="E14" s="510">
        <f t="shared" ref="E14:M14" si="2">SUM(E15:E20)</f>
        <v>0</v>
      </c>
      <c r="F14" s="512">
        <f t="shared" si="2"/>
        <v>0</v>
      </c>
      <c r="G14" s="512">
        <f t="shared" si="2"/>
        <v>0</v>
      </c>
      <c r="H14" s="512">
        <f t="shared" si="2"/>
        <v>0</v>
      </c>
      <c r="I14" s="512">
        <f t="shared" si="2"/>
        <v>0</v>
      </c>
      <c r="J14" s="512">
        <f t="shared" si="2"/>
        <v>0</v>
      </c>
      <c r="K14" s="512">
        <f t="shared" si="2"/>
        <v>0</v>
      </c>
      <c r="L14" s="512">
        <f t="shared" si="2"/>
        <v>0</v>
      </c>
      <c r="M14" s="512">
        <f t="shared" si="2"/>
        <v>0</v>
      </c>
      <c r="N14" s="511">
        <f>SUM(N15:N20)</f>
        <v>0</v>
      </c>
    </row>
    <row r="15" spans="1:14">
      <c r="A15" s="170">
        <v>2.1</v>
      </c>
      <c r="B15" s="115" t="s">
        <v>79</v>
      </c>
      <c r="C15" s="509">
        <v>0</v>
      </c>
      <c r="D15" s="114">
        <v>5.0000000000000001E-3</v>
      </c>
      <c r="E15" s="510">
        <f>C15*D15</f>
        <v>0</v>
      </c>
      <c r="F15" s="512">
        <v>0</v>
      </c>
      <c r="G15" s="512">
        <v>0</v>
      </c>
      <c r="H15" s="512">
        <v>0</v>
      </c>
      <c r="I15" s="512">
        <v>0</v>
      </c>
      <c r="J15" s="512">
        <v>0</v>
      </c>
      <c r="K15" s="512">
        <v>0</v>
      </c>
      <c r="L15" s="512">
        <v>0</v>
      </c>
      <c r="M15" s="512">
        <v>0</v>
      </c>
      <c r="N15" s="511">
        <f>SUMPRODUCT($F$6:$M$6,F15:M15)</f>
        <v>0</v>
      </c>
    </row>
    <row r="16" spans="1:14">
      <c r="A16" s="170">
        <v>2.2000000000000002</v>
      </c>
      <c r="B16" s="115" t="s">
        <v>80</v>
      </c>
      <c r="C16" s="509">
        <v>0</v>
      </c>
      <c r="D16" s="114">
        <v>0.01</v>
      </c>
      <c r="E16" s="510">
        <f>C16*D16</f>
        <v>0</v>
      </c>
      <c r="F16" s="512">
        <v>0</v>
      </c>
      <c r="G16" s="512">
        <v>0</v>
      </c>
      <c r="H16" s="512">
        <v>0</v>
      </c>
      <c r="I16" s="512">
        <v>0</v>
      </c>
      <c r="J16" s="512">
        <v>0</v>
      </c>
      <c r="K16" s="512">
        <v>0</v>
      </c>
      <c r="L16" s="512">
        <v>0</v>
      </c>
      <c r="M16" s="512">
        <v>0</v>
      </c>
      <c r="N16" s="511">
        <f t="shared" ref="N16:N20" si="3">SUMPRODUCT($F$6:$M$6,F16:M16)</f>
        <v>0</v>
      </c>
    </row>
    <row r="17" spans="1:14">
      <c r="A17" s="170">
        <v>2.2999999999999998</v>
      </c>
      <c r="B17" s="115" t="s">
        <v>81</v>
      </c>
      <c r="C17" s="509">
        <v>0</v>
      </c>
      <c r="D17" s="114">
        <v>0.02</v>
      </c>
      <c r="E17" s="510">
        <f>C17*D17</f>
        <v>0</v>
      </c>
      <c r="F17" s="512">
        <v>0</v>
      </c>
      <c r="G17" s="512">
        <v>0</v>
      </c>
      <c r="H17" s="512">
        <v>0</v>
      </c>
      <c r="I17" s="512">
        <v>0</v>
      </c>
      <c r="J17" s="512">
        <v>0</v>
      </c>
      <c r="K17" s="512">
        <v>0</v>
      </c>
      <c r="L17" s="512">
        <v>0</v>
      </c>
      <c r="M17" s="512">
        <v>0</v>
      </c>
      <c r="N17" s="511">
        <f t="shared" si="3"/>
        <v>0</v>
      </c>
    </row>
    <row r="18" spans="1:14">
      <c r="A18" s="170">
        <v>2.4</v>
      </c>
      <c r="B18" s="115" t="s">
        <v>82</v>
      </c>
      <c r="C18" s="509">
        <v>0</v>
      </c>
      <c r="D18" s="114">
        <v>0.03</v>
      </c>
      <c r="E18" s="510">
        <f>C18*D18</f>
        <v>0</v>
      </c>
      <c r="F18" s="512">
        <v>0</v>
      </c>
      <c r="G18" s="512">
        <v>0</v>
      </c>
      <c r="H18" s="512">
        <v>0</v>
      </c>
      <c r="I18" s="512">
        <v>0</v>
      </c>
      <c r="J18" s="512">
        <v>0</v>
      </c>
      <c r="K18" s="512">
        <v>0</v>
      </c>
      <c r="L18" s="512">
        <v>0</v>
      </c>
      <c r="M18" s="512">
        <v>0</v>
      </c>
      <c r="N18" s="511">
        <f t="shared" si="3"/>
        <v>0</v>
      </c>
    </row>
    <row r="19" spans="1:14">
      <c r="A19" s="170">
        <v>2.5</v>
      </c>
      <c r="B19" s="115" t="s">
        <v>83</v>
      </c>
      <c r="C19" s="509">
        <v>0</v>
      </c>
      <c r="D19" s="114">
        <v>0.04</v>
      </c>
      <c r="E19" s="510">
        <f>C19*D19</f>
        <v>0</v>
      </c>
      <c r="F19" s="512">
        <v>0</v>
      </c>
      <c r="G19" s="512">
        <v>0</v>
      </c>
      <c r="H19" s="512">
        <v>0</v>
      </c>
      <c r="I19" s="512">
        <v>0</v>
      </c>
      <c r="J19" s="512">
        <v>0</v>
      </c>
      <c r="K19" s="512">
        <v>0</v>
      </c>
      <c r="L19" s="512">
        <v>0</v>
      </c>
      <c r="M19" s="512">
        <v>0</v>
      </c>
      <c r="N19" s="511">
        <f t="shared" si="3"/>
        <v>0</v>
      </c>
    </row>
    <row r="20" spans="1:14">
      <c r="A20" s="170">
        <v>2.6</v>
      </c>
      <c r="B20" s="115" t="s">
        <v>84</v>
      </c>
      <c r="C20" s="509">
        <v>0</v>
      </c>
      <c r="D20" s="116"/>
      <c r="E20" s="513"/>
      <c r="F20" s="512">
        <v>0</v>
      </c>
      <c r="G20" s="512">
        <v>0</v>
      </c>
      <c r="H20" s="512">
        <v>0</v>
      </c>
      <c r="I20" s="512">
        <v>0</v>
      </c>
      <c r="J20" s="512">
        <v>0</v>
      </c>
      <c r="K20" s="512">
        <v>0</v>
      </c>
      <c r="L20" s="512">
        <v>0</v>
      </c>
      <c r="M20" s="512">
        <v>0</v>
      </c>
      <c r="N20" s="511">
        <f t="shared" si="3"/>
        <v>0</v>
      </c>
    </row>
    <row r="21" spans="1:14" ht="15.75" thickBot="1">
      <c r="A21" s="171">
        <v>3</v>
      </c>
      <c r="B21" s="172" t="s">
        <v>68</v>
      </c>
      <c r="C21" s="285">
        <f>C14+C7</f>
        <v>77840424.799999997</v>
      </c>
      <c r="D21" s="173"/>
      <c r="E21" s="514">
        <f>E14+E7</f>
        <v>1556808.496</v>
      </c>
      <c r="F21" s="515">
        <f>F7+F14</f>
        <v>0</v>
      </c>
      <c r="G21" s="515">
        <f t="shared" ref="G21:L21" si="4">G7+G14</f>
        <v>0</v>
      </c>
      <c r="H21" s="515">
        <f t="shared" si="4"/>
        <v>0</v>
      </c>
      <c r="I21" s="515">
        <f t="shared" si="4"/>
        <v>0</v>
      </c>
      <c r="J21" s="515">
        <f t="shared" si="4"/>
        <v>0</v>
      </c>
      <c r="K21" s="515">
        <f t="shared" si="4"/>
        <v>1556808.496</v>
      </c>
      <c r="L21" s="515">
        <f t="shared" si="4"/>
        <v>0</v>
      </c>
      <c r="M21" s="515">
        <f>M7+M14</f>
        <v>0</v>
      </c>
      <c r="N21" s="516">
        <f>N14+N7</f>
        <v>1556808.496</v>
      </c>
    </row>
    <row r="22" spans="1:14">
      <c r="E22" s="286"/>
      <c r="F22" s="286"/>
      <c r="G22" s="286"/>
      <c r="H22" s="286"/>
      <c r="I22" s="286"/>
      <c r="J22" s="286"/>
      <c r="K22" s="286"/>
      <c r="L22" s="286"/>
      <c r="M22" s="286"/>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25" workbookViewId="0"/>
  </sheetViews>
  <sheetFormatPr defaultRowHeight="15"/>
  <cols>
    <col min="1" max="1" width="11.42578125" customWidth="1"/>
    <col min="2" max="2" width="76.85546875" style="4" customWidth="1"/>
    <col min="3" max="3" width="22.85546875" customWidth="1"/>
  </cols>
  <sheetData>
    <row r="1" spans="1:3">
      <c r="A1" s="325" t="s">
        <v>188</v>
      </c>
      <c r="B1" t="str">
        <f ca="1">Info!C2</f>
        <v>ს.ს. "ტერაბანკი"</v>
      </c>
    </row>
    <row r="2" spans="1:3">
      <c r="A2" s="325" t="s">
        <v>189</v>
      </c>
      <c r="B2" s="457">
        <f>'1. key ratios'!B2</f>
        <v>44286</v>
      </c>
    </row>
    <row r="3" spans="1:3">
      <c r="A3" s="325"/>
      <c r="B3"/>
    </row>
    <row r="4" spans="1:3">
      <c r="A4" s="325" t="s">
        <v>470</v>
      </c>
      <c r="B4" t="s">
        <v>429</v>
      </c>
    </row>
    <row r="5" spans="1:3">
      <c r="A5" s="383"/>
      <c r="B5" s="383" t="s">
        <v>430</v>
      </c>
      <c r="C5" s="395"/>
    </row>
    <row r="6" spans="1:3">
      <c r="A6" s="384">
        <v>1</v>
      </c>
      <c r="B6" s="396" t="s">
        <v>482</v>
      </c>
      <c r="C6" s="397">
        <v>1315036904.72</v>
      </c>
    </row>
    <row r="7" spans="1:3">
      <c r="A7" s="384">
        <v>2</v>
      </c>
      <c r="B7" s="396" t="s">
        <v>431</v>
      </c>
      <c r="C7" s="397">
        <v>-22798095.839999989</v>
      </c>
    </row>
    <row r="8" spans="1:3">
      <c r="A8" s="385">
        <v>3</v>
      </c>
      <c r="B8" s="398" t="s">
        <v>432</v>
      </c>
      <c r="C8" s="399">
        <f>C6+C7</f>
        <v>1292238808.8800001</v>
      </c>
    </row>
    <row r="9" spans="1:3">
      <c r="A9" s="386"/>
      <c r="B9" s="386" t="s">
        <v>433</v>
      </c>
      <c r="C9" s="400"/>
    </row>
    <row r="10" spans="1:3">
      <c r="A10" s="387">
        <v>4</v>
      </c>
      <c r="B10" s="401" t="s">
        <v>434</v>
      </c>
      <c r="C10" s="397"/>
    </row>
    <row r="11" spans="1:3">
      <c r="A11" s="387">
        <v>5</v>
      </c>
      <c r="B11" s="402" t="s">
        <v>435</v>
      </c>
      <c r="C11" s="397"/>
    </row>
    <row r="12" spans="1:3">
      <c r="A12" s="387" t="s">
        <v>436</v>
      </c>
      <c r="B12" s="396" t="s">
        <v>437</v>
      </c>
      <c r="C12" s="399">
        <f>'15. CCR'!E21</f>
        <v>1556808.496</v>
      </c>
    </row>
    <row r="13" spans="1:3">
      <c r="A13" s="388">
        <v>6</v>
      </c>
      <c r="B13" s="403" t="s">
        <v>438</v>
      </c>
      <c r="C13" s="397"/>
    </row>
    <row r="14" spans="1:3">
      <c r="A14" s="388">
        <v>7</v>
      </c>
      <c r="B14" s="404" t="s">
        <v>439</v>
      </c>
      <c r="C14" s="397"/>
    </row>
    <row r="15" spans="1:3">
      <c r="A15" s="389">
        <v>8</v>
      </c>
      <c r="B15" s="396" t="s">
        <v>440</v>
      </c>
      <c r="C15" s="397"/>
    </row>
    <row r="16" spans="1:3" ht="24">
      <c r="A16" s="388">
        <v>9</v>
      </c>
      <c r="B16" s="404" t="s">
        <v>441</v>
      </c>
      <c r="C16" s="397"/>
    </row>
    <row r="17" spans="1:3">
      <c r="A17" s="388">
        <v>10</v>
      </c>
      <c r="B17" s="404" t="s">
        <v>442</v>
      </c>
      <c r="C17" s="397"/>
    </row>
    <row r="18" spans="1:3">
      <c r="A18" s="390">
        <v>11</v>
      </c>
      <c r="B18" s="405" t="s">
        <v>443</v>
      </c>
      <c r="C18" s="399">
        <f>SUM(C10:C17)</f>
        <v>1556808.496</v>
      </c>
    </row>
    <row r="19" spans="1:3">
      <c r="A19" s="386"/>
      <c r="B19" s="386" t="s">
        <v>444</v>
      </c>
      <c r="C19" s="406"/>
    </row>
    <row r="20" spans="1:3">
      <c r="A20" s="388">
        <v>12</v>
      </c>
      <c r="B20" s="401" t="s">
        <v>445</v>
      </c>
      <c r="C20" s="397"/>
    </row>
    <row r="21" spans="1:3">
      <c r="A21" s="388">
        <v>13</v>
      </c>
      <c r="B21" s="401" t="s">
        <v>446</v>
      </c>
      <c r="C21" s="397"/>
    </row>
    <row r="22" spans="1:3">
      <c r="A22" s="388">
        <v>14</v>
      </c>
      <c r="B22" s="401" t="s">
        <v>447</v>
      </c>
      <c r="C22" s="397"/>
    </row>
    <row r="23" spans="1:3" ht="24">
      <c r="A23" s="388" t="s">
        <v>448</v>
      </c>
      <c r="B23" s="401" t="s">
        <v>449</v>
      </c>
      <c r="C23" s="397"/>
    </row>
    <row r="24" spans="1:3">
      <c r="A24" s="388">
        <v>15</v>
      </c>
      <c r="B24" s="401" t="s">
        <v>450</v>
      </c>
      <c r="C24" s="397"/>
    </row>
    <row r="25" spans="1:3">
      <c r="A25" s="388" t="s">
        <v>451</v>
      </c>
      <c r="B25" s="396" t="s">
        <v>452</v>
      </c>
      <c r="C25" s="397"/>
    </row>
    <row r="26" spans="1:3">
      <c r="A26" s="390">
        <v>16</v>
      </c>
      <c r="B26" s="405" t="s">
        <v>453</v>
      </c>
      <c r="C26" s="399">
        <f>SUM(C20:C25)</f>
        <v>0</v>
      </c>
    </row>
    <row r="27" spans="1:3">
      <c r="A27" s="386"/>
      <c r="B27" s="386" t="s">
        <v>454</v>
      </c>
      <c r="C27" s="400"/>
    </row>
    <row r="28" spans="1:3">
      <c r="A28" s="387">
        <v>17</v>
      </c>
      <c r="B28" s="396" t="s">
        <v>455</v>
      </c>
      <c r="C28" s="397">
        <v>69675746.659999996</v>
      </c>
    </row>
    <row r="29" spans="1:3">
      <c r="A29" s="387">
        <v>18</v>
      </c>
      <c r="B29" s="396" t="s">
        <v>456</v>
      </c>
      <c r="C29" s="397">
        <v>-32640985.059000045</v>
      </c>
    </row>
    <row r="30" spans="1:3">
      <c r="A30" s="390">
        <v>19</v>
      </c>
      <c r="B30" s="405" t="s">
        <v>457</v>
      </c>
      <c r="C30" s="399">
        <f>C28+C29</f>
        <v>37034761.600999951</v>
      </c>
    </row>
    <row r="31" spans="1:3">
      <c r="A31" s="391"/>
      <c r="B31" s="386" t="s">
        <v>458</v>
      </c>
      <c r="C31" s="400"/>
    </row>
    <row r="32" spans="1:3">
      <c r="A32" s="387" t="s">
        <v>459</v>
      </c>
      <c r="B32" s="401" t="s">
        <v>460</v>
      </c>
      <c r="C32" s="407"/>
    </row>
    <row r="33" spans="1:3">
      <c r="A33" s="387" t="s">
        <v>461</v>
      </c>
      <c r="B33" s="402" t="s">
        <v>462</v>
      </c>
      <c r="C33" s="407"/>
    </row>
    <row r="34" spans="1:3">
      <c r="A34" s="386"/>
      <c r="B34" s="386" t="s">
        <v>463</v>
      </c>
      <c r="C34" s="400"/>
    </row>
    <row r="35" spans="1:3">
      <c r="A35" s="390">
        <v>20</v>
      </c>
      <c r="B35" s="405" t="s">
        <v>89</v>
      </c>
      <c r="C35" s="399">
        <f>'1. key ratios'!C9</f>
        <v>109621501.12000002</v>
      </c>
    </row>
    <row r="36" spans="1:3">
      <c r="A36" s="390">
        <v>21</v>
      </c>
      <c r="B36" s="405" t="s">
        <v>464</v>
      </c>
      <c r="C36" s="399">
        <f>C8+C18+C26+C30</f>
        <v>1330830378.9770002</v>
      </c>
    </row>
    <row r="37" spans="1:3">
      <c r="A37" s="392"/>
      <c r="B37" s="392" t="s">
        <v>429</v>
      </c>
      <c r="C37" s="400"/>
    </row>
    <row r="38" spans="1:3">
      <c r="A38" s="390">
        <v>22</v>
      </c>
      <c r="B38" s="405" t="s">
        <v>429</v>
      </c>
      <c r="C38" s="517">
        <f>IFERROR(C35/C36,0)</f>
        <v>8.2370753517262876E-2</v>
      </c>
    </row>
    <row r="39" spans="1:3">
      <c r="A39" s="392"/>
      <c r="B39" s="392" t="s">
        <v>465</v>
      </c>
      <c r="C39" s="400"/>
    </row>
    <row r="40" spans="1:3">
      <c r="A40" s="393" t="s">
        <v>466</v>
      </c>
      <c r="B40" s="401" t="s">
        <v>467</v>
      </c>
      <c r="C40" s="407"/>
    </row>
    <row r="41" spans="1:3">
      <c r="A41" s="394" t="s">
        <v>468</v>
      </c>
      <c r="B41" s="402" t="s">
        <v>469</v>
      </c>
      <c r="C41" s="407"/>
    </row>
    <row r="43" spans="1:3">
      <c r="B43" s="416" t="s">
        <v>483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pane="topRight" activeCell="B1" sqref="B1"/>
      <selection pane="bottomLeft" activeCell="A6" sqref="A6"/>
      <selection pane="bottomRight" activeCell="C11" sqref="C11"/>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188</v>
      </c>
      <c r="B1" s="415" t="str">
        <f ca="1">Info!C2</f>
        <v>ს.ს. "ტერაბანკი"</v>
      </c>
    </row>
    <row r="2" spans="1:8">
      <c r="A2" s="18" t="s">
        <v>189</v>
      </c>
      <c r="B2" s="439">
        <v>44286</v>
      </c>
      <c r="C2" s="30"/>
      <c r="D2" s="19"/>
      <c r="E2" s="19"/>
      <c r="F2" s="19"/>
      <c r="G2" s="19"/>
      <c r="H2" s="1"/>
    </row>
    <row r="3" spans="1:8">
      <c r="A3" s="18"/>
      <c r="C3" s="30"/>
      <c r="D3" s="19"/>
      <c r="E3" s="19"/>
      <c r="F3" s="19"/>
      <c r="G3" s="19"/>
      <c r="H3" s="1"/>
    </row>
    <row r="4" spans="1:8" ht="16.5" thickBot="1">
      <c r="A4" s="71" t="s">
        <v>328</v>
      </c>
      <c r="B4" s="208" t="s">
        <v>223</v>
      </c>
      <c r="C4" s="209"/>
      <c r="D4" s="210"/>
      <c r="E4" s="210"/>
      <c r="F4" s="210"/>
      <c r="G4" s="210"/>
      <c r="H4" s="1"/>
    </row>
    <row r="5" spans="1:8" ht="15">
      <c r="A5" s="298" t="s">
        <v>26</v>
      </c>
      <c r="B5" s="299"/>
      <c r="C5" s="440" t="str">
        <f>INT((MONTH($B$2))/3)&amp;"Q"&amp;"-"&amp;YEAR($B$2)</f>
        <v>1Q-2021</v>
      </c>
      <c r="D5" s="440" t="str">
        <f>IF(INT(MONTH($B$2))=3, "4"&amp;"Q"&amp;"-"&amp;YEAR($B$2)-1, IF(INT(MONTH($B$2))=6, "1"&amp;"Q"&amp;"-"&amp;YEAR($B$2), IF(INT(MONTH($B$2))=9, "2"&amp;"Q"&amp;"-"&amp;YEAR($B$2),IF(INT(MONTH($B$2))=12, "3"&amp;"Q"&amp;"-"&amp;YEAR($B$2), 0))))</f>
        <v>4Q-2020</v>
      </c>
      <c r="E5" s="440" t="str">
        <f>IF(INT(MONTH($B$2))=3, "3"&amp;"Q"&amp;"-"&amp;YEAR($B$2)-1, IF(INT(MONTH($B$2))=6, "4"&amp;"Q"&amp;"-"&amp;YEAR($B$2)-1, IF(INT(MONTH($B$2))=9, "1"&amp;"Q"&amp;"-"&amp;YEAR($B$2),IF(INT(MONTH($B$2))=12, "2"&amp;"Q"&amp;"-"&amp;YEAR($B$2), 0))))</f>
        <v>3Q-2020</v>
      </c>
      <c r="F5" s="440" t="str">
        <f>IF(INT(MONTH($B$2))=3, "2"&amp;"Q"&amp;"-"&amp;YEAR($B$2)-1, IF(INT(MONTH($B$2))=6, "3"&amp;"Q"&amp;"-"&amp;YEAR($B$2)-1, IF(INT(MONTH($B$2))=9, "4"&amp;"Q"&amp;"-"&amp;YEAR($B$2)-1,IF(INT(MONTH($B$2))=12, "1"&amp;"Q"&amp;"-"&amp;YEAR($B$2), 0))))</f>
        <v>2Q-2020</v>
      </c>
      <c r="G5" s="441" t="str">
        <f>IF(INT(MONTH($B$2))=3, "1"&amp;"Q"&amp;"-"&amp;YEAR($B$2)-1, IF(INT(MONTH($B$2))=6, "2"&amp;"Q"&amp;"-"&amp;YEAR($B$2)-1, IF(INT(MONTH($B$2))=9, "3"&amp;"Q"&amp;"-"&amp;YEAR($B$2)-1,IF(INT(MONTH($B$2))=12, "4"&amp;"Q"&amp;"-"&amp;YEAR($B$2)-1, 0))))</f>
        <v>1Q-2020</v>
      </c>
    </row>
    <row r="6" spans="1:8" ht="15">
      <c r="A6" s="442"/>
      <c r="B6" s="443" t="s">
        <v>186</v>
      </c>
      <c r="C6" s="300"/>
      <c r="D6" s="300"/>
      <c r="E6" s="300"/>
      <c r="F6" s="300"/>
      <c r="G6" s="301"/>
    </row>
    <row r="7" spans="1:8" ht="15">
      <c r="A7" s="442"/>
      <c r="B7" s="444" t="s">
        <v>190</v>
      </c>
      <c r="C7" s="300"/>
      <c r="D7" s="300"/>
      <c r="E7" s="300"/>
      <c r="F7" s="300"/>
      <c r="G7" s="301"/>
    </row>
    <row r="8" spans="1:8" ht="15">
      <c r="A8" s="420">
        <v>1</v>
      </c>
      <c r="B8" s="421" t="s">
        <v>23</v>
      </c>
      <c r="C8" s="445">
        <v>109621501.12000002</v>
      </c>
      <c r="D8" s="446">
        <v>102541789.95999981</v>
      </c>
      <c r="E8" s="446">
        <v>101028332.58999997</v>
      </c>
      <c r="F8" s="446">
        <v>96484633.270000085</v>
      </c>
      <c r="G8" s="447">
        <v>97812466.859999955</v>
      </c>
    </row>
    <row r="9" spans="1:8" ht="15">
      <c r="A9" s="420">
        <v>2</v>
      </c>
      <c r="B9" s="421" t="s">
        <v>89</v>
      </c>
      <c r="C9" s="445">
        <v>109621501.12000002</v>
      </c>
      <c r="D9" s="446">
        <v>102541789.95999981</v>
      </c>
      <c r="E9" s="446">
        <v>101028332.58999997</v>
      </c>
      <c r="F9" s="446">
        <v>96484633.270000085</v>
      </c>
      <c r="G9" s="447">
        <v>97812466.859999955</v>
      </c>
    </row>
    <row r="10" spans="1:8" ht="15">
      <c r="A10" s="420">
        <v>3</v>
      </c>
      <c r="B10" s="421" t="s">
        <v>88</v>
      </c>
      <c r="C10" s="445">
        <v>170706047.02025315</v>
      </c>
      <c r="D10" s="446">
        <v>160530749.12373734</v>
      </c>
      <c r="E10" s="446">
        <v>161137592.89336559</v>
      </c>
      <c r="F10" s="446">
        <v>152741011.19189069</v>
      </c>
      <c r="G10" s="447">
        <v>163125145.89576554</v>
      </c>
    </row>
    <row r="11" spans="1:8" ht="15">
      <c r="A11" s="420">
        <v>4</v>
      </c>
      <c r="B11" s="421" t="s">
        <v>488</v>
      </c>
      <c r="C11" s="445">
        <v>69721108.361561388</v>
      </c>
      <c r="D11" s="446">
        <v>59346101.396116592</v>
      </c>
      <c r="E11" s="446">
        <v>59314845.281158179</v>
      </c>
      <c r="F11" s="446">
        <v>53028415.019578509</v>
      </c>
      <c r="G11" s="447">
        <v>54176983.993161142</v>
      </c>
    </row>
    <row r="12" spans="1:8" ht="15">
      <c r="A12" s="420">
        <v>5</v>
      </c>
      <c r="B12" s="421" t="s">
        <v>489</v>
      </c>
      <c r="C12" s="445">
        <v>92997502.363803014</v>
      </c>
      <c r="D12" s="446">
        <v>79161981.000491947</v>
      </c>
      <c r="E12" s="446">
        <v>79121893.595452741</v>
      </c>
      <c r="F12" s="446">
        <v>70735263.086167067</v>
      </c>
      <c r="G12" s="447">
        <v>72268631.162725627</v>
      </c>
    </row>
    <row r="13" spans="1:8" ht="15">
      <c r="A13" s="420">
        <v>6</v>
      </c>
      <c r="B13" s="421" t="s">
        <v>490</v>
      </c>
      <c r="C13" s="445">
        <v>143690154.16358376</v>
      </c>
      <c r="D13" s="446">
        <v>134692303.79187974</v>
      </c>
      <c r="E13" s="446">
        <v>134370663.78497708</v>
      </c>
      <c r="F13" s="446">
        <v>120432794.13456324</v>
      </c>
      <c r="G13" s="447">
        <v>122694671.44364633</v>
      </c>
    </row>
    <row r="14" spans="1:8" ht="15">
      <c r="A14" s="442"/>
      <c r="B14" s="443" t="s">
        <v>492</v>
      </c>
      <c r="C14" s="300"/>
      <c r="D14" s="300"/>
      <c r="E14" s="300"/>
      <c r="F14" s="300"/>
      <c r="G14" s="301"/>
    </row>
    <row r="15" spans="1:8" ht="33" customHeight="1">
      <c r="A15" s="420">
        <v>7</v>
      </c>
      <c r="B15" s="421" t="s">
        <v>491</v>
      </c>
      <c r="C15" s="448">
        <v>1133530825.6302505</v>
      </c>
      <c r="D15" s="446">
        <v>1059976416.0590007</v>
      </c>
      <c r="E15" s="446">
        <v>1054574532.8080001</v>
      </c>
      <c r="F15" s="446">
        <v>945036348.83999848</v>
      </c>
      <c r="G15" s="447">
        <v>962318943.62999654</v>
      </c>
    </row>
    <row r="16" spans="1:8" ht="15">
      <c r="A16" s="442"/>
      <c r="B16" s="443" t="s">
        <v>496</v>
      </c>
      <c r="C16" s="300"/>
      <c r="D16" s="300"/>
      <c r="E16" s="300"/>
      <c r="F16" s="300"/>
      <c r="G16" s="301"/>
    </row>
    <row r="17" spans="1:7" s="3" customFormat="1" ht="15">
      <c r="A17" s="420"/>
      <c r="B17" s="444" t="s">
        <v>477</v>
      </c>
      <c r="C17" s="300"/>
      <c r="D17" s="300"/>
      <c r="E17" s="300"/>
      <c r="F17" s="300"/>
      <c r="G17" s="301"/>
    </row>
    <row r="18" spans="1:7" ht="15">
      <c r="A18" s="419">
        <v>8</v>
      </c>
      <c r="B18" s="449" t="s">
        <v>486</v>
      </c>
      <c r="C18" s="458">
        <v>9.6708001795231077E-2</v>
      </c>
      <c r="D18" s="459">
        <v>9.6739690059568367E-2</v>
      </c>
      <c r="E18" s="459">
        <v>9.5800087568010311E-2</v>
      </c>
      <c r="F18" s="459">
        <v>0.10209621395878778</v>
      </c>
      <c r="G18" s="460">
        <v>0.10164246220804733</v>
      </c>
    </row>
    <row r="19" spans="1:7" ht="15" customHeight="1">
      <c r="A19" s="419">
        <v>9</v>
      </c>
      <c r="B19" s="449" t="s">
        <v>485</v>
      </c>
      <c r="C19" s="458">
        <v>9.6708001795231077E-2</v>
      </c>
      <c r="D19" s="459">
        <v>9.6739690059568367E-2</v>
      </c>
      <c r="E19" s="459">
        <v>9.5800087568010311E-2</v>
      </c>
      <c r="F19" s="459">
        <v>0.10209621395878778</v>
      </c>
      <c r="G19" s="460">
        <v>0.10164246220804733</v>
      </c>
    </row>
    <row r="20" spans="1:7" ht="15">
      <c r="A20" s="419">
        <v>10</v>
      </c>
      <c r="B20" s="449" t="s">
        <v>487</v>
      </c>
      <c r="C20" s="458">
        <v>0.15059673999190934</v>
      </c>
      <c r="D20" s="459">
        <v>0.15144747250188048</v>
      </c>
      <c r="E20" s="459">
        <v>0.15279867650919551</v>
      </c>
      <c r="F20" s="459">
        <v>0.1616244828882776</v>
      </c>
      <c r="G20" s="460">
        <v>0.16951255815502866</v>
      </c>
    </row>
    <row r="21" spans="1:7" ht="15">
      <c r="A21" s="419">
        <v>11</v>
      </c>
      <c r="B21" s="421" t="s">
        <v>488</v>
      </c>
      <c r="C21" s="458">
        <v>6.1507906785680931E-2</v>
      </c>
      <c r="D21" s="459">
        <v>5.598813378958542E-2</v>
      </c>
      <c r="E21" s="459">
        <v>5.6245285122921956E-2</v>
      </c>
      <c r="F21" s="459">
        <v>5.6112566553306834E-2</v>
      </c>
      <c r="G21" s="460">
        <v>5.6298365891871843E-2</v>
      </c>
    </row>
    <row r="22" spans="1:7" ht="15">
      <c r="A22" s="419">
        <v>12</v>
      </c>
      <c r="B22" s="421" t="s">
        <v>489</v>
      </c>
      <c r="C22" s="458">
        <v>8.2042323209071802E-2</v>
      </c>
      <c r="D22" s="459">
        <v>7.4682775768555976E-2</v>
      </c>
      <c r="E22" s="459">
        <v>7.5027313038535118E-2</v>
      </c>
      <c r="F22" s="459">
        <v>7.4849251219799448E-2</v>
      </c>
      <c r="G22" s="460">
        <v>7.5098418919322757E-2</v>
      </c>
    </row>
    <row r="23" spans="1:7" ht="15">
      <c r="A23" s="419">
        <v>13</v>
      </c>
      <c r="B23" s="421" t="s">
        <v>490</v>
      </c>
      <c r="C23" s="458">
        <v>0.126763340629657</v>
      </c>
      <c r="D23" s="459">
        <v>0.1270710383280664</v>
      </c>
      <c r="E23" s="459">
        <v>0.12741694361534628</v>
      </c>
      <c r="F23" s="459">
        <v>0.12743720840197373</v>
      </c>
      <c r="G23" s="460">
        <v>0.12749896721436815</v>
      </c>
    </row>
    <row r="24" spans="1:7" ht="15">
      <c r="A24" s="442"/>
      <c r="B24" s="443" t="s">
        <v>6</v>
      </c>
      <c r="C24" s="300"/>
      <c r="D24" s="300"/>
      <c r="E24" s="300"/>
      <c r="F24" s="300"/>
      <c r="G24" s="301"/>
    </row>
    <row r="25" spans="1:7" ht="15" customHeight="1">
      <c r="A25" s="450">
        <v>14</v>
      </c>
      <c r="B25" s="451" t="s">
        <v>7</v>
      </c>
      <c r="C25" s="468">
        <v>7.4064490838191596E-2</v>
      </c>
      <c r="D25" s="469">
        <v>7.7817841012045114E-2</v>
      </c>
      <c r="E25" s="469">
        <v>7.7874935162442024E-2</v>
      </c>
      <c r="F25" s="469">
        <v>7.8709926699469496E-2</v>
      </c>
      <c r="G25" s="470">
        <v>8.034303039887182E-2</v>
      </c>
    </row>
    <row r="26" spans="1:7" ht="15">
      <c r="A26" s="450">
        <v>15</v>
      </c>
      <c r="B26" s="451" t="s">
        <v>8</v>
      </c>
      <c r="C26" s="468">
        <v>4.0413603449773502E-2</v>
      </c>
      <c r="D26" s="469">
        <v>4.1379222976943068E-2</v>
      </c>
      <c r="E26" s="469">
        <v>4.1305140297601996E-2</v>
      </c>
      <c r="F26" s="469">
        <v>4.0629144363182053E-2</v>
      </c>
      <c r="G26" s="470">
        <v>3.8436220271917412E-2</v>
      </c>
    </row>
    <row r="27" spans="1:7" ht="15">
      <c r="A27" s="450">
        <v>16</v>
      </c>
      <c r="B27" s="451" t="s">
        <v>9</v>
      </c>
      <c r="C27" s="468">
        <v>2.3213757742185342E-2</v>
      </c>
      <c r="D27" s="469">
        <v>1.2389632171424041E-2</v>
      </c>
      <c r="E27" s="469">
        <v>1.5900476895389294E-2</v>
      </c>
      <c r="F27" s="469">
        <v>1.8913243583104072E-2</v>
      </c>
      <c r="G27" s="470">
        <v>2.7618733665792504E-2</v>
      </c>
    </row>
    <row r="28" spans="1:7" ht="15">
      <c r="A28" s="450">
        <v>17</v>
      </c>
      <c r="B28" s="451" t="s">
        <v>224</v>
      </c>
      <c r="C28" s="468">
        <v>3.3650887388418087E-2</v>
      </c>
      <c r="D28" s="469">
        <v>3.6438618035102052E-2</v>
      </c>
      <c r="E28" s="469">
        <v>3.6569794864840029E-2</v>
      </c>
      <c r="F28" s="469">
        <v>3.8080782336287457E-2</v>
      </c>
      <c r="G28" s="470">
        <v>4.1906810126954401E-2</v>
      </c>
    </row>
    <row r="29" spans="1:7" ht="15">
      <c r="A29" s="450">
        <v>18</v>
      </c>
      <c r="B29" s="451" t="s">
        <v>10</v>
      </c>
      <c r="C29" s="468">
        <v>2.1506716452464058E-2</v>
      </c>
      <c r="D29" s="469">
        <v>-1.2275759053525463E-2</v>
      </c>
      <c r="E29" s="469">
        <v>-1.8404032849966553E-2</v>
      </c>
      <c r="F29" s="469">
        <v>-3.6937743299127128E-2</v>
      </c>
      <c r="G29" s="470">
        <v>-7.1564399565378273E-2</v>
      </c>
    </row>
    <row r="30" spans="1:7" ht="15">
      <c r="A30" s="450">
        <v>19</v>
      </c>
      <c r="B30" s="451" t="s">
        <v>11</v>
      </c>
      <c r="C30" s="468">
        <v>0.21486129695823081</v>
      </c>
      <c r="D30" s="469">
        <v>-0.10838720508629283</v>
      </c>
      <c r="E30" s="469">
        <v>-0.1570703488917761</v>
      </c>
      <c r="F30" s="469">
        <v>-0.30087678771847082</v>
      </c>
      <c r="G30" s="470">
        <v>-0.5488843340084143</v>
      </c>
    </row>
    <row r="31" spans="1:7" ht="15">
      <c r="A31" s="442"/>
      <c r="B31" s="443" t="s">
        <v>12</v>
      </c>
      <c r="C31" s="300"/>
      <c r="D31" s="300"/>
      <c r="E31" s="300"/>
      <c r="F31" s="300"/>
      <c r="G31" s="301"/>
    </row>
    <row r="32" spans="1:7" ht="15">
      <c r="A32" s="450">
        <v>20</v>
      </c>
      <c r="B32" s="451" t="s">
        <v>13</v>
      </c>
      <c r="C32" s="468">
        <v>6.9921951460557394E-2</v>
      </c>
      <c r="D32" s="469">
        <v>7.2240640886518909E-2</v>
      </c>
      <c r="E32" s="469">
        <v>5.2185312917264338E-2</v>
      </c>
      <c r="F32" s="469">
        <v>6.7659101278442199E-2</v>
      </c>
      <c r="G32" s="470">
        <v>4.9162047653363898E-2</v>
      </c>
    </row>
    <row r="33" spans="1:7" ht="15" customHeight="1">
      <c r="A33" s="450">
        <v>21</v>
      </c>
      <c r="B33" s="451" t="s">
        <v>14</v>
      </c>
      <c r="C33" s="468">
        <v>5.7093094356388562E-2</v>
      </c>
      <c r="D33" s="469">
        <v>5.9114703239570507E-2</v>
      </c>
      <c r="E33" s="469">
        <v>6.5284445187443349E-2</v>
      </c>
      <c r="F33" s="469">
        <v>8.2790658124955036E-2</v>
      </c>
      <c r="G33" s="470">
        <v>7.956774948323736E-2</v>
      </c>
    </row>
    <row r="34" spans="1:7" ht="15">
      <c r="A34" s="450">
        <v>22</v>
      </c>
      <c r="B34" s="451" t="s">
        <v>15</v>
      </c>
      <c r="C34" s="468">
        <v>0.63156852259791352</v>
      </c>
      <c r="D34" s="469">
        <v>0.62863848087919993</v>
      </c>
      <c r="E34" s="469">
        <v>0.64172878135359779</v>
      </c>
      <c r="F34" s="469">
        <v>0.62438918539829058</v>
      </c>
      <c r="G34" s="470">
        <v>0.6482525004346954</v>
      </c>
    </row>
    <row r="35" spans="1:7" ht="15" customHeight="1">
      <c r="A35" s="450">
        <v>23</v>
      </c>
      <c r="B35" s="451" t="s">
        <v>16</v>
      </c>
      <c r="C35" s="468">
        <v>0.61179124082426106</v>
      </c>
      <c r="D35" s="469">
        <v>0.59865468832544499</v>
      </c>
      <c r="E35" s="469">
        <v>0.60427876072514053</v>
      </c>
      <c r="F35" s="469">
        <v>0.59609508494074537</v>
      </c>
      <c r="G35" s="470">
        <v>0.64472448882797606</v>
      </c>
    </row>
    <row r="36" spans="1:7" ht="15">
      <c r="A36" s="450">
        <v>24</v>
      </c>
      <c r="B36" s="451" t="s">
        <v>17</v>
      </c>
      <c r="C36" s="468">
        <v>4.2016232781066878E-2</v>
      </c>
      <c r="D36" s="469">
        <v>0.20099905280552549</v>
      </c>
      <c r="E36" s="469">
        <v>0.16093287139459622</v>
      </c>
      <c r="F36" s="469">
        <v>6.1634440740268526E-2</v>
      </c>
      <c r="G36" s="470">
        <v>6.015333062860076E-2</v>
      </c>
    </row>
    <row r="37" spans="1:7" ht="15" customHeight="1">
      <c r="A37" s="442"/>
      <c r="B37" s="443" t="s">
        <v>18</v>
      </c>
      <c r="C37" s="300"/>
      <c r="D37" s="300"/>
      <c r="E37" s="300"/>
      <c r="F37" s="300"/>
      <c r="G37" s="301"/>
    </row>
    <row r="38" spans="1:7" ht="15" customHeight="1">
      <c r="A38" s="450">
        <v>25</v>
      </c>
      <c r="B38" s="451" t="s">
        <v>19</v>
      </c>
      <c r="C38" s="468">
        <v>0.2216475924158256</v>
      </c>
      <c r="D38" s="468">
        <v>0.20569996122821141</v>
      </c>
      <c r="E38" s="468">
        <v>0.20037260559646963</v>
      </c>
      <c r="F38" s="468">
        <v>0.18299446219469395</v>
      </c>
      <c r="G38" s="471">
        <v>0.21021307091457325</v>
      </c>
    </row>
    <row r="39" spans="1:7" ht="15" customHeight="1">
      <c r="A39" s="450">
        <v>26</v>
      </c>
      <c r="B39" s="451" t="s">
        <v>20</v>
      </c>
      <c r="C39" s="468">
        <v>0.67300940590410796</v>
      </c>
      <c r="D39" s="468">
        <v>0.65864963141201838</v>
      </c>
      <c r="E39" s="468">
        <v>0.66451831309809084</v>
      </c>
      <c r="F39" s="468">
        <v>0.65831119374528912</v>
      </c>
      <c r="G39" s="471">
        <v>0.70946902796697819</v>
      </c>
    </row>
    <row r="40" spans="1:7" ht="15" customHeight="1">
      <c r="A40" s="450">
        <v>27</v>
      </c>
      <c r="B40" s="452" t="s">
        <v>21</v>
      </c>
      <c r="C40" s="468">
        <v>0.38331218429686859</v>
      </c>
      <c r="D40" s="468">
        <v>0.3676450180463407</v>
      </c>
      <c r="E40" s="468">
        <v>0.38141321233034131</v>
      </c>
      <c r="F40" s="468">
        <v>0.32702628850072507</v>
      </c>
      <c r="G40" s="471">
        <v>0.33228683874315895</v>
      </c>
    </row>
    <row r="41" spans="1:7" ht="15" customHeight="1">
      <c r="A41" s="456"/>
      <c r="B41" s="443" t="s">
        <v>398</v>
      </c>
      <c r="C41" s="300"/>
      <c r="D41" s="300"/>
      <c r="E41" s="300"/>
      <c r="F41" s="300"/>
      <c r="G41" s="301"/>
    </row>
    <row r="42" spans="1:7" ht="15" customHeight="1">
      <c r="A42" s="450">
        <v>28</v>
      </c>
      <c r="B42" s="467" t="s">
        <v>391</v>
      </c>
      <c r="C42" s="452">
        <v>289264032.8139711</v>
      </c>
      <c r="D42" s="452">
        <v>264884270.43885708</v>
      </c>
      <c r="E42" s="452">
        <v>241639004.83403173</v>
      </c>
      <c r="F42" s="452">
        <v>220354395.05208892</v>
      </c>
      <c r="G42" s="455">
        <v>233178657.76290429</v>
      </c>
    </row>
    <row r="43" spans="1:7" ht="15">
      <c r="A43" s="450">
        <v>29</v>
      </c>
      <c r="B43" s="451" t="s">
        <v>392</v>
      </c>
      <c r="C43" s="452">
        <v>240778295.8594408</v>
      </c>
      <c r="D43" s="453">
        <v>221952064.77880499</v>
      </c>
      <c r="E43" s="453">
        <v>193745939.50013483</v>
      </c>
      <c r="F43" s="453">
        <v>160867671.24180427</v>
      </c>
      <c r="G43" s="454">
        <v>156134617.9647122</v>
      </c>
    </row>
    <row r="44" spans="1:7" ht="15">
      <c r="A44" s="462">
        <v>30</v>
      </c>
      <c r="B44" s="463" t="s">
        <v>390</v>
      </c>
      <c r="C44" s="468">
        <v>1.2013708784733439</v>
      </c>
      <c r="D44" s="468">
        <v>1.1934300800618272</v>
      </c>
      <c r="E44" s="468">
        <v>1.2471951951997609</v>
      </c>
      <c r="F44" s="468">
        <v>1.3697866908315508</v>
      </c>
      <c r="G44" s="471">
        <v>1.4934462376281263</v>
      </c>
    </row>
    <row r="45" spans="1:7" ht="15">
      <c r="A45" s="462"/>
      <c r="B45" s="443" t="s">
        <v>497</v>
      </c>
      <c r="C45" s="300"/>
      <c r="D45" s="300"/>
      <c r="E45" s="300"/>
      <c r="F45" s="300"/>
      <c r="G45" s="301"/>
    </row>
    <row r="46" spans="1:7" ht="15">
      <c r="A46" s="462">
        <v>31</v>
      </c>
      <c r="B46" s="463" t="s">
        <v>498</v>
      </c>
      <c r="C46" s="464">
        <v>853169392.72288966</v>
      </c>
      <c r="D46" s="465">
        <v>828136009.79051459</v>
      </c>
      <c r="E46" s="465">
        <v>807343465.24172497</v>
      </c>
      <c r="F46" s="465">
        <v>727631113.23463488</v>
      </c>
      <c r="G46" s="466">
        <v>755364204.67480087</v>
      </c>
    </row>
    <row r="47" spans="1:7" ht="15">
      <c r="A47" s="462">
        <v>32</v>
      </c>
      <c r="B47" s="463" t="s">
        <v>499</v>
      </c>
      <c r="C47" s="464">
        <v>722628219.24379265</v>
      </c>
      <c r="D47" s="465">
        <v>685096938.77183557</v>
      </c>
      <c r="E47" s="465">
        <v>677070577.10934162</v>
      </c>
      <c r="F47" s="465">
        <v>599544249.26444614</v>
      </c>
      <c r="G47" s="466">
        <v>654888674.67373347</v>
      </c>
    </row>
    <row r="48" spans="1:7" thickBot="1">
      <c r="A48" s="123">
        <v>33</v>
      </c>
      <c r="B48" s="232" t="s">
        <v>500</v>
      </c>
      <c r="C48" s="472">
        <v>1.1806477660334165</v>
      </c>
      <c r="D48" s="473">
        <v>1.2087866153293625</v>
      </c>
      <c r="E48" s="473">
        <v>1.1924066597142136</v>
      </c>
      <c r="F48" s="473">
        <v>1.2136403845543222</v>
      </c>
      <c r="G48" s="474">
        <v>1.1534238319988117</v>
      </c>
    </row>
    <row r="49" spans="1:7">
      <c r="A49" s="21"/>
    </row>
    <row r="50" spans="1:7" ht="39.75">
      <c r="B50" s="24" t="s">
        <v>476</v>
      </c>
    </row>
    <row r="51" spans="1:7" ht="65.25">
      <c r="B51" s="348" t="s">
        <v>397</v>
      </c>
      <c r="D51" s="325"/>
      <c r="E51" s="325"/>
      <c r="F51" s="325"/>
      <c r="G51" s="32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27" activePane="bottomRight" state="frozen"/>
      <selection pane="topRight" activeCell="B1" sqref="B1"/>
      <selection pane="bottomLeft" activeCell="A5" sqref="A5"/>
      <selection pane="bottomRight" activeCell="H41" sqref="C7:H41"/>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188</v>
      </c>
      <c r="B1" s="325" t="str">
        <f ca="1">Info!C2</f>
        <v>ს.ს. "ტერაბანკი"</v>
      </c>
    </row>
    <row r="2" spans="1:8" ht="15.75">
      <c r="A2" s="18" t="s">
        <v>189</v>
      </c>
      <c r="B2" s="457">
        <f>'1. key ratios'!B2</f>
        <v>44286</v>
      </c>
    </row>
    <row r="3" spans="1:8" ht="15.75">
      <c r="A3" s="18"/>
    </row>
    <row r="4" spans="1:8" ht="16.5" thickBot="1">
      <c r="A4" s="32" t="s">
        <v>329</v>
      </c>
      <c r="B4" s="72" t="s">
        <v>244</v>
      </c>
      <c r="C4" s="32"/>
      <c r="D4" s="33"/>
      <c r="E4" s="33"/>
      <c r="F4" s="34"/>
      <c r="G4" s="34"/>
      <c r="H4" s="35" t="s">
        <v>93</v>
      </c>
    </row>
    <row r="5" spans="1:8" ht="15.75">
      <c r="A5" s="36"/>
      <c r="B5" s="37"/>
      <c r="C5" s="533" t="s">
        <v>194</v>
      </c>
      <c r="D5" s="534"/>
      <c r="E5" s="535"/>
      <c r="F5" s="533" t="s">
        <v>195</v>
      </c>
      <c r="G5" s="534"/>
      <c r="H5" s="536"/>
    </row>
    <row r="6" spans="1:8" ht="15.75">
      <c r="A6" s="38" t="s">
        <v>26</v>
      </c>
      <c r="B6" s="39" t="s">
        <v>153</v>
      </c>
      <c r="C6" s="40" t="s">
        <v>27</v>
      </c>
      <c r="D6" s="40" t="s">
        <v>94</v>
      </c>
      <c r="E6" s="40" t="s">
        <v>68</v>
      </c>
      <c r="F6" s="40" t="s">
        <v>27</v>
      </c>
      <c r="G6" s="40" t="s">
        <v>94</v>
      </c>
      <c r="H6" s="41" t="s">
        <v>68</v>
      </c>
    </row>
    <row r="7" spans="1:8" ht="15.75">
      <c r="A7" s="38">
        <v>1</v>
      </c>
      <c r="B7" s="42" t="s">
        <v>154</v>
      </c>
      <c r="C7" s="233">
        <v>13314296.5</v>
      </c>
      <c r="D7" s="233">
        <v>22584046.960000001</v>
      </c>
      <c r="E7" s="234">
        <f>C7+D7</f>
        <v>35898343.460000001</v>
      </c>
      <c r="F7" s="235">
        <v>15357775.379999999</v>
      </c>
      <c r="G7" s="236">
        <v>17880243.850000001</v>
      </c>
      <c r="H7" s="237">
        <f>F7+G7</f>
        <v>33238019.23</v>
      </c>
    </row>
    <row r="8" spans="1:8" ht="15.75">
      <c r="A8" s="38">
        <v>2</v>
      </c>
      <c r="B8" s="42" t="s">
        <v>155</v>
      </c>
      <c r="C8" s="233">
        <v>15909099.99</v>
      </c>
      <c r="D8" s="233">
        <v>160632339.69999999</v>
      </c>
      <c r="E8" s="234">
        <f t="shared" ref="E8:E20" si="0">C8+D8</f>
        <v>176541439.69</v>
      </c>
      <c r="F8" s="235">
        <v>6413421.5899999999</v>
      </c>
      <c r="G8" s="236">
        <v>137060508</v>
      </c>
      <c r="H8" s="237">
        <f t="shared" ref="H8:H40" si="1">F8+G8</f>
        <v>143473929.59</v>
      </c>
    </row>
    <row r="9" spans="1:8" ht="15.75">
      <c r="A9" s="38">
        <v>3</v>
      </c>
      <c r="B9" s="42" t="s">
        <v>156</v>
      </c>
      <c r="C9" s="233">
        <v>194710.74</v>
      </c>
      <c r="D9" s="233">
        <v>49651379.18</v>
      </c>
      <c r="E9" s="234">
        <f t="shared" si="0"/>
        <v>49846089.920000002</v>
      </c>
      <c r="F9" s="235">
        <v>154230.96000000002</v>
      </c>
      <c r="G9" s="236">
        <v>28012138.150000002</v>
      </c>
      <c r="H9" s="237">
        <f t="shared" si="1"/>
        <v>28166369.110000003</v>
      </c>
    </row>
    <row r="10" spans="1:8" ht="15.75">
      <c r="A10" s="38">
        <v>4</v>
      </c>
      <c r="B10" s="42" t="s">
        <v>185</v>
      </c>
      <c r="C10" s="233">
        <v>0</v>
      </c>
      <c r="D10" s="233">
        <v>0</v>
      </c>
      <c r="E10" s="234">
        <f t="shared" si="0"/>
        <v>0</v>
      </c>
      <c r="F10" s="235">
        <v>0</v>
      </c>
      <c r="G10" s="236">
        <v>0</v>
      </c>
      <c r="H10" s="237">
        <f t="shared" si="1"/>
        <v>0</v>
      </c>
    </row>
    <row r="11" spans="1:8" ht="15.75">
      <c r="A11" s="38">
        <v>5</v>
      </c>
      <c r="B11" s="42" t="s">
        <v>157</v>
      </c>
      <c r="C11" s="233">
        <v>86462260.989999995</v>
      </c>
      <c r="D11" s="233">
        <v>0</v>
      </c>
      <c r="E11" s="234">
        <f t="shared" si="0"/>
        <v>86462260.989999995</v>
      </c>
      <c r="F11" s="235">
        <v>57434608.059999995</v>
      </c>
      <c r="G11" s="236">
        <v>0</v>
      </c>
      <c r="H11" s="237">
        <f t="shared" si="1"/>
        <v>57434608.059999995</v>
      </c>
    </row>
    <row r="12" spans="1:8" ht="15.75">
      <c r="A12" s="38">
        <v>6.1</v>
      </c>
      <c r="B12" s="43" t="s">
        <v>158</v>
      </c>
      <c r="C12" s="233">
        <v>356016937.98999983</v>
      </c>
      <c r="D12" s="233">
        <v>610287408.48000026</v>
      </c>
      <c r="E12" s="234">
        <f t="shared" si="0"/>
        <v>966304346.47000003</v>
      </c>
      <c r="F12" s="235">
        <v>287936343.02999794</v>
      </c>
      <c r="G12" s="236">
        <v>530651829.9800005</v>
      </c>
      <c r="H12" s="237">
        <f t="shared" si="1"/>
        <v>818588173.00999844</v>
      </c>
    </row>
    <row r="13" spans="1:8" ht="15.75">
      <c r="A13" s="38">
        <v>6.2</v>
      </c>
      <c r="B13" s="43" t="s">
        <v>159</v>
      </c>
      <c r="C13" s="233">
        <v>17893648.890000094</v>
      </c>
      <c r="D13" s="233">
        <v>37275656.339999996</v>
      </c>
      <c r="E13" s="234">
        <f t="shared" si="0"/>
        <v>55169305.230000094</v>
      </c>
      <c r="F13" s="235">
        <v>43784580.910000518</v>
      </c>
      <c r="G13" s="236">
        <v>21348637.769999996</v>
      </c>
      <c r="H13" s="237">
        <f t="shared" si="1"/>
        <v>65133218.680000514</v>
      </c>
    </row>
    <row r="14" spans="1:8" ht="15.75">
      <c r="A14" s="38">
        <v>6</v>
      </c>
      <c r="B14" s="42" t="s">
        <v>160</v>
      </c>
      <c r="C14" s="234">
        <f>C12-C13</f>
        <v>338123289.09999973</v>
      </c>
      <c r="D14" s="234">
        <f>D12-D13</f>
        <v>573011752.14000022</v>
      </c>
      <c r="E14" s="234">
        <f t="shared" si="0"/>
        <v>911135041.24000001</v>
      </c>
      <c r="F14" s="234">
        <f>F12-F13</f>
        <v>244151762.11999744</v>
      </c>
      <c r="G14" s="234">
        <f>G12-G13</f>
        <v>509303192.21000051</v>
      </c>
      <c r="H14" s="237">
        <f t="shared" si="1"/>
        <v>753454954.32999802</v>
      </c>
    </row>
    <row r="15" spans="1:8" ht="15.75">
      <c r="A15" s="38">
        <v>7</v>
      </c>
      <c r="B15" s="42" t="s">
        <v>161</v>
      </c>
      <c r="C15" s="233">
        <v>5417259.6299999794</v>
      </c>
      <c r="D15" s="233">
        <v>7334478.8399999924</v>
      </c>
      <c r="E15" s="234">
        <f t="shared" si="0"/>
        <v>12751738.469999973</v>
      </c>
      <c r="F15" s="235">
        <v>3761611.6299999896</v>
      </c>
      <c r="G15" s="236">
        <v>3835552.1799999974</v>
      </c>
      <c r="H15" s="237">
        <f t="shared" si="1"/>
        <v>7597163.8099999875</v>
      </c>
    </row>
    <row r="16" spans="1:8" ht="15.75">
      <c r="A16" s="38">
        <v>8</v>
      </c>
      <c r="B16" s="42" t="s">
        <v>162</v>
      </c>
      <c r="C16" s="233">
        <v>2939066.8800000232</v>
      </c>
      <c r="D16" s="233">
        <v>0</v>
      </c>
      <c r="E16" s="234">
        <f t="shared" si="0"/>
        <v>2939066.8800000232</v>
      </c>
      <c r="F16" s="235">
        <v>2519122.6000000043</v>
      </c>
      <c r="G16" s="236">
        <v>0</v>
      </c>
      <c r="H16" s="237">
        <f t="shared" si="1"/>
        <v>2519122.6000000043</v>
      </c>
    </row>
    <row r="17" spans="1:8" ht="15.75">
      <c r="A17" s="38">
        <v>9</v>
      </c>
      <c r="B17" s="42" t="s">
        <v>163</v>
      </c>
      <c r="C17" s="233">
        <v>0</v>
      </c>
      <c r="D17" s="233">
        <v>0</v>
      </c>
      <c r="E17" s="234">
        <f t="shared" si="0"/>
        <v>0</v>
      </c>
      <c r="F17" s="235">
        <v>0</v>
      </c>
      <c r="G17" s="236">
        <v>0</v>
      </c>
      <c r="H17" s="237">
        <f t="shared" si="1"/>
        <v>0</v>
      </c>
    </row>
    <row r="18" spans="1:8" ht="15.75">
      <c r="A18" s="38">
        <v>10</v>
      </c>
      <c r="B18" s="42" t="s">
        <v>164</v>
      </c>
      <c r="C18" s="233">
        <v>46393296.260000035</v>
      </c>
      <c r="D18" s="233">
        <v>0</v>
      </c>
      <c r="E18" s="234">
        <f t="shared" si="0"/>
        <v>46393296.260000035</v>
      </c>
      <c r="F18" s="235">
        <v>46292850.25</v>
      </c>
      <c r="G18" s="236">
        <v>0</v>
      </c>
      <c r="H18" s="237">
        <f t="shared" si="1"/>
        <v>46292850.25</v>
      </c>
    </row>
    <row r="19" spans="1:8" ht="15.75">
      <c r="A19" s="38">
        <v>11</v>
      </c>
      <c r="B19" s="42" t="s">
        <v>165</v>
      </c>
      <c r="C19" s="233">
        <v>7577316.9570000013</v>
      </c>
      <c r="D19" s="233">
        <v>488757.63</v>
      </c>
      <c r="E19" s="234">
        <f t="shared" si="0"/>
        <v>8066074.5870000012</v>
      </c>
      <c r="F19" s="235">
        <v>7620958.9930000007</v>
      </c>
      <c r="G19" s="236">
        <v>226764.03</v>
      </c>
      <c r="H19" s="237">
        <f t="shared" si="1"/>
        <v>7847723.023000001</v>
      </c>
    </row>
    <row r="20" spans="1:8" ht="15.75">
      <c r="A20" s="38">
        <v>12</v>
      </c>
      <c r="B20" s="44" t="s">
        <v>166</v>
      </c>
      <c r="C20" s="234">
        <f>SUM(C7:C11)+SUM(C14:C19)</f>
        <v>516330597.04699981</v>
      </c>
      <c r="D20" s="234">
        <f>SUM(D7:D11)+SUM(D14:D19)</f>
        <v>813702754.45000029</v>
      </c>
      <c r="E20" s="234">
        <f t="shared" si="0"/>
        <v>1330033351.4970002</v>
      </c>
      <c r="F20" s="234">
        <f>SUM(F7:F11)+SUM(F14:F19)</f>
        <v>383706341.58299744</v>
      </c>
      <c r="G20" s="234">
        <f>SUM(G7:G11)+SUM(G14:G19)</f>
        <v>696318398.42000055</v>
      </c>
      <c r="H20" s="237">
        <f t="shared" si="1"/>
        <v>1080024740.0029979</v>
      </c>
    </row>
    <row r="21" spans="1:8" ht="15.75">
      <c r="A21" s="38"/>
      <c r="B21" s="39" t="s">
        <v>183</v>
      </c>
      <c r="C21" s="238"/>
      <c r="D21" s="238"/>
      <c r="E21" s="238"/>
      <c r="F21" s="239"/>
      <c r="G21" s="240"/>
      <c r="H21" s="241"/>
    </row>
    <row r="22" spans="1:8" ht="15.75">
      <c r="A22" s="38">
        <v>13</v>
      </c>
      <c r="B22" s="42" t="s">
        <v>167</v>
      </c>
      <c r="C22" s="233">
        <v>2280.73</v>
      </c>
      <c r="D22" s="233">
        <v>10878079.310000001</v>
      </c>
      <c r="E22" s="234">
        <f>C22+D22</f>
        <v>10880360.040000001</v>
      </c>
      <c r="F22" s="235">
        <v>11142.42</v>
      </c>
      <c r="G22" s="236">
        <v>10619581.560000001</v>
      </c>
      <c r="H22" s="237">
        <f t="shared" si="1"/>
        <v>10630723.98</v>
      </c>
    </row>
    <row r="23" spans="1:8" ht="15.75">
      <c r="A23" s="38">
        <v>14</v>
      </c>
      <c r="B23" s="42" t="s">
        <v>168</v>
      </c>
      <c r="C23" s="233">
        <v>72824136.809999838</v>
      </c>
      <c r="D23" s="233">
        <v>170344204.14000022</v>
      </c>
      <c r="E23" s="234">
        <f t="shared" ref="E23:E40" si="2">C23+D23</f>
        <v>243168340.95000005</v>
      </c>
      <c r="F23" s="235">
        <v>54593148.170000315</v>
      </c>
      <c r="G23" s="236">
        <v>155666795.97999805</v>
      </c>
      <c r="H23" s="237">
        <f t="shared" si="1"/>
        <v>210259944.14999837</v>
      </c>
    </row>
    <row r="24" spans="1:8" ht="15.75">
      <c r="A24" s="38">
        <v>15</v>
      </c>
      <c r="B24" s="42" t="s">
        <v>169</v>
      </c>
      <c r="C24" s="233">
        <v>65777684.399999924</v>
      </c>
      <c r="D24" s="233">
        <v>200871963.80000001</v>
      </c>
      <c r="E24" s="234">
        <f t="shared" si="2"/>
        <v>266649648.19999993</v>
      </c>
      <c r="F24" s="235">
        <v>43186172.159999996</v>
      </c>
      <c r="G24" s="236">
        <v>105431890.30999997</v>
      </c>
      <c r="H24" s="237">
        <f t="shared" si="1"/>
        <v>148618062.46999997</v>
      </c>
    </row>
    <row r="25" spans="1:8" ht="15.75">
      <c r="A25" s="38">
        <v>16</v>
      </c>
      <c r="B25" s="42" t="s">
        <v>170</v>
      </c>
      <c r="C25" s="233">
        <v>147328971.34999996</v>
      </c>
      <c r="D25" s="233">
        <v>265365582.07000026</v>
      </c>
      <c r="E25" s="234">
        <f t="shared" si="2"/>
        <v>412694553.4200002</v>
      </c>
      <c r="F25" s="235">
        <v>113089361.22000003</v>
      </c>
      <c r="G25" s="236">
        <v>252770343.06000036</v>
      </c>
      <c r="H25" s="237">
        <f t="shared" si="1"/>
        <v>365859704.28000039</v>
      </c>
    </row>
    <row r="26" spans="1:8" ht="15.75">
      <c r="A26" s="38">
        <v>17</v>
      </c>
      <c r="B26" s="42" t="s">
        <v>171</v>
      </c>
      <c r="C26" s="238">
        <v>0</v>
      </c>
      <c r="D26" s="238">
        <v>0</v>
      </c>
      <c r="E26" s="234">
        <f t="shared" si="2"/>
        <v>0</v>
      </c>
      <c r="F26" s="239">
        <v>0</v>
      </c>
      <c r="G26" s="240">
        <v>0</v>
      </c>
      <c r="H26" s="237">
        <f t="shared" si="1"/>
        <v>0</v>
      </c>
    </row>
    <row r="27" spans="1:8" ht="15.75">
      <c r="A27" s="38">
        <v>18</v>
      </c>
      <c r="B27" s="42" t="s">
        <v>172</v>
      </c>
      <c r="C27" s="233">
        <v>93433000</v>
      </c>
      <c r="D27" s="233">
        <v>77873068</v>
      </c>
      <c r="E27" s="234">
        <f t="shared" si="2"/>
        <v>171306068</v>
      </c>
      <c r="F27" s="235">
        <v>54844000</v>
      </c>
      <c r="G27" s="236">
        <v>79131240</v>
      </c>
      <c r="H27" s="237">
        <f t="shared" si="1"/>
        <v>133975240</v>
      </c>
    </row>
    <row r="28" spans="1:8" ht="15.75">
      <c r="A28" s="38">
        <v>19</v>
      </c>
      <c r="B28" s="42" t="s">
        <v>173</v>
      </c>
      <c r="C28" s="233">
        <v>3140222.9699999997</v>
      </c>
      <c r="D28" s="233">
        <v>2747442.8699999996</v>
      </c>
      <c r="E28" s="234">
        <f t="shared" si="2"/>
        <v>5887665.8399999999</v>
      </c>
      <c r="F28" s="235">
        <v>2757258.8100000005</v>
      </c>
      <c r="G28" s="236">
        <v>2876645.819999997</v>
      </c>
      <c r="H28" s="237">
        <f t="shared" si="1"/>
        <v>5633904.6299999971</v>
      </c>
    </row>
    <row r="29" spans="1:8" ht="15.75">
      <c r="A29" s="38">
        <v>20</v>
      </c>
      <c r="B29" s="42" t="s">
        <v>95</v>
      </c>
      <c r="C29" s="233">
        <v>9102136.7200000044</v>
      </c>
      <c r="D29" s="233">
        <v>13106125.369999999</v>
      </c>
      <c r="E29" s="234">
        <f t="shared" si="2"/>
        <v>22208262.090000004</v>
      </c>
      <c r="F29" s="235">
        <v>10243272.819999997</v>
      </c>
      <c r="G29" s="236">
        <v>12505802.089999998</v>
      </c>
      <c r="H29" s="237">
        <f t="shared" si="1"/>
        <v>22749074.909999996</v>
      </c>
    </row>
    <row r="30" spans="1:8" ht="15.75">
      <c r="A30" s="38">
        <v>21</v>
      </c>
      <c r="B30" s="42" t="s">
        <v>174</v>
      </c>
      <c r="C30" s="233">
        <v>0</v>
      </c>
      <c r="D30" s="233">
        <v>64818855.649999999</v>
      </c>
      <c r="E30" s="234">
        <f t="shared" si="2"/>
        <v>64818855.649999999</v>
      </c>
      <c r="F30" s="235">
        <v>0</v>
      </c>
      <c r="G30" s="236">
        <v>61635280.899999999</v>
      </c>
      <c r="H30" s="237">
        <f t="shared" si="1"/>
        <v>61635280.899999999</v>
      </c>
    </row>
    <row r="31" spans="1:8" ht="15.75">
      <c r="A31" s="38">
        <v>22</v>
      </c>
      <c r="B31" s="44" t="s">
        <v>175</v>
      </c>
      <c r="C31" s="234">
        <f>SUM(C22:C30)</f>
        <v>391608432.97999978</v>
      </c>
      <c r="D31" s="234">
        <f>SUM(D22:D30)</f>
        <v>806005321.21000051</v>
      </c>
      <c r="E31" s="234">
        <f>C31+D31</f>
        <v>1197613754.1900003</v>
      </c>
      <c r="F31" s="234">
        <f>SUM(F22:F30)</f>
        <v>278724355.60000032</v>
      </c>
      <c r="G31" s="234">
        <f>SUM(G22:G30)</f>
        <v>680637579.71999848</v>
      </c>
      <c r="H31" s="237">
        <f t="shared" si="1"/>
        <v>959361935.31999874</v>
      </c>
    </row>
    <row r="32" spans="1:8" ht="15.75">
      <c r="A32" s="38"/>
      <c r="B32" s="39" t="s">
        <v>184</v>
      </c>
      <c r="C32" s="238"/>
      <c r="D32" s="238"/>
      <c r="E32" s="233"/>
      <c r="F32" s="239"/>
      <c r="G32" s="240"/>
      <c r="H32" s="241"/>
    </row>
    <row r="33" spans="1:8" ht="15.75">
      <c r="A33" s="38">
        <v>23</v>
      </c>
      <c r="B33" s="42" t="s">
        <v>176</v>
      </c>
      <c r="C33" s="233">
        <v>121372000</v>
      </c>
      <c r="D33" s="238">
        <v>0</v>
      </c>
      <c r="E33" s="234">
        <f t="shared" si="2"/>
        <v>121372000</v>
      </c>
      <c r="F33" s="235">
        <v>121372000</v>
      </c>
      <c r="G33" s="240">
        <v>0</v>
      </c>
      <c r="H33" s="237">
        <f t="shared" si="1"/>
        <v>121372000</v>
      </c>
    </row>
    <row r="34" spans="1:8" ht="15.75">
      <c r="A34" s="38">
        <v>24</v>
      </c>
      <c r="B34" s="42" t="s">
        <v>177</v>
      </c>
      <c r="C34" s="233">
        <v>0</v>
      </c>
      <c r="D34" s="238">
        <v>0</v>
      </c>
      <c r="E34" s="234">
        <f t="shared" si="2"/>
        <v>0</v>
      </c>
      <c r="F34" s="235">
        <v>0</v>
      </c>
      <c r="G34" s="240">
        <v>0</v>
      </c>
      <c r="H34" s="237">
        <f t="shared" si="1"/>
        <v>0</v>
      </c>
    </row>
    <row r="35" spans="1:8" ht="15.75">
      <c r="A35" s="38">
        <v>25</v>
      </c>
      <c r="B35" s="43" t="s">
        <v>178</v>
      </c>
      <c r="C35" s="233">
        <v>0</v>
      </c>
      <c r="D35" s="238">
        <v>0</v>
      </c>
      <c r="E35" s="234">
        <f t="shared" si="2"/>
        <v>0</v>
      </c>
      <c r="F35" s="235">
        <v>0</v>
      </c>
      <c r="G35" s="240">
        <v>0</v>
      </c>
      <c r="H35" s="237">
        <f t="shared" si="1"/>
        <v>0</v>
      </c>
    </row>
    <row r="36" spans="1:8" ht="15.75">
      <c r="A36" s="38">
        <v>26</v>
      </c>
      <c r="B36" s="42" t="s">
        <v>179</v>
      </c>
      <c r="C36" s="233">
        <v>0</v>
      </c>
      <c r="D36" s="238">
        <v>0</v>
      </c>
      <c r="E36" s="234">
        <f t="shared" si="2"/>
        <v>0</v>
      </c>
      <c r="F36" s="235">
        <v>0</v>
      </c>
      <c r="G36" s="240">
        <v>0</v>
      </c>
      <c r="H36" s="237">
        <f t="shared" si="1"/>
        <v>0</v>
      </c>
    </row>
    <row r="37" spans="1:8" ht="15.75">
      <c r="A37" s="38">
        <v>27</v>
      </c>
      <c r="B37" s="42" t="s">
        <v>180</v>
      </c>
      <c r="C37" s="233">
        <v>0</v>
      </c>
      <c r="D37" s="238">
        <v>0</v>
      </c>
      <c r="E37" s="234">
        <f t="shared" si="2"/>
        <v>0</v>
      </c>
      <c r="F37" s="235">
        <v>0</v>
      </c>
      <c r="G37" s="240">
        <v>0</v>
      </c>
      <c r="H37" s="237">
        <f t="shared" si="1"/>
        <v>0</v>
      </c>
    </row>
    <row r="38" spans="1:8" ht="15.75">
      <c r="A38" s="38">
        <v>28</v>
      </c>
      <c r="B38" s="42" t="s">
        <v>181</v>
      </c>
      <c r="C38" s="233">
        <v>11047597.130000018</v>
      </c>
      <c r="D38" s="238">
        <v>0</v>
      </c>
      <c r="E38" s="234">
        <f t="shared" si="2"/>
        <v>11047597.130000018</v>
      </c>
      <c r="F38" s="235">
        <v>-709196.13000000012</v>
      </c>
      <c r="G38" s="240">
        <v>0</v>
      </c>
      <c r="H38" s="237">
        <f t="shared" si="1"/>
        <v>-709196.13000000012</v>
      </c>
    </row>
    <row r="39" spans="1:8" ht="15.75">
      <c r="A39" s="38">
        <v>29</v>
      </c>
      <c r="B39" s="42" t="s">
        <v>196</v>
      </c>
      <c r="C39" s="233">
        <v>0</v>
      </c>
      <c r="D39" s="238">
        <v>0</v>
      </c>
      <c r="E39" s="234">
        <f t="shared" si="2"/>
        <v>0</v>
      </c>
      <c r="F39" s="235">
        <v>0</v>
      </c>
      <c r="G39" s="240">
        <v>0</v>
      </c>
      <c r="H39" s="237">
        <f t="shared" si="1"/>
        <v>0</v>
      </c>
    </row>
    <row r="40" spans="1:8" ht="15.75">
      <c r="A40" s="38">
        <v>30</v>
      </c>
      <c r="B40" s="44" t="s">
        <v>182</v>
      </c>
      <c r="C40" s="233">
        <v>132419597.13000003</v>
      </c>
      <c r="D40" s="238">
        <v>0</v>
      </c>
      <c r="E40" s="234">
        <f t="shared" si="2"/>
        <v>132419597.13000003</v>
      </c>
      <c r="F40" s="235">
        <v>120662803.87</v>
      </c>
      <c r="G40" s="240">
        <v>0</v>
      </c>
      <c r="H40" s="237">
        <f t="shared" si="1"/>
        <v>120662803.87</v>
      </c>
    </row>
    <row r="41" spans="1:8" ht="16.5" thickBot="1">
      <c r="A41" s="45">
        <v>31</v>
      </c>
      <c r="B41" s="46" t="s">
        <v>197</v>
      </c>
      <c r="C41" s="242">
        <f>C31+C40</f>
        <v>524028030.10999978</v>
      </c>
      <c r="D41" s="242">
        <f>D31+D40</f>
        <v>806005321.21000051</v>
      </c>
      <c r="E41" s="242">
        <f>C41+D41</f>
        <v>1330033351.3200002</v>
      </c>
      <c r="F41" s="242">
        <f>F31+F40</f>
        <v>399387159.47000033</v>
      </c>
      <c r="G41" s="242">
        <f>G31+G40</f>
        <v>680637579.71999848</v>
      </c>
      <c r="H41" s="243">
        <f>F41+G41</f>
        <v>1080024739.1899989</v>
      </c>
    </row>
    <row r="43" spans="1:8">
      <c r="B43" s="47"/>
    </row>
  </sheetData>
  <mergeCells count="2">
    <mergeCell ref="C5:E5"/>
    <mergeCell ref="F5:H5"/>
  </mergeCells>
  <dataValidations disablePrompts="1"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55" activePane="bottomRight" state="frozen"/>
      <selection pane="topRight" activeCell="B1" sqref="B1"/>
      <selection pane="bottomLeft" activeCell="A6" sqref="A6"/>
      <selection pane="bottomRight" activeCell="H67" sqref="C8:H67"/>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188</v>
      </c>
      <c r="B1" s="17" t="str">
        <f ca="1">Info!C2</f>
        <v>ს.ს. "ტერაბანკი"</v>
      </c>
      <c r="C1" s="17"/>
    </row>
    <row r="2" spans="1:8" ht="15.75">
      <c r="A2" s="18" t="s">
        <v>189</v>
      </c>
      <c r="B2" s="457">
        <f>'1. key ratios'!B2</f>
        <v>44286</v>
      </c>
      <c r="C2" s="30"/>
      <c r="D2" s="19"/>
      <c r="E2" s="19"/>
      <c r="F2" s="19"/>
      <c r="G2" s="19"/>
      <c r="H2" s="19"/>
    </row>
    <row r="3" spans="1:8" ht="15.75">
      <c r="A3" s="18"/>
      <c r="B3" s="17"/>
      <c r="C3" s="30"/>
      <c r="D3" s="19"/>
      <c r="E3" s="19"/>
      <c r="F3" s="19"/>
      <c r="G3" s="19"/>
      <c r="H3" s="19"/>
    </row>
    <row r="4" spans="1:8" ht="16.5" thickBot="1">
      <c r="A4" s="48" t="s">
        <v>330</v>
      </c>
      <c r="B4" s="31" t="s">
        <v>222</v>
      </c>
      <c r="C4" s="34"/>
      <c r="D4" s="34"/>
      <c r="E4" s="34"/>
      <c r="F4" s="48"/>
      <c r="G4" s="48"/>
      <c r="H4" s="49" t="s">
        <v>93</v>
      </c>
    </row>
    <row r="5" spans="1:8" ht="15.75">
      <c r="A5" s="124"/>
      <c r="B5" s="125"/>
      <c r="C5" s="533" t="s">
        <v>194</v>
      </c>
      <c r="D5" s="534"/>
      <c r="E5" s="535"/>
      <c r="F5" s="533" t="s">
        <v>195</v>
      </c>
      <c r="G5" s="534"/>
      <c r="H5" s="536"/>
    </row>
    <row r="6" spans="1:8">
      <c r="A6" s="126" t="s">
        <v>26</v>
      </c>
      <c r="B6" s="50"/>
      <c r="C6" s="51" t="s">
        <v>27</v>
      </c>
      <c r="D6" s="51" t="s">
        <v>96</v>
      </c>
      <c r="E6" s="51" t="s">
        <v>68</v>
      </c>
      <c r="F6" s="51" t="s">
        <v>27</v>
      </c>
      <c r="G6" s="51" t="s">
        <v>96</v>
      </c>
      <c r="H6" s="127" t="s">
        <v>68</v>
      </c>
    </row>
    <row r="7" spans="1:8">
      <c r="A7" s="128"/>
      <c r="B7" s="53" t="s">
        <v>92</v>
      </c>
      <c r="C7" s="54"/>
      <c r="D7" s="54"/>
      <c r="E7" s="54"/>
      <c r="F7" s="54"/>
      <c r="G7" s="54"/>
      <c r="H7" s="129"/>
    </row>
    <row r="8" spans="1:8" ht="15.75">
      <c r="A8" s="128">
        <v>1</v>
      </c>
      <c r="B8" s="55" t="s">
        <v>97</v>
      </c>
      <c r="C8" s="244">
        <v>242796.01</v>
      </c>
      <c r="D8" s="244">
        <v>-125423.10999999999</v>
      </c>
      <c r="E8" s="234">
        <f>C8+D8</f>
        <v>117372.90000000002</v>
      </c>
      <c r="F8" s="244">
        <v>282961.76</v>
      </c>
      <c r="G8" s="244">
        <v>230439.42</v>
      </c>
      <c r="H8" s="245">
        <f>F8+G8</f>
        <v>513401.18000000005</v>
      </c>
    </row>
    <row r="9" spans="1:8" ht="15.75">
      <c r="A9" s="128">
        <v>2</v>
      </c>
      <c r="B9" s="55" t="s">
        <v>98</v>
      </c>
      <c r="C9" s="246">
        <f>SUM(C10:C18)</f>
        <v>10935879.02</v>
      </c>
      <c r="D9" s="246">
        <f>SUM(D10:D18)</f>
        <v>10243790.480000002</v>
      </c>
      <c r="E9" s="234">
        <f t="shared" ref="E9:E67" si="0">C9+D9</f>
        <v>21179669.5</v>
      </c>
      <c r="F9" s="246">
        <f>SUM(F10:F18)</f>
        <v>9000269.4299999997</v>
      </c>
      <c r="G9" s="246">
        <f>SUM(G10:G18)</f>
        <v>9084825.8900000006</v>
      </c>
      <c r="H9" s="245">
        <f t="shared" ref="H9:H67" si="1">F9+G9</f>
        <v>18085095.32</v>
      </c>
    </row>
    <row r="10" spans="1:8" ht="15.75">
      <c r="A10" s="128">
        <v>2.1</v>
      </c>
      <c r="B10" s="56" t="s">
        <v>99</v>
      </c>
      <c r="C10" s="244">
        <v>0</v>
      </c>
      <c r="D10" s="244">
        <v>0</v>
      </c>
      <c r="E10" s="234">
        <f t="shared" si="0"/>
        <v>0</v>
      </c>
      <c r="F10" s="244">
        <v>0</v>
      </c>
      <c r="G10" s="244">
        <v>0</v>
      </c>
      <c r="H10" s="245">
        <f t="shared" si="1"/>
        <v>0</v>
      </c>
    </row>
    <row r="11" spans="1:8" ht="15.75">
      <c r="A11" s="128">
        <v>2.2000000000000002</v>
      </c>
      <c r="B11" s="56" t="s">
        <v>100</v>
      </c>
      <c r="C11" s="244">
        <v>2363962.9000000004</v>
      </c>
      <c r="D11" s="244">
        <v>3897025.97</v>
      </c>
      <c r="E11" s="234">
        <f t="shared" si="0"/>
        <v>6260988.870000001</v>
      </c>
      <c r="F11" s="244">
        <v>1633967.38</v>
      </c>
      <c r="G11" s="244">
        <v>3438681.5199999996</v>
      </c>
      <c r="H11" s="245">
        <f t="shared" si="1"/>
        <v>5072648.8999999994</v>
      </c>
    </row>
    <row r="12" spans="1:8" ht="15.75">
      <c r="A12" s="128">
        <v>2.2999999999999998</v>
      </c>
      <c r="B12" s="56" t="s">
        <v>101</v>
      </c>
      <c r="C12" s="244">
        <v>0</v>
      </c>
      <c r="D12" s="244">
        <v>48716.66</v>
      </c>
      <c r="E12" s="234">
        <f t="shared" si="0"/>
        <v>48716.66</v>
      </c>
      <c r="F12" s="244">
        <v>0</v>
      </c>
      <c r="G12" s="244">
        <v>432157.59</v>
      </c>
      <c r="H12" s="245">
        <f t="shared" si="1"/>
        <v>432157.59</v>
      </c>
    </row>
    <row r="13" spans="1:8" ht="15.75">
      <c r="A13" s="128">
        <v>2.4</v>
      </c>
      <c r="B13" s="56" t="s">
        <v>102</v>
      </c>
      <c r="C13" s="244">
        <v>138528.07</v>
      </c>
      <c r="D13" s="244">
        <v>31583.540000000005</v>
      </c>
      <c r="E13" s="234">
        <f t="shared" si="0"/>
        <v>170111.61000000002</v>
      </c>
      <c r="F13" s="244">
        <v>99778.719999999987</v>
      </c>
      <c r="G13" s="244">
        <v>36701.890000000007</v>
      </c>
      <c r="H13" s="245">
        <f t="shared" si="1"/>
        <v>136480.60999999999</v>
      </c>
    </row>
    <row r="14" spans="1:8" ht="15.75">
      <c r="A14" s="128">
        <v>2.5</v>
      </c>
      <c r="B14" s="56" t="s">
        <v>103</v>
      </c>
      <c r="C14" s="244">
        <v>150172.19999999998</v>
      </c>
      <c r="D14" s="244">
        <v>1310789.8600000001</v>
      </c>
      <c r="E14" s="234">
        <f t="shared" si="0"/>
        <v>1460962.06</v>
      </c>
      <c r="F14" s="244">
        <v>80188.639999999999</v>
      </c>
      <c r="G14" s="244">
        <v>920549.57999999984</v>
      </c>
      <c r="H14" s="245">
        <f t="shared" si="1"/>
        <v>1000738.2199999999</v>
      </c>
    </row>
    <row r="15" spans="1:8" ht="15.75">
      <c r="A15" s="128">
        <v>2.6</v>
      </c>
      <c r="B15" s="56" t="s">
        <v>104</v>
      </c>
      <c r="C15" s="244">
        <v>5143.07</v>
      </c>
      <c r="D15" s="244">
        <v>6384.99</v>
      </c>
      <c r="E15" s="234">
        <f t="shared" si="0"/>
        <v>11528.06</v>
      </c>
      <c r="F15" s="244">
        <v>7150.21</v>
      </c>
      <c r="G15" s="244">
        <v>6279.73</v>
      </c>
      <c r="H15" s="245">
        <f t="shared" si="1"/>
        <v>13429.939999999999</v>
      </c>
    </row>
    <row r="16" spans="1:8" ht="15.75">
      <c r="A16" s="128">
        <v>2.7</v>
      </c>
      <c r="B16" s="56" t="s">
        <v>105</v>
      </c>
      <c r="C16" s="244">
        <v>2215.6999999999998</v>
      </c>
      <c r="D16" s="244">
        <v>0</v>
      </c>
      <c r="E16" s="234">
        <f t="shared" si="0"/>
        <v>2215.6999999999998</v>
      </c>
      <c r="F16" s="244">
        <v>965.58</v>
      </c>
      <c r="G16" s="244">
        <v>0</v>
      </c>
      <c r="H16" s="245">
        <f t="shared" si="1"/>
        <v>965.58</v>
      </c>
    </row>
    <row r="17" spans="1:8" ht="15.75">
      <c r="A17" s="128">
        <v>2.8</v>
      </c>
      <c r="B17" s="56" t="s">
        <v>106</v>
      </c>
      <c r="C17" s="244">
        <v>7108672.2599999988</v>
      </c>
      <c r="D17" s="244">
        <v>4669906.2400000012</v>
      </c>
      <c r="E17" s="234">
        <f t="shared" si="0"/>
        <v>11778578.5</v>
      </c>
      <c r="F17" s="244">
        <v>6231156.3300000001</v>
      </c>
      <c r="G17" s="244">
        <v>3868553.61</v>
      </c>
      <c r="H17" s="245">
        <f t="shared" si="1"/>
        <v>10099709.939999999</v>
      </c>
    </row>
    <row r="18" spans="1:8" ht="15.75">
      <c r="A18" s="128">
        <v>2.9</v>
      </c>
      <c r="B18" s="56" t="s">
        <v>107</v>
      </c>
      <c r="C18" s="244">
        <v>1167184.8199999994</v>
      </c>
      <c r="D18" s="244">
        <v>279383.21999999997</v>
      </c>
      <c r="E18" s="234">
        <f t="shared" si="0"/>
        <v>1446568.0399999993</v>
      </c>
      <c r="F18" s="244">
        <v>947062.57</v>
      </c>
      <c r="G18" s="244">
        <v>381901.97000000003</v>
      </c>
      <c r="H18" s="245">
        <f t="shared" si="1"/>
        <v>1328964.54</v>
      </c>
    </row>
    <row r="19" spans="1:8" ht="15.75">
      <c r="A19" s="128">
        <v>3</v>
      </c>
      <c r="B19" s="55" t="s">
        <v>108</v>
      </c>
      <c r="C19" s="244">
        <v>193529.54000000007</v>
      </c>
      <c r="D19" s="244">
        <v>263176.07</v>
      </c>
      <c r="E19" s="234">
        <f t="shared" si="0"/>
        <v>456705.6100000001</v>
      </c>
      <c r="F19" s="244">
        <v>364120.99</v>
      </c>
      <c r="G19" s="244">
        <v>538610.09999999986</v>
      </c>
      <c r="H19" s="245">
        <f t="shared" si="1"/>
        <v>902731.08999999985</v>
      </c>
    </row>
    <row r="20" spans="1:8" ht="15.75">
      <c r="A20" s="128">
        <v>4</v>
      </c>
      <c r="B20" s="55" t="s">
        <v>109</v>
      </c>
      <c r="C20" s="244">
        <v>1805989.21</v>
      </c>
      <c r="D20" s="244">
        <v>0</v>
      </c>
      <c r="E20" s="234">
        <f t="shared" si="0"/>
        <v>1805989.21</v>
      </c>
      <c r="F20" s="244">
        <v>1195269.32</v>
      </c>
      <c r="G20" s="244">
        <v>0</v>
      </c>
      <c r="H20" s="245">
        <f t="shared" si="1"/>
        <v>1195269.32</v>
      </c>
    </row>
    <row r="21" spans="1:8" ht="15.75">
      <c r="A21" s="128">
        <v>5</v>
      </c>
      <c r="B21" s="55" t="s">
        <v>110</v>
      </c>
      <c r="C21" s="244">
        <v>174176</v>
      </c>
      <c r="D21" s="244">
        <v>114151.89000000001</v>
      </c>
      <c r="E21" s="234">
        <f t="shared" si="0"/>
        <v>288327.89</v>
      </c>
      <c r="F21" s="244">
        <v>160739.67000000001</v>
      </c>
      <c r="G21" s="244">
        <v>94864.450000000012</v>
      </c>
      <c r="H21" s="245">
        <f>F21+G21</f>
        <v>255604.12000000002</v>
      </c>
    </row>
    <row r="22" spans="1:8" ht="15.75">
      <c r="A22" s="128">
        <v>6</v>
      </c>
      <c r="B22" s="57" t="s">
        <v>111</v>
      </c>
      <c r="C22" s="246">
        <f>C8+C9+C19+C20+C21</f>
        <v>13352369.780000001</v>
      </c>
      <c r="D22" s="246">
        <f>D8+D9+D19+D20+D21</f>
        <v>10495695.330000004</v>
      </c>
      <c r="E22" s="234">
        <f>C22+D22</f>
        <v>23848065.110000007</v>
      </c>
      <c r="F22" s="246">
        <f>F8+F9+F19+F20+F21</f>
        <v>11003361.17</v>
      </c>
      <c r="G22" s="246">
        <f>G8+G9+G19+G20+G21</f>
        <v>9948739.8599999994</v>
      </c>
      <c r="H22" s="245">
        <f>F22+G22</f>
        <v>20952101.030000001</v>
      </c>
    </row>
    <row r="23" spans="1:8" ht="15.75">
      <c r="A23" s="128"/>
      <c r="B23" s="53" t="s">
        <v>90</v>
      </c>
      <c r="C23" s="244"/>
      <c r="D23" s="244"/>
      <c r="E23" s="233"/>
      <c r="F23" s="244"/>
      <c r="G23" s="244"/>
      <c r="H23" s="247"/>
    </row>
    <row r="24" spans="1:8" ht="15.75">
      <c r="A24" s="128">
        <v>7</v>
      </c>
      <c r="B24" s="55" t="s">
        <v>112</v>
      </c>
      <c r="C24" s="244">
        <v>1746836.92</v>
      </c>
      <c r="D24" s="244">
        <v>874565.45</v>
      </c>
      <c r="E24" s="234">
        <f t="shared" si="0"/>
        <v>2621402.37</v>
      </c>
      <c r="F24" s="244">
        <v>1133700.94</v>
      </c>
      <c r="G24" s="244">
        <v>462718.02</v>
      </c>
      <c r="H24" s="245">
        <f t="shared" si="1"/>
        <v>1596418.96</v>
      </c>
    </row>
    <row r="25" spans="1:8" ht="15.75">
      <c r="A25" s="128">
        <v>8</v>
      </c>
      <c r="B25" s="55" t="s">
        <v>113</v>
      </c>
      <c r="C25" s="244">
        <v>3861079.1100000003</v>
      </c>
      <c r="D25" s="244">
        <v>2476444.67</v>
      </c>
      <c r="E25" s="234">
        <f t="shared" si="0"/>
        <v>6337523.7800000003</v>
      </c>
      <c r="F25" s="244">
        <v>3079291.7500000005</v>
      </c>
      <c r="G25" s="244">
        <v>2393679.7700000005</v>
      </c>
      <c r="H25" s="245">
        <f t="shared" si="1"/>
        <v>5472971.5200000014</v>
      </c>
    </row>
    <row r="26" spans="1:8" ht="15.75">
      <c r="A26" s="128">
        <v>9</v>
      </c>
      <c r="B26" s="55" t="s">
        <v>114</v>
      </c>
      <c r="C26" s="244">
        <v>0</v>
      </c>
      <c r="D26" s="244">
        <v>40620.78</v>
      </c>
      <c r="E26" s="234">
        <f t="shared" si="0"/>
        <v>40620.78</v>
      </c>
      <c r="F26" s="244">
        <v>0</v>
      </c>
      <c r="G26" s="244">
        <v>26054.98</v>
      </c>
      <c r="H26" s="245">
        <f t="shared" si="1"/>
        <v>26054.98</v>
      </c>
    </row>
    <row r="27" spans="1:8" ht="15.75">
      <c r="A27" s="128">
        <v>10</v>
      </c>
      <c r="B27" s="55" t="s">
        <v>115</v>
      </c>
      <c r="C27" s="244">
        <v>0</v>
      </c>
      <c r="D27" s="244">
        <v>0</v>
      </c>
      <c r="E27" s="234">
        <f t="shared" si="0"/>
        <v>0</v>
      </c>
      <c r="F27" s="244">
        <v>0</v>
      </c>
      <c r="G27" s="244">
        <v>0</v>
      </c>
      <c r="H27" s="245">
        <f t="shared" si="1"/>
        <v>0</v>
      </c>
    </row>
    <row r="28" spans="1:8" ht="15.75">
      <c r="A28" s="128">
        <v>11</v>
      </c>
      <c r="B28" s="55" t="s">
        <v>116</v>
      </c>
      <c r="C28" s="244">
        <v>2150208.14</v>
      </c>
      <c r="D28" s="244">
        <v>1863042.7699999998</v>
      </c>
      <c r="E28" s="234">
        <f t="shared" si="0"/>
        <v>4013250.91</v>
      </c>
      <c r="F28" s="244">
        <v>1241562.51</v>
      </c>
      <c r="G28" s="244">
        <v>1686507.0299999998</v>
      </c>
      <c r="H28" s="245">
        <f t="shared" si="1"/>
        <v>2928069.54</v>
      </c>
    </row>
    <row r="29" spans="1:8" ht="15.75">
      <c r="A29" s="128">
        <v>12</v>
      </c>
      <c r="B29" s="55" t="s">
        <v>117</v>
      </c>
      <c r="C29" s="244">
        <v>0</v>
      </c>
      <c r="D29" s="244">
        <v>0</v>
      </c>
      <c r="E29" s="234">
        <f t="shared" si="0"/>
        <v>0</v>
      </c>
      <c r="F29" s="244">
        <v>0</v>
      </c>
      <c r="G29" s="244">
        <v>0</v>
      </c>
      <c r="H29" s="245">
        <f t="shared" si="1"/>
        <v>0</v>
      </c>
    </row>
    <row r="30" spans="1:8" ht="15.75">
      <c r="A30" s="128">
        <v>13</v>
      </c>
      <c r="B30" s="58" t="s">
        <v>118</v>
      </c>
      <c r="C30" s="246">
        <f>SUM(C24:C29)</f>
        <v>7758124.1699999999</v>
      </c>
      <c r="D30" s="246">
        <f>SUM(D24:D29)</f>
        <v>5254673.67</v>
      </c>
      <c r="E30" s="234">
        <f t="shared" si="0"/>
        <v>13012797.84</v>
      </c>
      <c r="F30" s="246">
        <f>SUM(F24:F29)</f>
        <v>5454555.2000000002</v>
      </c>
      <c r="G30" s="246">
        <f>SUM(G24:G29)</f>
        <v>4568959.8000000007</v>
      </c>
      <c r="H30" s="245">
        <f t="shared" si="1"/>
        <v>10023515</v>
      </c>
    </row>
    <row r="31" spans="1:8" ht="15.75">
      <c r="A31" s="128">
        <v>14</v>
      </c>
      <c r="B31" s="58" t="s">
        <v>119</v>
      </c>
      <c r="C31" s="246">
        <f>C22-C30</f>
        <v>5594245.6100000013</v>
      </c>
      <c r="D31" s="246">
        <f>D22-D30</f>
        <v>5241021.6600000039</v>
      </c>
      <c r="E31" s="234">
        <f t="shared" si="0"/>
        <v>10835267.270000005</v>
      </c>
      <c r="F31" s="246">
        <f>F22-F30</f>
        <v>5548805.9699999997</v>
      </c>
      <c r="G31" s="246">
        <f>G22-G30</f>
        <v>5379780.0599999987</v>
      </c>
      <c r="H31" s="245">
        <f t="shared" si="1"/>
        <v>10928586.029999997</v>
      </c>
    </row>
    <row r="32" spans="1:8">
      <c r="A32" s="128"/>
      <c r="B32" s="53"/>
      <c r="C32" s="248"/>
      <c r="D32" s="248"/>
      <c r="E32" s="248"/>
      <c r="F32" s="248"/>
      <c r="G32" s="248"/>
      <c r="H32" s="249"/>
    </row>
    <row r="33" spans="1:8" ht="15.75">
      <c r="A33" s="128"/>
      <c r="B33" s="53" t="s">
        <v>120</v>
      </c>
      <c r="C33" s="244">
        <v>0</v>
      </c>
      <c r="D33" s="244">
        <v>0</v>
      </c>
      <c r="E33" s="233"/>
      <c r="F33" s="244"/>
      <c r="G33" s="244"/>
      <c r="H33" s="247"/>
    </row>
    <row r="34" spans="1:8" ht="15.75">
      <c r="A34" s="128">
        <v>15</v>
      </c>
      <c r="B34" s="52" t="s">
        <v>91</v>
      </c>
      <c r="C34" s="250">
        <f>C35-C36</f>
        <v>522073.86999999953</v>
      </c>
      <c r="D34" s="250">
        <f>D35-D36</f>
        <v>156686.96000000014</v>
      </c>
      <c r="E34" s="234">
        <f t="shared" si="0"/>
        <v>678760.82999999961</v>
      </c>
      <c r="F34" s="250">
        <f>F35-F36</f>
        <v>635026.4700000009</v>
      </c>
      <c r="G34" s="250">
        <f>G35-G36</f>
        <v>99575.640000000014</v>
      </c>
      <c r="H34" s="245">
        <f t="shared" si="1"/>
        <v>734602.11000000092</v>
      </c>
    </row>
    <row r="35" spans="1:8" ht="15.75">
      <c r="A35" s="128">
        <v>15.1</v>
      </c>
      <c r="B35" s="56" t="s">
        <v>121</v>
      </c>
      <c r="C35" s="244">
        <v>1036678.0399999996</v>
      </c>
      <c r="D35" s="244">
        <v>635178.3600000001</v>
      </c>
      <c r="E35" s="234">
        <f t="shared" si="0"/>
        <v>1671856.3999999997</v>
      </c>
      <c r="F35" s="244">
        <v>1205444.280000001</v>
      </c>
      <c r="G35" s="244">
        <v>798425.76</v>
      </c>
      <c r="H35" s="245">
        <f t="shared" si="1"/>
        <v>2003870.040000001</v>
      </c>
    </row>
    <row r="36" spans="1:8" ht="15.75">
      <c r="A36" s="128">
        <v>15.2</v>
      </c>
      <c r="B36" s="56" t="s">
        <v>122</v>
      </c>
      <c r="C36" s="244">
        <v>514604.17000000004</v>
      </c>
      <c r="D36" s="244">
        <v>478491.39999999997</v>
      </c>
      <c r="E36" s="234">
        <f t="shared" si="0"/>
        <v>993095.57000000007</v>
      </c>
      <c r="F36" s="244">
        <v>570417.81000000006</v>
      </c>
      <c r="G36" s="244">
        <v>698850.12</v>
      </c>
      <c r="H36" s="245">
        <f t="shared" si="1"/>
        <v>1269267.9300000002</v>
      </c>
    </row>
    <row r="37" spans="1:8" ht="15.75">
      <c r="A37" s="128">
        <v>16</v>
      </c>
      <c r="B37" s="55" t="s">
        <v>123</v>
      </c>
      <c r="C37" s="244">
        <v>0</v>
      </c>
      <c r="D37" s="244">
        <v>0</v>
      </c>
      <c r="E37" s="234">
        <f t="shared" si="0"/>
        <v>0</v>
      </c>
      <c r="F37" s="244">
        <v>0</v>
      </c>
      <c r="G37" s="244">
        <v>0</v>
      </c>
      <c r="H37" s="245">
        <f t="shared" si="1"/>
        <v>0</v>
      </c>
    </row>
    <row r="38" spans="1:8" ht="15.75">
      <c r="A38" s="128">
        <v>17</v>
      </c>
      <c r="B38" s="55" t="s">
        <v>124</v>
      </c>
      <c r="C38" s="244">
        <v>0</v>
      </c>
      <c r="D38" s="244">
        <v>0</v>
      </c>
      <c r="E38" s="234">
        <f t="shared" si="0"/>
        <v>0</v>
      </c>
      <c r="F38" s="244">
        <v>0</v>
      </c>
      <c r="G38" s="244">
        <v>0</v>
      </c>
      <c r="H38" s="245">
        <f t="shared" si="1"/>
        <v>0</v>
      </c>
    </row>
    <row r="39" spans="1:8" ht="15.75">
      <c r="A39" s="128">
        <v>18</v>
      </c>
      <c r="B39" s="55" t="s">
        <v>125</v>
      </c>
      <c r="C39" s="244">
        <v>0</v>
      </c>
      <c r="D39" s="244">
        <v>0</v>
      </c>
      <c r="E39" s="234">
        <f t="shared" si="0"/>
        <v>0</v>
      </c>
      <c r="F39" s="244">
        <v>0</v>
      </c>
      <c r="G39" s="244">
        <v>0</v>
      </c>
      <c r="H39" s="245">
        <f t="shared" si="1"/>
        <v>0</v>
      </c>
    </row>
    <row r="40" spans="1:8" ht="15.75">
      <c r="A40" s="128">
        <v>19</v>
      </c>
      <c r="B40" s="55" t="s">
        <v>126</v>
      </c>
      <c r="C40" s="244">
        <v>2110150.0700000003</v>
      </c>
      <c r="D40" s="244">
        <v>0</v>
      </c>
      <c r="E40" s="234">
        <f t="shared" si="0"/>
        <v>2110150.0700000003</v>
      </c>
      <c r="F40" s="244">
        <v>2208861.1100000008</v>
      </c>
      <c r="G40" s="244">
        <v>0</v>
      </c>
      <c r="H40" s="245">
        <f t="shared" si="1"/>
        <v>2208861.1100000008</v>
      </c>
    </row>
    <row r="41" spans="1:8" ht="15.75">
      <c r="A41" s="128">
        <v>20</v>
      </c>
      <c r="B41" s="55" t="s">
        <v>127</v>
      </c>
      <c r="C41" s="244">
        <v>-892839.99000000022</v>
      </c>
      <c r="D41" s="244">
        <v>0</v>
      </c>
      <c r="E41" s="234">
        <f t="shared" si="0"/>
        <v>-892839.99000000022</v>
      </c>
      <c r="F41" s="244">
        <v>1635173.1599999983</v>
      </c>
      <c r="G41" s="244">
        <v>0</v>
      </c>
      <c r="H41" s="245">
        <f t="shared" si="1"/>
        <v>1635173.1599999983</v>
      </c>
    </row>
    <row r="42" spans="1:8" ht="15.75">
      <c r="A42" s="128">
        <v>21</v>
      </c>
      <c r="B42" s="55" t="s">
        <v>128</v>
      </c>
      <c r="C42" s="244">
        <v>24890.49</v>
      </c>
      <c r="D42" s="244">
        <v>0</v>
      </c>
      <c r="E42" s="234">
        <f t="shared" si="0"/>
        <v>24890.49</v>
      </c>
      <c r="F42" s="244">
        <v>27125.68</v>
      </c>
      <c r="G42" s="244">
        <v>0</v>
      </c>
      <c r="H42" s="245">
        <f t="shared" si="1"/>
        <v>27125.68</v>
      </c>
    </row>
    <row r="43" spans="1:8" ht="15.75">
      <c r="A43" s="128">
        <v>22</v>
      </c>
      <c r="B43" s="55" t="s">
        <v>129</v>
      </c>
      <c r="C43" s="244">
        <v>68.400000000000006</v>
      </c>
      <c r="D43" s="244">
        <v>716.49</v>
      </c>
      <c r="E43" s="234">
        <f t="shared" si="0"/>
        <v>784.89</v>
      </c>
      <c r="F43" s="244">
        <v>50</v>
      </c>
      <c r="G43" s="244">
        <v>1273.42</v>
      </c>
      <c r="H43" s="245">
        <f t="shared" si="1"/>
        <v>1323.42</v>
      </c>
    </row>
    <row r="44" spans="1:8" ht="15.75">
      <c r="A44" s="128">
        <v>23</v>
      </c>
      <c r="B44" s="55" t="s">
        <v>130</v>
      </c>
      <c r="C44" s="244">
        <v>12281.41</v>
      </c>
      <c r="D44" s="244">
        <v>67637.599999999991</v>
      </c>
      <c r="E44" s="234">
        <f t="shared" si="0"/>
        <v>79919.009999999995</v>
      </c>
      <c r="F44" s="244">
        <v>36271.859999999993</v>
      </c>
      <c r="G44" s="244">
        <v>0</v>
      </c>
      <c r="H44" s="245">
        <f t="shared" si="1"/>
        <v>36271.859999999993</v>
      </c>
    </row>
    <row r="45" spans="1:8" ht="15.75">
      <c r="A45" s="128">
        <v>24</v>
      </c>
      <c r="B45" s="58" t="s">
        <v>131</v>
      </c>
      <c r="C45" s="246">
        <f>C34+C37+C38+C39+C40+C41+C42+C43+C44</f>
        <v>1776624.2499999995</v>
      </c>
      <c r="D45" s="246">
        <f>D34+D37+D38+D39+D40+D41+D42+D43+D44</f>
        <v>225041.0500000001</v>
      </c>
      <c r="E45" s="234">
        <f t="shared" si="0"/>
        <v>2001665.2999999996</v>
      </c>
      <c r="F45" s="246">
        <f>F34+F37+F38+F39+F40+F41+F42+F43+F44</f>
        <v>4542508.28</v>
      </c>
      <c r="G45" s="246">
        <f>G34+G37+G38+G39+G40+G41+G42+G43+G44</f>
        <v>100849.06000000001</v>
      </c>
      <c r="H45" s="245">
        <f t="shared" si="1"/>
        <v>4643357.34</v>
      </c>
    </row>
    <row r="46" spans="1:8">
      <c r="A46" s="128"/>
      <c r="B46" s="53" t="s">
        <v>132</v>
      </c>
      <c r="C46" s="244"/>
      <c r="D46" s="244"/>
      <c r="E46" s="244"/>
      <c r="F46" s="244"/>
      <c r="G46" s="244"/>
      <c r="H46" s="251"/>
    </row>
    <row r="47" spans="1:8" ht="15.75">
      <c r="A47" s="128">
        <v>25</v>
      </c>
      <c r="B47" s="55" t="s">
        <v>133</v>
      </c>
      <c r="C47" s="244">
        <v>212230.72</v>
      </c>
      <c r="D47" s="244">
        <v>128244.31000000001</v>
      </c>
      <c r="E47" s="234">
        <f t="shared" si="0"/>
        <v>340475.03</v>
      </c>
      <c r="F47" s="244">
        <v>167282.45999999996</v>
      </c>
      <c r="G47" s="244">
        <v>122929.34999999999</v>
      </c>
      <c r="H47" s="245">
        <f t="shared" si="1"/>
        <v>290211.80999999994</v>
      </c>
    </row>
    <row r="48" spans="1:8" ht="15.75">
      <c r="A48" s="128">
        <v>26</v>
      </c>
      <c r="B48" s="55" t="s">
        <v>134</v>
      </c>
      <c r="C48" s="244">
        <v>289972.92999999988</v>
      </c>
      <c r="D48" s="244">
        <v>37129.03</v>
      </c>
      <c r="E48" s="234">
        <f t="shared" si="0"/>
        <v>327101.95999999985</v>
      </c>
      <c r="F48" s="244">
        <v>423233.5199999999</v>
      </c>
      <c r="G48" s="244">
        <v>5983.4400000000005</v>
      </c>
      <c r="H48" s="245">
        <f t="shared" si="1"/>
        <v>429216.9599999999</v>
      </c>
    </row>
    <row r="49" spans="1:9" ht="15.75">
      <c r="A49" s="128">
        <v>27</v>
      </c>
      <c r="B49" s="55" t="s">
        <v>135</v>
      </c>
      <c r="C49" s="244">
        <v>2996621.49</v>
      </c>
      <c r="D49" s="244">
        <v>0</v>
      </c>
      <c r="E49" s="234">
        <f t="shared" si="0"/>
        <v>2996621.49</v>
      </c>
      <c r="F49" s="244">
        <v>3474429.379999999</v>
      </c>
      <c r="G49" s="244">
        <v>0</v>
      </c>
      <c r="H49" s="245">
        <f t="shared" si="1"/>
        <v>3474429.379999999</v>
      </c>
    </row>
    <row r="50" spans="1:9" ht="15.75">
      <c r="A50" s="128">
        <v>28</v>
      </c>
      <c r="B50" s="55" t="s">
        <v>271</v>
      </c>
      <c r="C50" s="244">
        <v>0</v>
      </c>
      <c r="D50" s="244">
        <v>0</v>
      </c>
      <c r="E50" s="234">
        <f t="shared" si="0"/>
        <v>0</v>
      </c>
      <c r="F50" s="244">
        <v>0</v>
      </c>
      <c r="G50" s="244">
        <v>0</v>
      </c>
      <c r="H50" s="245">
        <f t="shared" si="1"/>
        <v>0</v>
      </c>
    </row>
    <row r="51" spans="1:9" ht="15.75">
      <c r="A51" s="128">
        <v>29</v>
      </c>
      <c r="B51" s="55" t="s">
        <v>136</v>
      </c>
      <c r="C51" s="244">
        <v>1298469.92</v>
      </c>
      <c r="D51" s="244">
        <v>0</v>
      </c>
      <c r="E51" s="234">
        <f t="shared" si="0"/>
        <v>1298469.92</v>
      </c>
      <c r="F51" s="244">
        <v>1295254.75</v>
      </c>
      <c r="G51" s="244">
        <v>0</v>
      </c>
      <c r="H51" s="245">
        <f t="shared" si="1"/>
        <v>1295254.75</v>
      </c>
    </row>
    <row r="52" spans="1:9" ht="15.75">
      <c r="A52" s="128">
        <v>30</v>
      </c>
      <c r="B52" s="55" t="s">
        <v>137</v>
      </c>
      <c r="C52" s="244">
        <v>1262774.4099999997</v>
      </c>
      <c r="D52" s="244">
        <v>4828.96</v>
      </c>
      <c r="E52" s="234">
        <f t="shared" si="0"/>
        <v>1267603.3699999996</v>
      </c>
      <c r="F52" s="244">
        <v>1218033.8500000001</v>
      </c>
      <c r="G52" s="244">
        <v>0</v>
      </c>
      <c r="H52" s="245">
        <f t="shared" si="1"/>
        <v>1218033.8500000001</v>
      </c>
    </row>
    <row r="53" spans="1:9" ht="15.75">
      <c r="A53" s="128">
        <v>31</v>
      </c>
      <c r="B53" s="58" t="s">
        <v>138</v>
      </c>
      <c r="C53" s="246">
        <f>C47+C48+C49+C50+C51+C52</f>
        <v>6060069.4700000007</v>
      </c>
      <c r="D53" s="246">
        <f>D47+D48+D49+D50+D51+D52</f>
        <v>170202.30000000002</v>
      </c>
      <c r="E53" s="234">
        <f t="shared" si="0"/>
        <v>6230271.7700000005</v>
      </c>
      <c r="F53" s="246">
        <f>F47+F48+F49+F50+F51+F52</f>
        <v>6578233.959999999</v>
      </c>
      <c r="G53" s="246">
        <f>G47+G48+G49+G50+G51+G52</f>
        <v>128912.79</v>
      </c>
      <c r="H53" s="245">
        <f t="shared" si="1"/>
        <v>6707146.7499999991</v>
      </c>
    </row>
    <row r="54" spans="1:9" ht="15.75">
      <c r="A54" s="128">
        <v>32</v>
      </c>
      <c r="B54" s="58" t="s">
        <v>139</v>
      </c>
      <c r="C54" s="246">
        <f>C45-C53</f>
        <v>-4283445.2200000007</v>
      </c>
      <c r="D54" s="246">
        <f>D45-D53</f>
        <v>54838.750000000087</v>
      </c>
      <c r="E54" s="234">
        <f t="shared" si="0"/>
        <v>-4228606.4700000007</v>
      </c>
      <c r="F54" s="246">
        <f>F45-F53</f>
        <v>-2035725.6799999988</v>
      </c>
      <c r="G54" s="246">
        <f>G45-G53</f>
        <v>-28063.729999999981</v>
      </c>
      <c r="H54" s="245">
        <f t="shared" si="1"/>
        <v>-2063789.4099999988</v>
      </c>
    </row>
    <row r="55" spans="1:9">
      <c r="A55" s="128"/>
      <c r="B55" s="53"/>
      <c r="C55" s="248"/>
      <c r="D55" s="248"/>
      <c r="E55" s="248"/>
      <c r="F55" s="248"/>
      <c r="G55" s="248"/>
      <c r="H55" s="249"/>
    </row>
    <row r="56" spans="1:9" ht="15.75">
      <c r="A56" s="128">
        <v>33</v>
      </c>
      <c r="B56" s="58" t="s">
        <v>140</v>
      </c>
      <c r="C56" s="246">
        <f>C31+C54</f>
        <v>1310800.3900000006</v>
      </c>
      <c r="D56" s="246">
        <f>D31+D54</f>
        <v>5295860.4100000039</v>
      </c>
      <c r="E56" s="234">
        <f t="shared" si="0"/>
        <v>6606660.8000000045</v>
      </c>
      <c r="F56" s="246">
        <f>F31+F54</f>
        <v>3513080.290000001</v>
      </c>
      <c r="G56" s="246">
        <f>G31+G54</f>
        <v>5351716.3299999982</v>
      </c>
      <c r="H56" s="245">
        <f t="shared" si="1"/>
        <v>8864796.6199999992</v>
      </c>
    </row>
    <row r="57" spans="1:9">
      <c r="A57" s="128"/>
      <c r="B57" s="53"/>
      <c r="C57" s="248"/>
      <c r="D57" s="248"/>
      <c r="E57" s="248"/>
      <c r="F57" s="248"/>
      <c r="G57" s="248"/>
      <c r="H57" s="249"/>
    </row>
    <row r="58" spans="1:9" ht="15.75">
      <c r="A58" s="128">
        <v>34</v>
      </c>
      <c r="B58" s="55" t="s">
        <v>141</v>
      </c>
      <c r="C58" s="244">
        <v>171867.92000000092</v>
      </c>
      <c r="D58" s="244" t="s">
        <v>505</v>
      </c>
      <c r="E58" s="234">
        <v>171867.92000000092</v>
      </c>
      <c r="F58" s="244">
        <v>27118656.100000001</v>
      </c>
      <c r="G58" s="244" t="s">
        <v>505</v>
      </c>
      <c r="H58" s="245">
        <v>27118656.100000001</v>
      </c>
    </row>
    <row r="59" spans="1:9" s="207" customFormat="1" ht="15.75">
      <c r="A59" s="128">
        <v>35</v>
      </c>
      <c r="B59" s="52" t="s">
        <v>142</v>
      </c>
      <c r="C59" s="252">
        <v>0</v>
      </c>
      <c r="D59" s="252" t="s">
        <v>505</v>
      </c>
      <c r="E59" s="234">
        <v>0</v>
      </c>
      <c r="F59" s="253">
        <v>0</v>
      </c>
      <c r="G59" s="253" t="s">
        <v>505</v>
      </c>
      <c r="H59" s="254">
        <v>0</v>
      </c>
      <c r="I59" s="206"/>
    </row>
    <row r="60" spans="1:9" ht="15.75">
      <c r="A60" s="128">
        <v>36</v>
      </c>
      <c r="B60" s="55" t="s">
        <v>143</v>
      </c>
      <c r="C60" s="244">
        <v>-490166.28</v>
      </c>
      <c r="D60" s="244" t="s">
        <v>505</v>
      </c>
      <c r="E60" s="234">
        <v>-490166.28</v>
      </c>
      <c r="F60" s="244">
        <v>408923.37000000005</v>
      </c>
      <c r="G60" s="244" t="s">
        <v>505</v>
      </c>
      <c r="H60" s="245">
        <v>408923.37000000005</v>
      </c>
    </row>
    <row r="61" spans="1:9" ht="15.75">
      <c r="A61" s="128">
        <v>37</v>
      </c>
      <c r="B61" s="58" t="s">
        <v>144</v>
      </c>
      <c r="C61" s="246">
        <f>C58+C59+C60</f>
        <v>-318298.35999999911</v>
      </c>
      <c r="D61" s="246">
        <v>0</v>
      </c>
      <c r="E61" s="234">
        <f t="shared" si="0"/>
        <v>-318298.35999999911</v>
      </c>
      <c r="F61" s="246">
        <f>F58+F59+F60</f>
        <v>27527579.470000003</v>
      </c>
      <c r="G61" s="246">
        <v>0</v>
      </c>
      <c r="H61" s="245">
        <f t="shared" si="1"/>
        <v>27527579.470000003</v>
      </c>
    </row>
    <row r="62" spans="1:9">
      <c r="A62" s="128"/>
      <c r="B62" s="59"/>
      <c r="C62" s="244"/>
      <c r="D62" s="244"/>
      <c r="E62" s="244"/>
      <c r="F62" s="244"/>
      <c r="G62" s="244"/>
      <c r="H62" s="251"/>
    </row>
    <row r="63" spans="1:9" ht="15.75">
      <c r="A63" s="128">
        <v>38</v>
      </c>
      <c r="B63" s="60" t="s">
        <v>272</v>
      </c>
      <c r="C63" s="246">
        <f>C56-C61</f>
        <v>1629098.7499999998</v>
      </c>
      <c r="D63" s="246">
        <f>D56-D61</f>
        <v>5295860.4100000039</v>
      </c>
      <c r="E63" s="234">
        <f t="shared" si="0"/>
        <v>6924959.1600000039</v>
      </c>
      <c r="F63" s="246">
        <f>F56-F61</f>
        <v>-24014499.18</v>
      </c>
      <c r="G63" s="246">
        <f>G56-G61</f>
        <v>5351716.3299999982</v>
      </c>
      <c r="H63" s="245">
        <f t="shared" si="1"/>
        <v>-18662782.850000001</v>
      </c>
    </row>
    <row r="64" spans="1:9" ht="15.75">
      <c r="A64" s="126">
        <v>39</v>
      </c>
      <c r="B64" s="55" t="s">
        <v>145</v>
      </c>
      <c r="C64" s="255">
        <v>0</v>
      </c>
      <c r="D64" s="255">
        <v>0</v>
      </c>
      <c r="E64" s="234">
        <f t="shared" si="0"/>
        <v>0</v>
      </c>
      <c r="F64" s="255">
        <v>0</v>
      </c>
      <c r="G64" s="255">
        <v>0</v>
      </c>
      <c r="H64" s="245">
        <f t="shared" si="1"/>
        <v>0</v>
      </c>
    </row>
    <row r="65" spans="1:8" ht="15.75">
      <c r="A65" s="128">
        <v>40</v>
      </c>
      <c r="B65" s="58" t="s">
        <v>146</v>
      </c>
      <c r="C65" s="246">
        <f>C63-C64</f>
        <v>1629098.7499999998</v>
      </c>
      <c r="D65" s="246">
        <f>D63-D64</f>
        <v>5295860.4100000039</v>
      </c>
      <c r="E65" s="234">
        <f t="shared" si="0"/>
        <v>6924959.1600000039</v>
      </c>
      <c r="F65" s="246">
        <f>F63-F64</f>
        <v>-24014499.18</v>
      </c>
      <c r="G65" s="246">
        <f>G63-G64</f>
        <v>5351716.3299999982</v>
      </c>
      <c r="H65" s="245">
        <f t="shared" si="1"/>
        <v>-18662782.850000001</v>
      </c>
    </row>
    <row r="66" spans="1:8" ht="15.75">
      <c r="A66" s="126">
        <v>41</v>
      </c>
      <c r="B66" s="55" t="s">
        <v>147</v>
      </c>
      <c r="C66" s="255">
        <v>0</v>
      </c>
      <c r="D66" s="255">
        <v>0</v>
      </c>
      <c r="E66" s="234">
        <f t="shared" si="0"/>
        <v>0</v>
      </c>
      <c r="F66" s="255">
        <v>0</v>
      </c>
      <c r="G66" s="255">
        <v>0</v>
      </c>
      <c r="H66" s="245">
        <f t="shared" si="1"/>
        <v>0</v>
      </c>
    </row>
    <row r="67" spans="1:8" ht="16.5" thickBot="1">
      <c r="A67" s="130">
        <v>42</v>
      </c>
      <c r="B67" s="131" t="s">
        <v>148</v>
      </c>
      <c r="C67" s="256">
        <f>C65+C66</f>
        <v>1629098.7499999998</v>
      </c>
      <c r="D67" s="256">
        <f>D65+D66</f>
        <v>5295860.4100000039</v>
      </c>
      <c r="E67" s="242">
        <f t="shared" si="0"/>
        <v>6924959.1600000039</v>
      </c>
      <c r="F67" s="256">
        <f>F65+F66</f>
        <v>-24014499.18</v>
      </c>
      <c r="G67" s="256">
        <f>G65+G66</f>
        <v>5351716.3299999982</v>
      </c>
      <c r="H67" s="257">
        <f t="shared" si="1"/>
        <v>-18662782.850000001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6" zoomScaleNormal="100" workbookViewId="0">
      <selection activeCell="C7" sqref="C7:H53"/>
    </sheetView>
  </sheetViews>
  <sheetFormatPr defaultRowHeight="15"/>
  <cols>
    <col min="1" max="1" width="9.5703125" bestFit="1" customWidth="1"/>
    <col min="2" max="2" width="72.28515625" customWidth="1"/>
    <col min="3" max="8" width="12.7109375" customWidth="1"/>
  </cols>
  <sheetData>
    <row r="1" spans="1:8">
      <c r="A1" s="2" t="s">
        <v>188</v>
      </c>
      <c r="B1" t="str">
        <f ca="1">Info!C2</f>
        <v>ს.ს. "ტერაბანკი"</v>
      </c>
    </row>
    <row r="2" spans="1:8">
      <c r="A2" s="2" t="s">
        <v>189</v>
      </c>
      <c r="B2" s="457">
        <f>'1. key ratios'!B2</f>
        <v>44286</v>
      </c>
    </row>
    <row r="3" spans="1:8">
      <c r="A3" s="2"/>
    </row>
    <row r="4" spans="1:8" ht="16.5" thickBot="1">
      <c r="A4" s="2" t="s">
        <v>331</v>
      </c>
      <c r="B4" s="2"/>
      <c r="C4" s="216"/>
      <c r="D4" s="216"/>
      <c r="E4" s="216"/>
      <c r="F4" s="217"/>
      <c r="G4" s="217"/>
      <c r="H4" s="218" t="s">
        <v>93</v>
      </c>
    </row>
    <row r="5" spans="1:8" ht="15.75">
      <c r="A5" s="537" t="s">
        <v>26</v>
      </c>
      <c r="B5" s="539" t="s">
        <v>245</v>
      </c>
      <c r="C5" s="541" t="s">
        <v>194</v>
      </c>
      <c r="D5" s="541"/>
      <c r="E5" s="541"/>
      <c r="F5" s="541" t="s">
        <v>195</v>
      </c>
      <c r="G5" s="541"/>
      <c r="H5" s="542"/>
    </row>
    <row r="6" spans="1:8">
      <c r="A6" s="538"/>
      <c r="B6" s="540"/>
      <c r="C6" s="40" t="s">
        <v>27</v>
      </c>
      <c r="D6" s="40" t="s">
        <v>94</v>
      </c>
      <c r="E6" s="40" t="s">
        <v>68</v>
      </c>
      <c r="F6" s="40" t="s">
        <v>27</v>
      </c>
      <c r="G6" s="40" t="s">
        <v>94</v>
      </c>
      <c r="H6" s="41" t="s">
        <v>68</v>
      </c>
    </row>
    <row r="7" spans="1:8" s="3" customFormat="1" ht="15.75">
      <c r="A7" s="219">
        <v>1</v>
      </c>
      <c r="B7" s="220" t="s">
        <v>367</v>
      </c>
      <c r="C7" s="236">
        <v>40913677.080000013</v>
      </c>
      <c r="D7" s="236">
        <v>28875079.829999998</v>
      </c>
      <c r="E7" s="258">
        <f>C7+D7</f>
        <v>69788756.910000011</v>
      </c>
      <c r="F7" s="236">
        <v>31415712.420000024</v>
      </c>
      <c r="G7" s="236">
        <v>38369778</v>
      </c>
      <c r="H7" s="237">
        <f t="shared" ref="H7:H53" si="0">F7+G7</f>
        <v>69785490.420000017</v>
      </c>
    </row>
    <row r="8" spans="1:8" s="3" customFormat="1" ht="15.75">
      <c r="A8" s="219">
        <v>1.1000000000000001</v>
      </c>
      <c r="B8" s="221" t="s">
        <v>276</v>
      </c>
      <c r="C8" s="236">
        <v>28730110.84</v>
      </c>
      <c r="D8" s="236">
        <v>21128507.509999998</v>
      </c>
      <c r="E8" s="258">
        <f t="shared" ref="E8:E53" si="1">C8+D8</f>
        <v>49858618.349999994</v>
      </c>
      <c r="F8" s="236">
        <v>19940558.859999999</v>
      </c>
      <c r="G8" s="236">
        <v>19605317.73</v>
      </c>
      <c r="H8" s="237">
        <f t="shared" si="0"/>
        <v>39545876.590000004</v>
      </c>
    </row>
    <row r="9" spans="1:8" s="3" customFormat="1" ht="15.75">
      <c r="A9" s="219">
        <v>1.2</v>
      </c>
      <c r="B9" s="221" t="s">
        <v>277</v>
      </c>
      <c r="C9" s="236">
        <v>0</v>
      </c>
      <c r="D9" s="236">
        <v>0</v>
      </c>
      <c r="E9" s="258">
        <f t="shared" si="1"/>
        <v>0</v>
      </c>
      <c r="F9" s="236">
        <v>0</v>
      </c>
      <c r="G9" s="236">
        <v>0</v>
      </c>
      <c r="H9" s="237">
        <f t="shared" si="0"/>
        <v>0</v>
      </c>
    </row>
    <row r="10" spans="1:8" s="3" customFormat="1" ht="15.75">
      <c r="A10" s="219">
        <v>1.3</v>
      </c>
      <c r="B10" s="221" t="s">
        <v>278</v>
      </c>
      <c r="C10" s="236">
        <v>12183566.240000011</v>
      </c>
      <c r="D10" s="236">
        <v>7746572.3199999994</v>
      </c>
      <c r="E10" s="258">
        <f t="shared" si="1"/>
        <v>19930138.56000001</v>
      </c>
      <c r="F10" s="236">
        <v>9193253.5600000266</v>
      </c>
      <c r="G10" s="236">
        <v>16224031.619999999</v>
      </c>
      <c r="H10" s="237">
        <f t="shared" si="0"/>
        <v>25417285.180000026</v>
      </c>
    </row>
    <row r="11" spans="1:8" s="3" customFormat="1" ht="15.75">
      <c r="A11" s="219">
        <v>1.4</v>
      </c>
      <c r="B11" s="221" t="s">
        <v>279</v>
      </c>
      <c r="C11" s="236">
        <v>0</v>
      </c>
      <c r="D11" s="236">
        <v>0</v>
      </c>
      <c r="E11" s="258">
        <f t="shared" si="1"/>
        <v>0</v>
      </c>
      <c r="F11" s="236">
        <v>0</v>
      </c>
      <c r="G11" s="236">
        <v>0</v>
      </c>
      <c r="H11" s="237">
        <f t="shared" si="0"/>
        <v>0</v>
      </c>
    </row>
    <row r="12" spans="1:8" s="3" customFormat="1" ht="29.25" customHeight="1">
      <c r="A12" s="219">
        <v>2</v>
      </c>
      <c r="B12" s="220" t="s">
        <v>280</v>
      </c>
      <c r="C12" s="236">
        <v>0</v>
      </c>
      <c r="D12" s="236">
        <v>0</v>
      </c>
      <c r="E12" s="258">
        <f t="shared" si="1"/>
        <v>0</v>
      </c>
      <c r="F12" s="236">
        <v>0</v>
      </c>
      <c r="G12" s="236">
        <v>0</v>
      </c>
      <c r="H12" s="237">
        <f t="shared" si="0"/>
        <v>0</v>
      </c>
    </row>
    <row r="13" spans="1:8" s="3" customFormat="1" ht="25.5">
      <c r="A13" s="219">
        <v>3</v>
      </c>
      <c r="B13" s="220" t="s">
        <v>281</v>
      </c>
      <c r="C13" s="236">
        <v>82326000</v>
      </c>
      <c r="D13" s="236">
        <v>0</v>
      </c>
      <c r="E13" s="258">
        <f t="shared" si="1"/>
        <v>82326000</v>
      </c>
      <c r="F13" s="236">
        <v>34722000</v>
      </c>
      <c r="G13" s="236">
        <v>0</v>
      </c>
      <c r="H13" s="237">
        <f t="shared" si="0"/>
        <v>34722000</v>
      </c>
    </row>
    <row r="14" spans="1:8" s="3" customFormat="1" ht="15.75">
      <c r="A14" s="219">
        <v>3.1</v>
      </c>
      <c r="B14" s="221" t="s">
        <v>282</v>
      </c>
      <c r="C14" s="236">
        <v>82326000</v>
      </c>
      <c r="D14" s="236">
        <v>0</v>
      </c>
      <c r="E14" s="258">
        <f t="shared" si="1"/>
        <v>82326000</v>
      </c>
      <c r="F14" s="236">
        <v>34722000</v>
      </c>
      <c r="G14" s="236">
        <v>0</v>
      </c>
      <c r="H14" s="237">
        <f t="shared" si="0"/>
        <v>34722000</v>
      </c>
    </row>
    <row r="15" spans="1:8" s="3" customFormat="1" ht="15.75">
      <c r="A15" s="219">
        <v>3.2</v>
      </c>
      <c r="B15" s="221" t="s">
        <v>283</v>
      </c>
      <c r="C15" s="236">
        <v>0</v>
      </c>
      <c r="D15" s="236">
        <v>0</v>
      </c>
      <c r="E15" s="258">
        <f t="shared" si="1"/>
        <v>0</v>
      </c>
      <c r="F15" s="236">
        <v>0</v>
      </c>
      <c r="G15" s="236">
        <v>0</v>
      </c>
      <c r="H15" s="237">
        <f t="shared" si="0"/>
        <v>0</v>
      </c>
    </row>
    <row r="16" spans="1:8" s="3" customFormat="1" ht="15.75">
      <c r="A16" s="219">
        <v>4</v>
      </c>
      <c r="B16" s="220" t="s">
        <v>284</v>
      </c>
      <c r="C16" s="236">
        <v>217762357.12000027</v>
      </c>
      <c r="D16" s="236">
        <v>456660223.02999985</v>
      </c>
      <c r="E16" s="258">
        <f t="shared" si="1"/>
        <v>674422580.1500001</v>
      </c>
      <c r="F16" s="236">
        <v>163633200.64999935</v>
      </c>
      <c r="G16" s="236">
        <v>396953301.6400001</v>
      </c>
      <c r="H16" s="237">
        <f t="shared" si="0"/>
        <v>560586502.28999949</v>
      </c>
    </row>
    <row r="17" spans="1:8" s="3" customFormat="1" ht="15.75">
      <c r="A17" s="219">
        <v>4.0999999999999996</v>
      </c>
      <c r="B17" s="221" t="s">
        <v>285</v>
      </c>
      <c r="C17" s="236">
        <v>213962007.18700027</v>
      </c>
      <c r="D17" s="236">
        <v>456660223.02999985</v>
      </c>
      <c r="E17" s="258">
        <f t="shared" si="1"/>
        <v>670622230.21700013</v>
      </c>
      <c r="F17" s="236">
        <v>163633200.64999935</v>
      </c>
      <c r="G17" s="236">
        <v>396953301.6400001</v>
      </c>
      <c r="H17" s="237">
        <f t="shared" si="0"/>
        <v>560586502.28999949</v>
      </c>
    </row>
    <row r="18" spans="1:8" s="3" customFormat="1" ht="15.75">
      <c r="A18" s="219">
        <v>4.2</v>
      </c>
      <c r="B18" s="221" t="s">
        <v>286</v>
      </c>
      <c r="C18" s="236">
        <v>3800349.9330000011</v>
      </c>
      <c r="D18" s="236">
        <v>0</v>
      </c>
      <c r="E18" s="258">
        <f t="shared" si="1"/>
        <v>3800349.9330000011</v>
      </c>
      <c r="F18" s="236">
        <v>0</v>
      </c>
      <c r="G18" s="236">
        <v>0</v>
      </c>
      <c r="H18" s="237">
        <f t="shared" si="0"/>
        <v>0</v>
      </c>
    </row>
    <row r="19" spans="1:8" s="3" customFormat="1" ht="25.5">
      <c r="A19" s="219">
        <v>5</v>
      </c>
      <c r="B19" s="220" t="s">
        <v>287</v>
      </c>
      <c r="C19" s="236">
        <v>847871176.36000085</v>
      </c>
      <c r="D19" s="236">
        <v>1095825409.7299993</v>
      </c>
      <c r="E19" s="258">
        <f t="shared" si="1"/>
        <v>1943696586.0900002</v>
      </c>
      <c r="F19" s="236">
        <v>703026795.20999992</v>
      </c>
      <c r="G19" s="236">
        <v>982517522.80999982</v>
      </c>
      <c r="H19" s="237">
        <f t="shared" si="0"/>
        <v>1685544318.0199997</v>
      </c>
    </row>
    <row r="20" spans="1:8" s="3" customFormat="1" ht="15.75">
      <c r="A20" s="219">
        <v>5.0999999999999996</v>
      </c>
      <c r="B20" s="221" t="s">
        <v>288</v>
      </c>
      <c r="C20" s="236">
        <v>23829879.789999995</v>
      </c>
      <c r="D20" s="236">
        <v>39573463.780000001</v>
      </c>
      <c r="E20" s="258">
        <f t="shared" si="1"/>
        <v>63403343.569999993</v>
      </c>
      <c r="F20" s="236">
        <v>15642824.770000007</v>
      </c>
      <c r="G20" s="236">
        <v>31041732.360000003</v>
      </c>
      <c r="H20" s="237">
        <f t="shared" si="0"/>
        <v>46684557.13000001</v>
      </c>
    </row>
    <row r="21" spans="1:8" s="3" customFormat="1" ht="15.75">
      <c r="A21" s="219">
        <v>5.2</v>
      </c>
      <c r="B21" s="221" t="s">
        <v>289</v>
      </c>
      <c r="C21" s="236">
        <v>16561305.080000004</v>
      </c>
      <c r="D21" s="236">
        <v>6896955.5699999994</v>
      </c>
      <c r="E21" s="258">
        <f t="shared" si="1"/>
        <v>23458260.650000002</v>
      </c>
      <c r="F21" s="236">
        <v>80030284.549999997</v>
      </c>
      <c r="G21" s="236">
        <v>20752543.460000001</v>
      </c>
      <c r="H21" s="237">
        <f t="shared" si="0"/>
        <v>100782828.00999999</v>
      </c>
    </row>
    <row r="22" spans="1:8" s="3" customFormat="1" ht="15.75">
      <c r="A22" s="219">
        <v>5.3</v>
      </c>
      <c r="B22" s="221" t="s">
        <v>290</v>
      </c>
      <c r="C22" s="236">
        <v>719061056.11000085</v>
      </c>
      <c r="D22" s="236">
        <v>1025046591.3999994</v>
      </c>
      <c r="E22" s="258">
        <f t="shared" si="1"/>
        <v>1744107647.5100002</v>
      </c>
      <c r="F22" s="236">
        <v>557371257.11999989</v>
      </c>
      <c r="G22" s="236">
        <v>902289286.96999979</v>
      </c>
      <c r="H22" s="237">
        <f t="shared" si="0"/>
        <v>1459660544.0899997</v>
      </c>
    </row>
    <row r="23" spans="1:8" s="3" customFormat="1" ht="15.75">
      <c r="A23" s="219" t="s">
        <v>291</v>
      </c>
      <c r="B23" s="222" t="s">
        <v>292</v>
      </c>
      <c r="C23" s="236">
        <v>434748853.70000088</v>
      </c>
      <c r="D23" s="236">
        <v>396744580.71999967</v>
      </c>
      <c r="E23" s="258">
        <f t="shared" si="1"/>
        <v>831493434.42000055</v>
      </c>
      <c r="F23" s="236">
        <v>350741560.1499998</v>
      </c>
      <c r="G23" s="236">
        <v>373834347.58999938</v>
      </c>
      <c r="H23" s="237">
        <f t="shared" si="0"/>
        <v>724575907.73999918</v>
      </c>
    </row>
    <row r="24" spans="1:8" s="3" customFormat="1" ht="15.75">
      <c r="A24" s="219" t="s">
        <v>293</v>
      </c>
      <c r="B24" s="222" t="s">
        <v>294</v>
      </c>
      <c r="C24" s="236">
        <v>163275071.36999995</v>
      </c>
      <c r="D24" s="236">
        <v>369192590.24999976</v>
      </c>
      <c r="E24" s="258">
        <f t="shared" si="1"/>
        <v>532467661.61999971</v>
      </c>
      <c r="F24" s="236">
        <v>109042397.53999999</v>
      </c>
      <c r="G24" s="236">
        <v>315805529.31000018</v>
      </c>
      <c r="H24" s="237">
        <f t="shared" si="0"/>
        <v>424847926.85000014</v>
      </c>
    </row>
    <row r="25" spans="1:8" s="3" customFormat="1" ht="15.75">
      <c r="A25" s="219" t="s">
        <v>295</v>
      </c>
      <c r="B25" s="223" t="s">
        <v>296</v>
      </c>
      <c r="C25" s="236">
        <v>20210378.640000001</v>
      </c>
      <c r="D25" s="236">
        <v>33550104.560000002</v>
      </c>
      <c r="E25" s="258">
        <f t="shared" si="1"/>
        <v>53760483.200000003</v>
      </c>
      <c r="F25" s="236">
        <v>13970967.310000001</v>
      </c>
      <c r="G25" s="236">
        <v>19224562.580000006</v>
      </c>
      <c r="H25" s="237">
        <f t="shared" si="0"/>
        <v>33195529.890000008</v>
      </c>
    </row>
    <row r="26" spans="1:8" s="3" customFormat="1" ht="15.75">
      <c r="A26" s="219" t="s">
        <v>297</v>
      </c>
      <c r="B26" s="222" t="s">
        <v>298</v>
      </c>
      <c r="C26" s="236">
        <v>80021243.189999998</v>
      </c>
      <c r="D26" s="236">
        <v>101671052.36999995</v>
      </c>
      <c r="E26" s="258">
        <f t="shared" si="1"/>
        <v>181692295.55999994</v>
      </c>
      <c r="F26" s="236">
        <v>55748959.730000012</v>
      </c>
      <c r="G26" s="236">
        <v>76374627.550000027</v>
      </c>
      <c r="H26" s="237">
        <f t="shared" si="0"/>
        <v>132123587.28000003</v>
      </c>
    </row>
    <row r="27" spans="1:8" s="3" customFormat="1" ht="15.75">
      <c r="A27" s="219" t="s">
        <v>299</v>
      </c>
      <c r="B27" s="222" t="s">
        <v>300</v>
      </c>
      <c r="C27" s="236">
        <v>20805509.209999993</v>
      </c>
      <c r="D27" s="236">
        <v>123888263.49999997</v>
      </c>
      <c r="E27" s="258">
        <f t="shared" si="1"/>
        <v>144693772.70999998</v>
      </c>
      <c r="F27" s="236">
        <v>27867372.389999997</v>
      </c>
      <c r="G27" s="236">
        <v>117050219.94000004</v>
      </c>
      <c r="H27" s="237">
        <f t="shared" si="0"/>
        <v>144917592.33000004</v>
      </c>
    </row>
    <row r="28" spans="1:8" s="3" customFormat="1" ht="15.75">
      <c r="A28" s="219">
        <v>5.4</v>
      </c>
      <c r="B28" s="221" t="s">
        <v>301</v>
      </c>
      <c r="C28" s="236">
        <v>19658766.769999988</v>
      </c>
      <c r="D28" s="236">
        <v>11749770.080000002</v>
      </c>
      <c r="E28" s="258">
        <f t="shared" si="1"/>
        <v>31408536.84999999</v>
      </c>
      <c r="F28" s="236">
        <v>16993638.5</v>
      </c>
      <c r="G28" s="236">
        <v>15987237.579999996</v>
      </c>
      <c r="H28" s="237">
        <f t="shared" si="0"/>
        <v>32980876.079999998</v>
      </c>
    </row>
    <row r="29" spans="1:8" s="3" customFormat="1" ht="15.75">
      <c r="A29" s="219">
        <v>5.5</v>
      </c>
      <c r="B29" s="221" t="s">
        <v>302</v>
      </c>
      <c r="C29" s="236">
        <v>0</v>
      </c>
      <c r="D29" s="236">
        <v>0</v>
      </c>
      <c r="E29" s="258">
        <f t="shared" si="1"/>
        <v>0</v>
      </c>
      <c r="F29" s="236">
        <v>0</v>
      </c>
      <c r="G29" s="236">
        <v>0</v>
      </c>
      <c r="H29" s="237">
        <f t="shared" si="0"/>
        <v>0</v>
      </c>
    </row>
    <row r="30" spans="1:8" s="3" customFormat="1" ht="15.75">
      <c r="A30" s="219">
        <v>5.6</v>
      </c>
      <c r="B30" s="221" t="s">
        <v>303</v>
      </c>
      <c r="C30" s="236">
        <v>0</v>
      </c>
      <c r="D30" s="236">
        <v>0</v>
      </c>
      <c r="E30" s="258">
        <f t="shared" si="1"/>
        <v>0</v>
      </c>
      <c r="F30" s="236">
        <v>0</v>
      </c>
      <c r="G30" s="236">
        <v>0</v>
      </c>
      <c r="H30" s="237">
        <f t="shared" si="0"/>
        <v>0</v>
      </c>
    </row>
    <row r="31" spans="1:8" s="3" customFormat="1" ht="15.75">
      <c r="A31" s="219">
        <v>5.7</v>
      </c>
      <c r="B31" s="221" t="s">
        <v>304</v>
      </c>
      <c r="C31" s="236">
        <v>68760168.609999999</v>
      </c>
      <c r="D31" s="236">
        <v>12558628.899999999</v>
      </c>
      <c r="E31" s="258">
        <f t="shared" si="1"/>
        <v>81318797.50999999</v>
      </c>
      <c r="F31" s="236">
        <v>32988790.269999992</v>
      </c>
      <c r="G31" s="236">
        <v>12446722.440000003</v>
      </c>
      <c r="H31" s="237">
        <f t="shared" si="0"/>
        <v>45435512.709999993</v>
      </c>
    </row>
    <row r="32" spans="1:8" s="3" customFormat="1" ht="15.75">
      <c r="A32" s="219">
        <v>6</v>
      </c>
      <c r="B32" s="220" t="s">
        <v>305</v>
      </c>
      <c r="C32" s="236">
        <v>13527853.4</v>
      </c>
      <c r="D32" s="236">
        <v>142829073.56</v>
      </c>
      <c r="E32" s="258">
        <f t="shared" si="1"/>
        <v>156356926.96000001</v>
      </c>
      <c r="F32" s="236">
        <v>10681251.949999999</v>
      </c>
      <c r="G32" s="236">
        <v>113369148.93000001</v>
      </c>
      <c r="H32" s="237">
        <f t="shared" si="0"/>
        <v>124050400.88000001</v>
      </c>
    </row>
    <row r="33" spans="1:8" s="3" customFormat="1" ht="25.5">
      <c r="A33" s="219">
        <v>6.1</v>
      </c>
      <c r="B33" s="221" t="s">
        <v>368</v>
      </c>
      <c r="C33" s="236">
        <v>13527853.4</v>
      </c>
      <c r="D33" s="236">
        <v>64988648.759999998</v>
      </c>
      <c r="E33" s="258">
        <f t="shared" si="1"/>
        <v>78516502.159999996</v>
      </c>
      <c r="F33" s="236">
        <v>10681251.949999999</v>
      </c>
      <c r="G33" s="236">
        <v>50664667.18</v>
      </c>
      <c r="H33" s="237">
        <f t="shared" si="0"/>
        <v>61345919.129999995</v>
      </c>
    </row>
    <row r="34" spans="1:8" s="3" customFormat="1" ht="25.5">
      <c r="A34" s="219">
        <v>6.2</v>
      </c>
      <c r="B34" s="221" t="s">
        <v>306</v>
      </c>
      <c r="C34" s="236">
        <v>0</v>
      </c>
      <c r="D34" s="236">
        <v>77840424.799999997</v>
      </c>
      <c r="E34" s="258">
        <f t="shared" si="1"/>
        <v>77840424.799999997</v>
      </c>
      <c r="F34" s="236">
        <v>0</v>
      </c>
      <c r="G34" s="236">
        <v>62704481.75</v>
      </c>
      <c r="H34" s="237">
        <f t="shared" si="0"/>
        <v>62704481.75</v>
      </c>
    </row>
    <row r="35" spans="1:8" s="3" customFormat="1" ht="25.5">
      <c r="A35" s="219">
        <v>6.3</v>
      </c>
      <c r="B35" s="221" t="s">
        <v>307</v>
      </c>
      <c r="C35" s="236">
        <v>0</v>
      </c>
      <c r="D35" s="236">
        <v>0</v>
      </c>
      <c r="E35" s="258">
        <f t="shared" si="1"/>
        <v>0</v>
      </c>
      <c r="F35" s="236">
        <v>0</v>
      </c>
      <c r="G35" s="236">
        <v>0</v>
      </c>
      <c r="H35" s="237">
        <f t="shared" si="0"/>
        <v>0</v>
      </c>
    </row>
    <row r="36" spans="1:8" s="3" customFormat="1" ht="15.75">
      <c r="A36" s="219">
        <v>6.4</v>
      </c>
      <c r="B36" s="221" t="s">
        <v>308</v>
      </c>
      <c r="C36" s="236">
        <v>0</v>
      </c>
      <c r="D36" s="236">
        <v>0</v>
      </c>
      <c r="E36" s="258">
        <f t="shared" si="1"/>
        <v>0</v>
      </c>
      <c r="F36" s="236">
        <v>0</v>
      </c>
      <c r="G36" s="236">
        <v>0</v>
      </c>
      <c r="H36" s="237">
        <f t="shared" si="0"/>
        <v>0</v>
      </c>
    </row>
    <row r="37" spans="1:8" s="3" customFormat="1" ht="15.75">
      <c r="A37" s="219">
        <v>6.5</v>
      </c>
      <c r="B37" s="221" t="s">
        <v>309</v>
      </c>
      <c r="C37" s="236">
        <v>0</v>
      </c>
      <c r="D37" s="236">
        <v>0</v>
      </c>
      <c r="E37" s="258">
        <f t="shared" si="1"/>
        <v>0</v>
      </c>
      <c r="F37" s="236">
        <v>0</v>
      </c>
      <c r="G37" s="236">
        <v>0</v>
      </c>
      <c r="H37" s="237">
        <f t="shared" si="0"/>
        <v>0</v>
      </c>
    </row>
    <row r="38" spans="1:8" s="3" customFormat="1" ht="25.5">
      <c r="A38" s="219">
        <v>6.6</v>
      </c>
      <c r="B38" s="221" t="s">
        <v>310</v>
      </c>
      <c r="C38" s="236">
        <v>0</v>
      </c>
      <c r="D38" s="236">
        <v>0</v>
      </c>
      <c r="E38" s="258">
        <f t="shared" si="1"/>
        <v>0</v>
      </c>
      <c r="F38" s="236">
        <v>0</v>
      </c>
      <c r="G38" s="236">
        <v>0</v>
      </c>
      <c r="H38" s="237">
        <f t="shared" si="0"/>
        <v>0</v>
      </c>
    </row>
    <row r="39" spans="1:8" s="3" customFormat="1" ht="25.5">
      <c r="A39" s="219">
        <v>6.7</v>
      </c>
      <c r="B39" s="221" t="s">
        <v>311</v>
      </c>
      <c r="C39" s="236">
        <v>0</v>
      </c>
      <c r="D39" s="236">
        <v>0</v>
      </c>
      <c r="E39" s="258">
        <f t="shared" si="1"/>
        <v>0</v>
      </c>
      <c r="F39" s="236">
        <v>0</v>
      </c>
      <c r="G39" s="236">
        <v>0</v>
      </c>
      <c r="H39" s="237">
        <f t="shared" si="0"/>
        <v>0</v>
      </c>
    </row>
    <row r="40" spans="1:8" s="3" customFormat="1" ht="15.75">
      <c r="A40" s="219">
        <v>7</v>
      </c>
      <c r="B40" s="220" t="s">
        <v>312</v>
      </c>
      <c r="C40" s="236">
        <v>0</v>
      </c>
      <c r="D40" s="236">
        <v>0</v>
      </c>
      <c r="E40" s="258">
        <f t="shared" si="1"/>
        <v>0</v>
      </c>
      <c r="F40" s="236">
        <v>0</v>
      </c>
      <c r="G40" s="236">
        <v>0</v>
      </c>
      <c r="H40" s="237">
        <f t="shared" si="0"/>
        <v>0</v>
      </c>
    </row>
    <row r="41" spans="1:8" s="3" customFormat="1" ht="25.5">
      <c r="A41" s="219">
        <v>7.1</v>
      </c>
      <c r="B41" s="221" t="s">
        <v>313</v>
      </c>
      <c r="C41" s="236">
        <v>155022.65</v>
      </c>
      <c r="D41" s="236">
        <v>75888.7</v>
      </c>
      <c r="E41" s="258">
        <f t="shared" si="1"/>
        <v>230911.34999999998</v>
      </c>
      <c r="F41" s="236">
        <v>1252867.6500000006</v>
      </c>
      <c r="G41" s="236">
        <v>14122.345300000001</v>
      </c>
      <c r="H41" s="237">
        <f t="shared" si="0"/>
        <v>1266989.9953000005</v>
      </c>
    </row>
    <row r="42" spans="1:8" s="3" customFormat="1" ht="25.5">
      <c r="A42" s="219">
        <v>7.2</v>
      </c>
      <c r="B42" s="221" t="s">
        <v>314</v>
      </c>
      <c r="C42" s="236">
        <v>698519.24</v>
      </c>
      <c r="D42" s="236">
        <v>1066613.2100000002</v>
      </c>
      <c r="E42" s="258">
        <f t="shared" si="1"/>
        <v>1765132.4500000002</v>
      </c>
      <c r="F42" s="236">
        <v>999296.26000000071</v>
      </c>
      <c r="G42" s="236">
        <v>1132247.8729000003</v>
      </c>
      <c r="H42" s="237">
        <f t="shared" si="0"/>
        <v>2131544.132900001</v>
      </c>
    </row>
    <row r="43" spans="1:8" s="3" customFormat="1" ht="25.5">
      <c r="A43" s="219">
        <v>7.3</v>
      </c>
      <c r="B43" s="221" t="s">
        <v>315</v>
      </c>
      <c r="C43" s="236">
        <v>5771916.76000001</v>
      </c>
      <c r="D43" s="236">
        <v>19017227.91</v>
      </c>
      <c r="E43" s="258">
        <f t="shared" si="1"/>
        <v>24789144.670000009</v>
      </c>
      <c r="F43" s="236">
        <v>6199777.3766000057</v>
      </c>
      <c r="G43" s="236">
        <v>15283751.5798</v>
      </c>
      <c r="H43" s="237">
        <f t="shared" si="0"/>
        <v>21483528.956400007</v>
      </c>
    </row>
    <row r="44" spans="1:8" s="3" customFormat="1" ht="25.5">
      <c r="A44" s="219">
        <v>7.4</v>
      </c>
      <c r="B44" s="221" t="s">
        <v>316</v>
      </c>
      <c r="C44" s="236">
        <v>10240039.439999996</v>
      </c>
      <c r="D44" s="236">
        <v>57189038.740000017</v>
      </c>
      <c r="E44" s="258">
        <f t="shared" si="1"/>
        <v>67429078.180000007</v>
      </c>
      <c r="F44" s="236">
        <v>42691613.589999951</v>
      </c>
      <c r="G44" s="236">
        <v>75943013.245099992</v>
      </c>
      <c r="H44" s="237">
        <f t="shared" si="0"/>
        <v>118634626.83509994</v>
      </c>
    </row>
    <row r="45" spans="1:8" s="3" customFormat="1" ht="15.75">
      <c r="A45" s="219">
        <v>8</v>
      </c>
      <c r="B45" s="220" t="s">
        <v>317</v>
      </c>
      <c r="C45" s="236">
        <v>0</v>
      </c>
      <c r="D45" s="236">
        <v>0</v>
      </c>
      <c r="E45" s="258">
        <f t="shared" si="1"/>
        <v>0</v>
      </c>
      <c r="F45" s="236">
        <v>0</v>
      </c>
      <c r="G45" s="236">
        <v>0</v>
      </c>
      <c r="H45" s="237">
        <f t="shared" si="0"/>
        <v>0</v>
      </c>
    </row>
    <row r="46" spans="1:8" s="3" customFormat="1" ht="15.75">
      <c r="A46" s="219">
        <v>8.1</v>
      </c>
      <c r="B46" s="221" t="s">
        <v>318</v>
      </c>
      <c r="C46" s="236">
        <v>0</v>
      </c>
      <c r="D46" s="236">
        <v>0</v>
      </c>
      <c r="E46" s="258">
        <f t="shared" si="1"/>
        <v>0</v>
      </c>
      <c r="F46" s="236">
        <v>0</v>
      </c>
      <c r="G46" s="236">
        <v>0</v>
      </c>
      <c r="H46" s="237">
        <f t="shared" si="0"/>
        <v>0</v>
      </c>
    </row>
    <row r="47" spans="1:8" s="3" customFormat="1" ht="15.75">
      <c r="A47" s="219">
        <v>8.1999999999999993</v>
      </c>
      <c r="B47" s="221" t="s">
        <v>319</v>
      </c>
      <c r="C47" s="236">
        <v>0</v>
      </c>
      <c r="D47" s="236">
        <v>0</v>
      </c>
      <c r="E47" s="258">
        <f t="shared" si="1"/>
        <v>0</v>
      </c>
      <c r="F47" s="236">
        <v>0</v>
      </c>
      <c r="G47" s="236">
        <v>0</v>
      </c>
      <c r="H47" s="237">
        <f t="shared" si="0"/>
        <v>0</v>
      </c>
    </row>
    <row r="48" spans="1:8" s="3" customFormat="1" ht="15.75">
      <c r="A48" s="219">
        <v>8.3000000000000007</v>
      </c>
      <c r="B48" s="221" t="s">
        <v>320</v>
      </c>
      <c r="C48" s="236">
        <v>0</v>
      </c>
      <c r="D48" s="236">
        <v>0</v>
      </c>
      <c r="E48" s="258">
        <f t="shared" si="1"/>
        <v>0</v>
      </c>
      <c r="F48" s="236">
        <v>0</v>
      </c>
      <c r="G48" s="236">
        <v>0</v>
      </c>
      <c r="H48" s="237">
        <f t="shared" si="0"/>
        <v>0</v>
      </c>
    </row>
    <row r="49" spans="1:8" s="3" customFormat="1" ht="15.75">
      <c r="A49" s="219">
        <v>8.4</v>
      </c>
      <c r="B49" s="221" t="s">
        <v>321</v>
      </c>
      <c r="C49" s="236">
        <v>0</v>
      </c>
      <c r="D49" s="236">
        <v>0</v>
      </c>
      <c r="E49" s="258">
        <f t="shared" si="1"/>
        <v>0</v>
      </c>
      <c r="F49" s="236">
        <v>0</v>
      </c>
      <c r="G49" s="236">
        <v>0</v>
      </c>
      <c r="H49" s="237">
        <f t="shared" si="0"/>
        <v>0</v>
      </c>
    </row>
    <row r="50" spans="1:8" s="3" customFormat="1" ht="15.75">
      <c r="A50" s="219">
        <v>8.5</v>
      </c>
      <c r="B50" s="221" t="s">
        <v>322</v>
      </c>
      <c r="C50" s="236">
        <v>0</v>
      </c>
      <c r="D50" s="236">
        <v>0</v>
      </c>
      <c r="E50" s="258">
        <f t="shared" si="1"/>
        <v>0</v>
      </c>
      <c r="F50" s="236">
        <v>0</v>
      </c>
      <c r="G50" s="236">
        <v>0</v>
      </c>
      <c r="H50" s="237">
        <f t="shared" si="0"/>
        <v>0</v>
      </c>
    </row>
    <row r="51" spans="1:8" s="3" customFormat="1" ht="15.75">
      <c r="A51" s="219">
        <v>8.6</v>
      </c>
      <c r="B51" s="221" t="s">
        <v>323</v>
      </c>
      <c r="C51" s="236">
        <v>0</v>
      </c>
      <c r="D51" s="236">
        <v>0</v>
      </c>
      <c r="E51" s="258">
        <f t="shared" si="1"/>
        <v>0</v>
      </c>
      <c r="F51" s="236">
        <v>0</v>
      </c>
      <c r="G51" s="236">
        <v>0</v>
      </c>
      <c r="H51" s="237">
        <f t="shared" si="0"/>
        <v>0</v>
      </c>
    </row>
    <row r="52" spans="1:8" s="3" customFormat="1" ht="15.75">
      <c r="A52" s="219">
        <v>8.6999999999999993</v>
      </c>
      <c r="B52" s="221" t="s">
        <v>324</v>
      </c>
      <c r="C52" s="236">
        <v>0</v>
      </c>
      <c r="D52" s="236">
        <v>0</v>
      </c>
      <c r="E52" s="258">
        <f t="shared" si="1"/>
        <v>0</v>
      </c>
      <c r="F52" s="236">
        <v>0</v>
      </c>
      <c r="G52" s="236">
        <v>0</v>
      </c>
      <c r="H52" s="237">
        <f t="shared" si="0"/>
        <v>0</v>
      </c>
    </row>
    <row r="53" spans="1:8" s="3" customFormat="1" ht="26.25" thickBot="1">
      <c r="A53" s="224">
        <v>9</v>
      </c>
      <c r="B53" s="225" t="s">
        <v>325</v>
      </c>
      <c r="C53" s="259">
        <v>0</v>
      </c>
      <c r="D53" s="259">
        <v>0</v>
      </c>
      <c r="E53" s="260">
        <f t="shared" si="1"/>
        <v>0</v>
      </c>
      <c r="F53" s="259">
        <v>0</v>
      </c>
      <c r="G53" s="259">
        <v>0</v>
      </c>
      <c r="H53" s="24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G6" sqref="C6:G13"/>
    </sheetView>
  </sheetViews>
  <sheetFormatPr defaultColWidth="9.140625" defaultRowHeight="12.75"/>
  <cols>
    <col min="1" max="1" width="9.5703125" style="2" bestFit="1" customWidth="1"/>
    <col min="2" max="2" width="93.5703125" style="2" customWidth="1"/>
    <col min="3" max="4" width="12.7109375" style="2" customWidth="1"/>
    <col min="5" max="5" width="10.7109375" style="13" customWidth="1"/>
    <col min="6" max="11" width="9.7109375" style="13" customWidth="1"/>
    <col min="12" max="16384" width="9.140625" style="13"/>
  </cols>
  <sheetData>
    <row r="1" spans="1:8" ht="15">
      <c r="A1" s="18" t="s">
        <v>188</v>
      </c>
      <c r="B1" s="17" t="str">
        <f ca="1">Info!C2</f>
        <v>ს.ს. "ტერაბანკი"</v>
      </c>
      <c r="C1" s="17"/>
      <c r="D1" s="325"/>
    </row>
    <row r="2" spans="1:8" ht="15">
      <c r="A2" s="18" t="s">
        <v>189</v>
      </c>
      <c r="B2" s="439">
        <v>44286</v>
      </c>
      <c r="C2" s="30"/>
      <c r="D2" s="19"/>
      <c r="E2" s="12"/>
      <c r="F2" s="12"/>
      <c r="G2" s="12"/>
      <c r="H2" s="12"/>
    </row>
    <row r="3" spans="1:8" ht="15">
      <c r="A3" s="18"/>
      <c r="B3" s="17"/>
      <c r="C3" s="30"/>
      <c r="D3" s="19"/>
      <c r="E3" s="12"/>
      <c r="F3" s="12"/>
      <c r="G3" s="12"/>
      <c r="H3" s="12"/>
    </row>
    <row r="4" spans="1:8" ht="15" customHeight="1" thickBot="1">
      <c r="A4" s="213" t="s">
        <v>332</v>
      </c>
      <c r="B4" s="214" t="s">
        <v>187</v>
      </c>
      <c r="C4" s="215" t="s">
        <v>93</v>
      </c>
    </row>
    <row r="5" spans="1:8" ht="15" customHeight="1">
      <c r="A5" s="211" t="s">
        <v>26</v>
      </c>
      <c r="B5" s="212"/>
      <c r="C5" s="440" t="str">
        <f>INT((MONTH($B$2))/3)&amp;"Q"&amp;"-"&amp;YEAR($B$2)</f>
        <v>1Q-2021</v>
      </c>
      <c r="D5" s="440" t="str">
        <f>IF(INT(MONTH($B$2))=3, "4"&amp;"Q"&amp;"-"&amp;YEAR($B$2)-1, IF(INT(MONTH($B$2))=6, "1"&amp;"Q"&amp;"-"&amp;YEAR($B$2), IF(INT(MONTH($B$2))=9, "2"&amp;"Q"&amp;"-"&amp;YEAR($B$2),IF(INT(MONTH($B$2))=12, "3"&amp;"Q"&amp;"-"&amp;YEAR($B$2), 0))))</f>
        <v>4Q-2020</v>
      </c>
      <c r="E5" s="440" t="str">
        <f>IF(INT(MONTH($B$2))=3, "3"&amp;"Q"&amp;"-"&amp;YEAR($B$2)-1, IF(INT(MONTH($B$2))=6, "4"&amp;"Q"&amp;"-"&amp;YEAR($B$2)-1, IF(INT(MONTH($B$2))=9, "1"&amp;"Q"&amp;"-"&amp;YEAR($B$2),IF(INT(MONTH($B$2))=12, "2"&amp;"Q"&amp;"-"&amp;YEAR($B$2), 0))))</f>
        <v>3Q-2020</v>
      </c>
      <c r="F5" s="440" t="str">
        <f>IF(INT(MONTH($B$2))=3, "2"&amp;"Q"&amp;"-"&amp;YEAR($B$2)-1, IF(INT(MONTH($B$2))=6, "3"&amp;"Q"&amp;"-"&amp;YEAR($B$2)-1, IF(INT(MONTH($B$2))=9, "4"&amp;"Q"&amp;"-"&amp;YEAR($B$2)-1,IF(INT(MONTH($B$2))=12, "1"&amp;"Q"&amp;"-"&amp;YEAR($B$2), 0))))</f>
        <v>2Q-2020</v>
      </c>
      <c r="G5" s="440" t="str">
        <f>IF(INT(MONTH($B$2))=3, "1"&amp;"Q"&amp;"-"&amp;YEAR($B$2)-1, IF(INT(MONTH($B$2))=6, "2"&amp;"Q"&amp;"-"&amp;YEAR($B$2)-1, IF(INT(MONTH($B$2))=9, "3"&amp;"Q"&amp;"-"&amp;YEAR($B$2)-1,IF(INT(MONTH($B$2))=12, "4"&amp;"Q"&amp;"-"&amp;YEAR($B$2)-1, 0))))</f>
        <v>1Q-2020</v>
      </c>
    </row>
    <row r="6" spans="1:8" ht="15" customHeight="1">
      <c r="A6" s="365">
        <v>1</v>
      </c>
      <c r="B6" s="422" t="s">
        <v>192</v>
      </c>
      <c r="C6" s="366">
        <f>C7+C9+C10</f>
        <v>1008764060.0202504</v>
      </c>
      <c r="D6" s="425">
        <f>D7+D9+D10</f>
        <v>936027383.49900103</v>
      </c>
      <c r="E6" s="367">
        <f t="shared" ref="E6:G6" si="0">E7+E9+E10</f>
        <v>935764698.66924989</v>
      </c>
      <c r="F6" s="366">
        <f t="shared" si="0"/>
        <v>827944616.15124869</v>
      </c>
      <c r="G6" s="426">
        <f t="shared" si="0"/>
        <v>846068887.66124678</v>
      </c>
    </row>
    <row r="7" spans="1:8" ht="15" customHeight="1">
      <c r="A7" s="365">
        <v>1.1000000000000001</v>
      </c>
      <c r="B7" s="368" t="s">
        <v>478</v>
      </c>
      <c r="C7" s="369">
        <v>984392231.6705004</v>
      </c>
      <c r="D7" s="427">
        <v>911613986.37750101</v>
      </c>
      <c r="E7" s="369">
        <v>913548060.09149981</v>
      </c>
      <c r="F7" s="369">
        <v>807035272.63699865</v>
      </c>
      <c r="G7" s="428">
        <v>823574155.41899681</v>
      </c>
    </row>
    <row r="8" spans="1:8" ht="25.5">
      <c r="A8" s="365" t="s">
        <v>252</v>
      </c>
      <c r="B8" s="370" t="s">
        <v>326</v>
      </c>
      <c r="C8" s="369">
        <v>0</v>
      </c>
      <c r="D8" s="427">
        <v>0</v>
      </c>
      <c r="E8" s="369">
        <v>0</v>
      </c>
      <c r="F8" s="369">
        <v>0</v>
      </c>
      <c r="G8" s="428">
        <v>0</v>
      </c>
    </row>
    <row r="9" spans="1:8" ht="15" customHeight="1">
      <c r="A9" s="365">
        <v>1.2</v>
      </c>
      <c r="B9" s="368" t="s">
        <v>22</v>
      </c>
      <c r="C9" s="369">
        <v>22815019.853749998</v>
      </c>
      <c r="D9" s="427">
        <v>22852479.733499989</v>
      </c>
      <c r="E9" s="369">
        <v>20669861.617749996</v>
      </c>
      <c r="F9" s="369">
        <v>19912269.87425001</v>
      </c>
      <c r="G9" s="428">
        <v>21240642.607250009</v>
      </c>
    </row>
    <row r="10" spans="1:8" ht="15" customHeight="1">
      <c r="A10" s="365">
        <v>1.3</v>
      </c>
      <c r="B10" s="423" t="s">
        <v>77</v>
      </c>
      <c r="C10" s="371">
        <v>1556808.496</v>
      </c>
      <c r="D10" s="427">
        <v>1560917.388</v>
      </c>
      <c r="E10" s="371">
        <v>1546776.96</v>
      </c>
      <c r="F10" s="369">
        <v>997073.64</v>
      </c>
      <c r="G10" s="429">
        <v>1254089.635</v>
      </c>
    </row>
    <row r="11" spans="1:8" ht="15" customHeight="1">
      <c r="A11" s="365">
        <v>2</v>
      </c>
      <c r="B11" s="422" t="s">
        <v>193</v>
      </c>
      <c r="C11" s="369">
        <v>25453609.059999939</v>
      </c>
      <c r="D11" s="427">
        <v>24635876.009999685</v>
      </c>
      <c r="E11" s="369">
        <v>24977298.170000218</v>
      </c>
      <c r="F11" s="369">
        <v>23259196.719999805</v>
      </c>
      <c r="G11" s="428">
        <v>22417519.999999769</v>
      </c>
    </row>
    <row r="12" spans="1:8" ht="15" customHeight="1">
      <c r="A12" s="382">
        <v>3</v>
      </c>
      <c r="B12" s="424" t="s">
        <v>191</v>
      </c>
      <c r="C12" s="371">
        <v>99313156.550000012</v>
      </c>
      <c r="D12" s="427">
        <v>99313156.550000012</v>
      </c>
      <c r="E12" s="371">
        <v>93832535.96875</v>
      </c>
      <c r="F12" s="369">
        <v>93832535.96875</v>
      </c>
      <c r="G12" s="429">
        <v>93832535.96875</v>
      </c>
    </row>
    <row r="13" spans="1:8" ht="15" customHeight="1" thickBot="1">
      <c r="A13" s="133">
        <v>4</v>
      </c>
      <c r="B13" s="432" t="s">
        <v>253</v>
      </c>
      <c r="C13" s="261">
        <f>C6+C11+C12</f>
        <v>1133530825.6302505</v>
      </c>
      <c r="D13" s="430">
        <f>D6+D11+D12</f>
        <v>1059976416.0590007</v>
      </c>
      <c r="E13" s="262">
        <f t="shared" ref="E13:G13" si="1">E6+E11+E12</f>
        <v>1054574532.8080001</v>
      </c>
      <c r="F13" s="261">
        <f t="shared" si="1"/>
        <v>945036348.83999848</v>
      </c>
      <c r="G13" s="431">
        <f t="shared" si="1"/>
        <v>962318943.62999654</v>
      </c>
    </row>
    <row r="14" spans="1:8">
      <c r="B14" s="24"/>
    </row>
    <row r="15" spans="1:8" ht="25.5">
      <c r="B15" s="106" t="s">
        <v>479</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zoomScaleNormal="100" workbookViewId="0">
      <pane xSplit="1" ySplit="4" topLeftCell="B5" activePane="bottomRight" state="frozen"/>
      <selection pane="topRight" activeCell="B1" sqref="B1"/>
      <selection pane="bottomLeft" activeCell="A4" sqref="A4"/>
      <selection pane="bottomRight" activeCell="B11" sqref="B11"/>
    </sheetView>
  </sheetViews>
  <sheetFormatPr defaultRowHeight="15"/>
  <cols>
    <col min="1" max="1" width="9.5703125" style="2" bestFit="1" customWidth="1"/>
    <col min="2" max="2" width="58.85546875" style="2" customWidth="1"/>
    <col min="3" max="3" width="34.28515625" style="2" customWidth="1"/>
  </cols>
  <sheetData>
    <row r="1" spans="1:8">
      <c r="A1" s="2" t="s">
        <v>188</v>
      </c>
      <c r="B1" s="325" t="str">
        <f ca="1">Info!C2</f>
        <v>ს.ს. "ტერაბანკი"</v>
      </c>
    </row>
    <row r="2" spans="1:8">
      <c r="A2" s="2" t="s">
        <v>189</v>
      </c>
      <c r="B2" s="457">
        <f>'1. key ratios'!B2</f>
        <v>44286</v>
      </c>
    </row>
    <row r="4" spans="1:8" ht="32.25" customHeight="1" thickBot="1">
      <c r="A4" s="226" t="s">
        <v>333</v>
      </c>
      <c r="B4" s="62" t="s">
        <v>149</v>
      </c>
      <c r="C4" s="14"/>
    </row>
    <row r="5" spans="1:8" ht="15.75">
      <c r="A5" s="11"/>
      <c r="B5" s="417" t="s">
        <v>150</v>
      </c>
      <c r="C5" s="437" t="s">
        <v>493</v>
      </c>
    </row>
    <row r="6" spans="1:8">
      <c r="A6" s="15">
        <v>1</v>
      </c>
      <c r="B6" s="63" t="s">
        <v>502</v>
      </c>
      <c r="C6" s="433" t="s">
        <v>506</v>
      </c>
    </row>
    <row r="7" spans="1:8">
      <c r="A7" s="15">
        <v>2</v>
      </c>
      <c r="B7" s="63" t="s">
        <v>507</v>
      </c>
      <c r="C7" s="433" t="s">
        <v>508</v>
      </c>
    </row>
    <row r="8" spans="1:8">
      <c r="A8" s="15">
        <v>3</v>
      </c>
      <c r="B8" s="63" t="s">
        <v>509</v>
      </c>
      <c r="C8" s="433" t="s">
        <v>508</v>
      </c>
    </row>
    <row r="9" spans="1:8">
      <c r="A9" s="15">
        <v>4</v>
      </c>
      <c r="B9" s="63" t="s">
        <v>510</v>
      </c>
      <c r="C9" s="433" t="s">
        <v>511</v>
      </c>
    </row>
    <row r="10" spans="1:8">
      <c r="A10" s="15">
        <v>5</v>
      </c>
      <c r="B10" s="63" t="s">
        <v>512</v>
      </c>
      <c r="C10" s="433" t="s">
        <v>511</v>
      </c>
    </row>
    <row r="11" spans="1:8">
      <c r="A11" s="15">
        <v>6</v>
      </c>
      <c r="B11" s="63" t="s">
        <v>513</v>
      </c>
      <c r="C11" s="433" t="s">
        <v>511</v>
      </c>
    </row>
    <row r="12" spans="1:8">
      <c r="A12" s="15">
        <v>7</v>
      </c>
      <c r="B12" s="63"/>
      <c r="C12" s="433"/>
      <c r="H12" s="4"/>
    </row>
    <row r="13" spans="1:8">
      <c r="A13" s="15">
        <v>8</v>
      </c>
      <c r="B13" s="63"/>
      <c r="C13" s="433"/>
    </row>
    <row r="14" spans="1:8">
      <c r="A14" s="15">
        <v>9</v>
      </c>
      <c r="B14" s="63"/>
      <c r="C14" s="433"/>
    </row>
    <row r="15" spans="1:8">
      <c r="A15" s="15">
        <v>10</v>
      </c>
      <c r="B15" s="63"/>
      <c r="C15" s="433"/>
    </row>
    <row r="16" spans="1:8">
      <c r="A16" s="15"/>
      <c r="B16" s="543"/>
      <c r="C16" s="544"/>
    </row>
    <row r="17" spans="1:3" ht="60">
      <c r="A17" s="15"/>
      <c r="B17" s="418" t="s">
        <v>151</v>
      </c>
      <c r="C17" s="438" t="s">
        <v>494</v>
      </c>
    </row>
    <row r="18" spans="1:3" ht="15.75">
      <c r="A18" s="15">
        <v>1</v>
      </c>
      <c r="B18" s="28" t="s">
        <v>514</v>
      </c>
      <c r="C18" s="435" t="s">
        <v>515</v>
      </c>
    </row>
    <row r="19" spans="1:3" ht="15.75">
      <c r="A19" s="15">
        <v>2</v>
      </c>
      <c r="B19" s="28" t="s">
        <v>516</v>
      </c>
      <c r="C19" s="435" t="s">
        <v>517</v>
      </c>
    </row>
    <row r="20" spans="1:3" ht="15.75">
      <c r="A20" s="15">
        <v>3</v>
      </c>
      <c r="B20" s="28" t="s">
        <v>518</v>
      </c>
      <c r="C20" s="435" t="s">
        <v>519</v>
      </c>
    </row>
    <row r="21" spans="1:3" ht="15.75">
      <c r="A21" s="15">
        <v>4</v>
      </c>
      <c r="B21" s="28" t="s">
        <v>520</v>
      </c>
      <c r="C21" s="435" t="s">
        <v>521</v>
      </c>
    </row>
    <row r="22" spans="1:3" ht="15.75">
      <c r="A22" s="15">
        <v>5</v>
      </c>
      <c r="B22" s="28" t="s">
        <v>522</v>
      </c>
      <c r="C22" s="435" t="s">
        <v>523</v>
      </c>
    </row>
    <row r="23" spans="1:3" ht="15.75">
      <c r="A23" s="15">
        <v>6</v>
      </c>
      <c r="B23" s="28"/>
      <c r="C23" s="435"/>
    </row>
    <row r="24" spans="1:3" ht="15.75">
      <c r="A24" s="15">
        <v>7</v>
      </c>
      <c r="B24" s="28"/>
      <c r="C24" s="435"/>
    </row>
    <row r="25" spans="1:3" ht="15.75">
      <c r="A25" s="15">
        <v>8</v>
      </c>
      <c r="B25" s="28"/>
      <c r="C25" s="435"/>
    </row>
    <row r="26" spans="1:3" ht="15.75">
      <c r="A26" s="15">
        <v>9</v>
      </c>
      <c r="B26" s="28"/>
      <c r="C26" s="435"/>
    </row>
    <row r="27" spans="1:3" ht="15.75" customHeight="1">
      <c r="A27" s="15">
        <v>10</v>
      </c>
      <c r="B27" s="28"/>
      <c r="C27" s="436"/>
    </row>
    <row r="28" spans="1:3" ht="15.75" customHeight="1">
      <c r="A28" s="15"/>
      <c r="B28" s="28"/>
      <c r="C28" s="29"/>
    </row>
    <row r="29" spans="1:3" ht="30" customHeight="1">
      <c r="A29" s="15"/>
      <c r="B29" s="545" t="s">
        <v>152</v>
      </c>
      <c r="C29" s="546"/>
    </row>
    <row r="30" spans="1:3">
      <c r="A30" s="15">
        <v>1</v>
      </c>
      <c r="B30" s="63" t="s">
        <v>502</v>
      </c>
      <c r="C30" s="480">
        <v>0.65</v>
      </c>
    </row>
    <row r="31" spans="1:3">
      <c r="A31" s="475">
        <v>2</v>
      </c>
      <c r="B31" s="476" t="s">
        <v>524</v>
      </c>
      <c r="C31" s="480">
        <v>0.15</v>
      </c>
    </row>
    <row r="32" spans="1:3">
      <c r="A32" s="475">
        <v>3</v>
      </c>
      <c r="B32" s="476" t="s">
        <v>525</v>
      </c>
      <c r="C32" s="480">
        <v>0.15</v>
      </c>
    </row>
    <row r="33" spans="1:3">
      <c r="A33" s="475">
        <v>4</v>
      </c>
      <c r="B33" s="476" t="s">
        <v>526</v>
      </c>
      <c r="C33" s="480">
        <v>0.05</v>
      </c>
    </row>
    <row r="34" spans="1:3">
      <c r="A34" s="475"/>
      <c r="B34" s="476"/>
      <c r="C34" s="64"/>
    </row>
    <row r="35" spans="1:3">
      <c r="A35" s="475"/>
      <c r="B35" s="476"/>
      <c r="C35" s="64"/>
    </row>
    <row r="36" spans="1:3" ht="15.75" customHeight="1">
      <c r="A36" s="15"/>
      <c r="B36" s="63"/>
      <c r="C36" s="64"/>
    </row>
    <row r="37" spans="1:3" ht="29.25" customHeight="1">
      <c r="A37" s="15"/>
      <c r="B37" s="545" t="s">
        <v>273</v>
      </c>
      <c r="C37" s="546"/>
    </row>
    <row r="38" spans="1:3">
      <c r="A38" s="15">
        <v>1</v>
      </c>
      <c r="B38" s="63" t="s">
        <v>502</v>
      </c>
      <c r="C38" s="481">
        <v>0.65</v>
      </c>
    </row>
    <row r="39" spans="1:3">
      <c r="A39" s="477">
        <v>2</v>
      </c>
      <c r="B39" s="478" t="s">
        <v>524</v>
      </c>
      <c r="C39" s="482">
        <v>0.15</v>
      </c>
    </row>
    <row r="40" spans="1:3">
      <c r="A40" s="477">
        <v>3</v>
      </c>
      <c r="B40" s="478" t="s">
        <v>525</v>
      </c>
      <c r="C40" s="482">
        <v>0.15</v>
      </c>
    </row>
    <row r="41" spans="1:3">
      <c r="A41" s="477">
        <v>4</v>
      </c>
      <c r="B41" s="478" t="s">
        <v>526</v>
      </c>
      <c r="C41" s="482">
        <v>0.05</v>
      </c>
    </row>
    <row r="42" spans="1:3">
      <c r="A42" s="477"/>
      <c r="B42" s="478"/>
      <c r="C42" s="479"/>
    </row>
    <row r="43" spans="1:3" ht="16.5" thickBot="1">
      <c r="A43" s="16"/>
      <c r="B43" s="65"/>
      <c r="C43" s="434"/>
    </row>
  </sheetData>
  <mergeCells count="3">
    <mergeCell ref="B16:C16"/>
    <mergeCell ref="B37:C37"/>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5" zoomScaleNormal="85" workbookViewId="0">
      <pane xSplit="1" ySplit="5" topLeftCell="B6" activePane="bottomRight" state="frozen"/>
      <selection activeCell="H6" sqref="H6"/>
      <selection pane="topRight" activeCell="H6" sqref="H6"/>
      <selection pane="bottomLeft" activeCell="H6" sqref="H6"/>
      <selection pane="bottomRight" activeCell="E8" sqref="C8: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188</v>
      </c>
      <c r="B1" s="17" t="str">
        <f ca="1">Info!C2</f>
        <v>ს.ს. "ტერაბანკი"</v>
      </c>
    </row>
    <row r="2" spans="1:7" s="22" customFormat="1" ht="15.75" customHeight="1">
      <c r="A2" s="22" t="s">
        <v>189</v>
      </c>
      <c r="B2" s="457">
        <f>'1. key ratios'!B2</f>
        <v>44286</v>
      </c>
    </row>
    <row r="3" spans="1:7" s="22" customFormat="1" ht="15.75" customHeight="1"/>
    <row r="4" spans="1:7" s="22" customFormat="1" ht="15.75" customHeight="1" thickBot="1">
      <c r="A4" s="227" t="s">
        <v>334</v>
      </c>
      <c r="B4" s="228" t="s">
        <v>263</v>
      </c>
      <c r="C4" s="190"/>
      <c r="D4" s="190"/>
      <c r="E4" s="191" t="s">
        <v>93</v>
      </c>
    </row>
    <row r="5" spans="1:7" s="121" customFormat="1" ht="17.45" customHeight="1">
      <c r="A5" s="335"/>
      <c r="B5" s="336"/>
      <c r="C5" s="189" t="s">
        <v>0</v>
      </c>
      <c r="D5" s="189" t="s">
        <v>1</v>
      </c>
      <c r="E5" s="337" t="s">
        <v>2</v>
      </c>
    </row>
    <row r="6" spans="1:7" s="157" customFormat="1" ht="14.45" customHeight="1">
      <c r="A6" s="338"/>
      <c r="B6" s="547" t="s">
        <v>231</v>
      </c>
      <c r="C6" s="547" t="s">
        <v>230</v>
      </c>
      <c r="D6" s="548" t="s">
        <v>229</v>
      </c>
      <c r="E6" s="549"/>
      <c r="G6"/>
    </row>
    <row r="7" spans="1:7" s="157" customFormat="1" ht="99.6" customHeight="1">
      <c r="A7" s="338"/>
      <c r="B7" s="547"/>
      <c r="C7" s="547"/>
      <c r="D7" s="333" t="s">
        <v>228</v>
      </c>
      <c r="E7" s="334" t="s">
        <v>396</v>
      </c>
      <c r="G7"/>
    </row>
    <row r="8" spans="1:7">
      <c r="A8" s="339">
        <v>1</v>
      </c>
      <c r="B8" s="340" t="s">
        <v>154</v>
      </c>
      <c r="C8" s="341">
        <v>35898343.460000001</v>
      </c>
      <c r="D8" s="341">
        <v>0</v>
      </c>
      <c r="E8" s="342">
        <v>35898343.460000001</v>
      </c>
    </row>
    <row r="9" spans="1:7">
      <c r="A9" s="339">
        <v>2</v>
      </c>
      <c r="B9" s="340" t="s">
        <v>155</v>
      </c>
      <c r="C9" s="341">
        <v>176541439.69</v>
      </c>
      <c r="D9" s="341">
        <v>0</v>
      </c>
      <c r="E9" s="342">
        <v>176541439.69</v>
      </c>
    </row>
    <row r="10" spans="1:7">
      <c r="A10" s="339">
        <v>3</v>
      </c>
      <c r="B10" s="340" t="s">
        <v>227</v>
      </c>
      <c r="C10" s="341">
        <v>49846089.920000002</v>
      </c>
      <c r="D10" s="341">
        <v>0</v>
      </c>
      <c r="E10" s="342">
        <v>49846089.920000002</v>
      </c>
    </row>
    <row r="11" spans="1:7" ht="25.5">
      <c r="A11" s="339">
        <v>4</v>
      </c>
      <c r="B11" s="340" t="s">
        <v>185</v>
      </c>
      <c r="C11" s="341">
        <v>0</v>
      </c>
      <c r="D11" s="341">
        <v>0</v>
      </c>
      <c r="E11" s="342">
        <v>0</v>
      </c>
    </row>
    <row r="12" spans="1:7">
      <c r="A12" s="339">
        <v>5</v>
      </c>
      <c r="B12" s="340" t="s">
        <v>157</v>
      </c>
      <c r="C12" s="341">
        <v>86462260.989999995</v>
      </c>
      <c r="D12" s="341">
        <v>0</v>
      </c>
      <c r="E12" s="342">
        <v>86462260.989999995</v>
      </c>
    </row>
    <row r="13" spans="1:7">
      <c r="A13" s="339">
        <v>6.1</v>
      </c>
      <c r="B13" s="340" t="s">
        <v>158</v>
      </c>
      <c r="C13" s="343">
        <v>966304346.47000003</v>
      </c>
      <c r="D13" s="341">
        <v>0</v>
      </c>
      <c r="E13" s="342">
        <v>966304346.47000003</v>
      </c>
    </row>
    <row r="14" spans="1:7">
      <c r="A14" s="339">
        <v>6.2</v>
      </c>
      <c r="B14" s="344" t="s">
        <v>159</v>
      </c>
      <c r="C14" s="343">
        <v>55169305.230000094</v>
      </c>
      <c r="D14" s="341">
        <v>0</v>
      </c>
      <c r="E14" s="342">
        <v>55169305.230000094</v>
      </c>
    </row>
    <row r="15" spans="1:7">
      <c r="A15" s="339">
        <v>6</v>
      </c>
      <c r="B15" s="340" t="s">
        <v>226</v>
      </c>
      <c r="C15" s="341">
        <v>911135041.24000001</v>
      </c>
      <c r="D15" s="341">
        <v>0</v>
      </c>
      <c r="E15" s="342">
        <v>911135041.24000001</v>
      </c>
    </row>
    <row r="16" spans="1:7" ht="25.5">
      <c r="A16" s="339">
        <v>7</v>
      </c>
      <c r="B16" s="340" t="s">
        <v>161</v>
      </c>
      <c r="C16" s="341">
        <v>12751738.469999973</v>
      </c>
      <c r="D16" s="341">
        <v>0</v>
      </c>
      <c r="E16" s="342">
        <v>12751738.469999973</v>
      </c>
    </row>
    <row r="17" spans="1:7">
      <c r="A17" s="339">
        <v>8</v>
      </c>
      <c r="B17" s="340" t="s">
        <v>162</v>
      </c>
      <c r="C17" s="341">
        <v>2939066.8800000232</v>
      </c>
      <c r="D17" s="341">
        <v>0</v>
      </c>
      <c r="E17" s="342">
        <v>2939066.8800000232</v>
      </c>
      <c r="F17" s="6"/>
      <c r="G17" s="6"/>
    </row>
    <row r="18" spans="1:7">
      <c r="A18" s="339">
        <v>9</v>
      </c>
      <c r="B18" s="340" t="s">
        <v>163</v>
      </c>
      <c r="C18" s="341">
        <v>0</v>
      </c>
      <c r="D18" s="341">
        <v>0</v>
      </c>
      <c r="E18" s="342">
        <v>0</v>
      </c>
      <c r="G18" s="6"/>
    </row>
    <row r="19" spans="1:7" ht="25.5">
      <c r="A19" s="339">
        <v>10</v>
      </c>
      <c r="B19" s="340" t="s">
        <v>164</v>
      </c>
      <c r="C19" s="341">
        <v>46393296.260000035</v>
      </c>
      <c r="D19" s="341">
        <v>22798096</v>
      </c>
      <c r="E19" s="342">
        <v>23595200.260000035</v>
      </c>
      <c r="G19" s="6"/>
    </row>
    <row r="20" spans="1:7">
      <c r="A20" s="339">
        <v>11</v>
      </c>
      <c r="B20" s="340" t="s">
        <v>165</v>
      </c>
      <c r="C20" s="341">
        <v>8066074.5870000012</v>
      </c>
      <c r="D20" s="341">
        <v>0</v>
      </c>
      <c r="E20" s="342">
        <v>8066074.5870000012</v>
      </c>
    </row>
    <row r="21" spans="1:7" ht="51.75" thickBot="1">
      <c r="A21" s="345"/>
      <c r="B21" s="346" t="s">
        <v>369</v>
      </c>
      <c r="C21" s="297">
        <f>SUM(C8:C12, C15:C20)</f>
        <v>1330033351.497</v>
      </c>
      <c r="D21" s="297">
        <f>SUM(D8:D12, D15:D20)</f>
        <v>22798096</v>
      </c>
      <c r="E21" s="347">
        <f>SUM(E8:E12, E15:E20)</f>
        <v>1307235255.497</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5" sqref="C5:C13"/>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188</v>
      </c>
      <c r="B1" s="17" t="str">
        <f ca="1">Info!C2</f>
        <v>ს.ს. "ტერაბანკი"</v>
      </c>
    </row>
    <row r="2" spans="1:6" s="22" customFormat="1" ht="15.75" customHeight="1">
      <c r="A2" s="22" t="s">
        <v>189</v>
      </c>
      <c r="B2" s="457">
        <f>'1. key ratios'!B2</f>
        <v>44286</v>
      </c>
      <c r="C2"/>
      <c r="D2"/>
      <c r="E2"/>
      <c r="F2"/>
    </row>
    <row r="3" spans="1:6" s="22" customFormat="1" ht="15.75" customHeight="1">
      <c r="C3"/>
      <c r="D3"/>
      <c r="E3"/>
      <c r="F3"/>
    </row>
    <row r="4" spans="1:6" s="22" customFormat="1" ht="26.25" thickBot="1">
      <c r="A4" s="22" t="s">
        <v>335</v>
      </c>
      <c r="B4" s="197" t="s">
        <v>266</v>
      </c>
      <c r="C4" s="191" t="s">
        <v>93</v>
      </c>
      <c r="D4"/>
      <c r="E4"/>
      <c r="F4"/>
    </row>
    <row r="5" spans="1:6" ht="26.25">
      <c r="A5" s="192">
        <v>1</v>
      </c>
      <c r="B5" s="193" t="s">
        <v>342</v>
      </c>
      <c r="C5" s="520">
        <f>'7. LI1'!E21</f>
        <v>1307235255.497</v>
      </c>
    </row>
    <row r="6" spans="1:6" s="182" customFormat="1">
      <c r="A6" s="120">
        <v>2.1</v>
      </c>
      <c r="B6" s="199" t="s">
        <v>267</v>
      </c>
      <c r="C6" s="521">
        <v>69675746.659999996</v>
      </c>
    </row>
    <row r="7" spans="1:6" s="4" customFormat="1" ht="25.5" outlineLevel="1">
      <c r="A7" s="198">
        <v>2.2000000000000002</v>
      </c>
      <c r="B7" s="194" t="s">
        <v>268</v>
      </c>
      <c r="C7" s="522">
        <v>77840424.799999997</v>
      </c>
    </row>
    <row r="8" spans="1:6" s="4" customFormat="1" ht="26.25">
      <c r="A8" s="198">
        <v>3</v>
      </c>
      <c r="B8" s="195" t="s">
        <v>343</v>
      </c>
      <c r="C8" s="523">
        <f>SUM(C5:C7)</f>
        <v>1454751426.957</v>
      </c>
    </row>
    <row r="9" spans="1:6" s="182" customFormat="1">
      <c r="A9" s="120">
        <v>4</v>
      </c>
      <c r="B9" s="202" t="s">
        <v>264</v>
      </c>
      <c r="C9" s="521">
        <v>14996447.000000043</v>
      </c>
    </row>
    <row r="10" spans="1:6" s="4" customFormat="1" ht="25.5" outlineLevel="1">
      <c r="A10" s="198">
        <v>5.0999999999999996</v>
      </c>
      <c r="B10" s="194" t="s">
        <v>274</v>
      </c>
      <c r="C10" s="522">
        <v>-32640985.059000045</v>
      </c>
    </row>
    <row r="11" spans="1:6" s="4" customFormat="1" ht="25.5" outlineLevel="1">
      <c r="A11" s="198">
        <v>5.2</v>
      </c>
      <c r="B11" s="194" t="s">
        <v>275</v>
      </c>
      <c r="C11" s="522">
        <v>-76283616.30399999</v>
      </c>
    </row>
    <row r="12" spans="1:6" s="4" customFormat="1">
      <c r="A12" s="198">
        <v>6</v>
      </c>
      <c r="B12" s="200" t="s">
        <v>480</v>
      </c>
      <c r="C12" s="524">
        <v>1621297.71</v>
      </c>
    </row>
    <row r="13" spans="1:6" s="4" customFormat="1" ht="15.75" thickBot="1">
      <c r="A13" s="201">
        <v>7</v>
      </c>
      <c r="B13" s="196" t="s">
        <v>265</v>
      </c>
      <c r="C13" s="525">
        <f>SUM(C8:C12)</f>
        <v>1362444570.3040001</v>
      </c>
    </row>
    <row r="15" spans="1:6" ht="26.25">
      <c r="B15" s="24" t="s">
        <v>481</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hCbj3gJ1Ix3xOFawW9lYiz4dihZFT4P7lglbOA07iww=</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Fj3b1yau39sXoZ0P4xL/CJYUEbyEEpEcCc6hk+9JicY=</DigestValue>
    </Reference>
  </SignedInfo>
  <SignatureValue>YplgVMfrAfXHO5ymh4HpJaKs8dLZFk4r+oCGluTs1FAeb0t4M0dAV+QwVqmxpnBr0uwb2jsauB5R
rviT3HWrozh+ynXpB7Cz6vkzH7BSd2RTAUXClHyDhnRdKLEiYgtFY4qolJcJ3dnvyyjDpdKr+wpU
kVKSrzalMZfqDqjPectXbSd8Qa6u11jwdb6aMX1KniKbwgGxYKnZduILXg+5Mwepa8WcgX/ar69M
klIpqV2/+zoqWd1S1/lfNF5vMqck8Vy8aV2HeqXEKGpBogDWqWhfbhM82Vy9UWsXOER1V6UcbzBd
qSkY4DY0OUpD4rZYzLK8G9A3UhXWUXnn++/V0w==</SignatureValue>
  <KeyInfo>
    <X509Data>
      <X509Certificate>MIIGOjCCBSKgAwIBAgIKbUnumwACAAGmOzANBgkqhkiG9w0BAQsFADBKMRIwEAYKCZImiZPyLGQBGRYCZ2UxEzARBgoJkiaJk/IsZAEZFgNuYmcxHzAdBgNVBAMTFk5CRyBDbGFzcyAyIElOVCBTdWIgQ0EwHhcNMjAwOTEwMTQzOTIzWhcNMjExMjIyMDk0NjU2WjA4MRUwEwYDVQQKEwxKU0MgVGVyYWJhbmsxHzAdBgNVBAMTFkJLUyAtIE5hdGlhIEJlbmFzaHZpbGkwggEiMA0GCSqGSIb3DQEBAQUAA4IBDwAwggEKAoIBAQDbdxwykj9wI77B3YONxgb5MCFLumccgTJMKl3OrIu4Fi6aswhdQIc83yPw+gDhb1IJXrbk+WOpKkeOxxTn6wq9MDw5O+pjLscDhxYwYLJbi1J78VUFZSxvsNmB15kdFkVphkFCKVXwPRhJWUS3PE5zeMTwBhAf5JbOLf1rUQpiFwg1wbCTbi0q8LkSQAIbT1ajr9GdgI8WAuTk93Nrmtw7qrh8h5UZyzcaCHAEj8iMihF4+8kJRyQeBgh6/2Bgb3u9ZbEl4S2VyNn/nSoqjouE4Xa1RZllMrunBrd8gCoZcvmo/ifGSYHEiZRVqYpzsrZalStvZEmJ+dKJ1QLmxKphAgMBAAGjggMyMIIDLjA8BgkrBgEEAYI3FQcELzAtBiUrBgEEAYI3FQjmsmCDjfVEhoGZCYO4oUqDvoRxBIPEkTOEg4hdAgFkAgEjMB0GA1UdJQQWMBQGCCsGAQUFBwMCBggrBgEFBQcDBDALBgNVHQ8EBAMCB4AwJwYJKwYBBAGCNxUKBBowGDAKBggrBgEFBQcDAjAKBggrBgEFBQcDBDAdBgNVHQ4EFgQUw6UJLkVlikb0S7C+rrSMVvVRoLA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Op/6IhmdjEoynI8H644romT3wDI6UkO4cWdnA22XA/TAlCFaC5VBi4oaSKkjEkTUxgawm4KvG5fi8GobKIiqA/m92t5R3rgO92p367E8+oxkincS2ONtqgSTbKhwD0wUanx6VCE74UtSUu/uiNELV0R+aCpY6Drtjx4iYTYqvQg2veK4DTcXbumTzHl/yQBSOZPGOctvB27zefqsdey9eaQG8sAsakGZIWGehex423MokHFwAP9b+9udYI83doYkXwLA4Q7OQ8M9d9mQX3AmSAs27GCQNfe8/hldRtxv2XrDTTjy6Jdt05yEHc1U1jsY+lJyT1VMi75vQBZkigxQ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VTO/nHewoiEQTL9cY6Woieyt2R6zQ6Jim86vnvM5xtk=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cAakJwk7sK50E3PpuP+HxGJkbpZ86dRehUZggw4BL9w=</DigestValue>
      </Reference>
      <Reference URI="/xl/styles.xml?ContentType=application/vnd.openxmlformats-officedocument.spreadsheetml.styles+xml">
        <DigestMethod Algorithm="http://www.w3.org/2001/04/xmlenc#sha256"/>
        <DigestValue>AvG5KN6t/0XCtjg7RBw6uJx5dTebYbQmycCoC+Kzosw=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jG4QkuaUV3J0HlCzcdQ9oe+ArY45AQj94jrf1TXzyZw=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3iYUtXlGs13/rnPCNf2bQAszd1hm06u5rWGUf1zBLXI=</DigestValue>
      </Reference>
      <Reference URI="/xl/worksheets/sheet10.xml?ContentType=application/vnd.openxmlformats-officedocument.spreadsheetml.worksheet+xml">
        <DigestMethod Algorithm="http://www.w3.org/2001/04/xmlenc#sha256"/>
        <DigestValue>4DFFcRY3dk9f+a7+P4G1aMxn9bsqkuNY9oPlQspP7rM=</DigestValue>
      </Reference>
      <Reference URI="/xl/worksheets/sheet11.xml?ContentType=application/vnd.openxmlformats-officedocument.spreadsheetml.worksheet+xml">
        <DigestMethod Algorithm="http://www.w3.org/2001/04/xmlenc#sha256"/>
        <DigestValue>F8a575KEUZK2q+P/ScoqFJhUzXCmtoAFY92C2CTSftQ=</DigestValue>
      </Reference>
      <Reference URI="/xl/worksheets/sheet12.xml?ContentType=application/vnd.openxmlformats-officedocument.spreadsheetml.worksheet+xml">
        <DigestMethod Algorithm="http://www.w3.org/2001/04/xmlenc#sha256"/>
        <DigestValue>6TuDsq6y5HrlCN2P7w3GEriA4lPuDRKkWM0Li9URHlA=</DigestValue>
      </Reference>
      <Reference URI="/xl/worksheets/sheet13.xml?ContentType=application/vnd.openxmlformats-officedocument.spreadsheetml.worksheet+xml">
        <DigestMethod Algorithm="http://www.w3.org/2001/04/xmlenc#sha256"/>
        <DigestValue>Qz/M6oOyJGhq1gNdVyw8ug2Ra1MeQAXTwgLWgcsuX5Q=</DigestValue>
      </Reference>
      <Reference URI="/xl/worksheets/sheet14.xml?ContentType=application/vnd.openxmlformats-officedocument.spreadsheetml.worksheet+xml">
        <DigestMethod Algorithm="http://www.w3.org/2001/04/xmlenc#sha256"/>
        <DigestValue>HckSz7wBmaSi1UNpU40fYdjEKCgkMJF7CRv2f2Z5Jh4=</DigestValue>
      </Reference>
      <Reference URI="/xl/worksheets/sheet15.xml?ContentType=application/vnd.openxmlformats-officedocument.spreadsheetml.worksheet+xml">
        <DigestMethod Algorithm="http://www.w3.org/2001/04/xmlenc#sha256"/>
        <DigestValue>WCWlbZhz3JrD/GlWiJFjykRa7SVbWTYFeKeROZ7NK2I=</DigestValue>
      </Reference>
      <Reference URI="/xl/worksheets/sheet16.xml?ContentType=application/vnd.openxmlformats-officedocument.spreadsheetml.worksheet+xml">
        <DigestMethod Algorithm="http://www.w3.org/2001/04/xmlenc#sha256"/>
        <DigestValue>mnD7uqhZgLxoe1P5es6iJ71D38acqpvHF4djO7bXwj8=</DigestValue>
      </Reference>
      <Reference URI="/xl/worksheets/sheet17.xml?ContentType=application/vnd.openxmlformats-officedocument.spreadsheetml.worksheet+xml">
        <DigestMethod Algorithm="http://www.w3.org/2001/04/xmlenc#sha256"/>
        <DigestValue>tZ+Cjw8NPUdUnOqlWy8T7wUfVWd6zMSt13YOyGRUocU=</DigestValue>
      </Reference>
      <Reference URI="/xl/worksheets/sheet18.xml?ContentType=application/vnd.openxmlformats-officedocument.spreadsheetml.worksheet+xml">
        <DigestMethod Algorithm="http://www.w3.org/2001/04/xmlenc#sha256"/>
        <DigestValue>dZNInCtlOQCBMinsekAc8srdOQP4xHBYZGTlKdcYEYg=</DigestValue>
      </Reference>
      <Reference URI="/xl/worksheets/sheet2.xml?ContentType=application/vnd.openxmlformats-officedocument.spreadsheetml.worksheet+xml">
        <DigestMethod Algorithm="http://www.w3.org/2001/04/xmlenc#sha256"/>
        <DigestValue>usnC93yK5VboLXDAyu1EHnth1c+be/XMnyELNnyIJck=</DigestValue>
      </Reference>
      <Reference URI="/xl/worksheets/sheet3.xml?ContentType=application/vnd.openxmlformats-officedocument.spreadsheetml.worksheet+xml">
        <DigestMethod Algorithm="http://www.w3.org/2001/04/xmlenc#sha256"/>
        <DigestValue>nqlcqiXfB+2+6fq/3IRLG1BwQP4pUqJn1QpfD4zijmo=</DigestValue>
      </Reference>
      <Reference URI="/xl/worksheets/sheet4.xml?ContentType=application/vnd.openxmlformats-officedocument.spreadsheetml.worksheet+xml">
        <DigestMethod Algorithm="http://www.w3.org/2001/04/xmlenc#sha256"/>
        <DigestValue>K/y9R4HPcvp6M4INwUWP31c4nGszHHRgV9TVqQkmO84=</DigestValue>
      </Reference>
      <Reference URI="/xl/worksheets/sheet5.xml?ContentType=application/vnd.openxmlformats-officedocument.spreadsheetml.worksheet+xml">
        <DigestMethod Algorithm="http://www.w3.org/2001/04/xmlenc#sha256"/>
        <DigestValue>KxUu7s1SMEt4JO3MGnrD8eZhRUhCYyigNKbF9CMIaPg=</DigestValue>
      </Reference>
      <Reference URI="/xl/worksheets/sheet6.xml?ContentType=application/vnd.openxmlformats-officedocument.spreadsheetml.worksheet+xml">
        <DigestMethod Algorithm="http://www.w3.org/2001/04/xmlenc#sha256"/>
        <DigestValue>uNgMwO8zjXpDE7G27ggc1OZ+/cWZhraDLN8VZqoYiyA=</DigestValue>
      </Reference>
      <Reference URI="/xl/worksheets/sheet7.xml?ContentType=application/vnd.openxmlformats-officedocument.spreadsheetml.worksheet+xml">
        <DigestMethod Algorithm="http://www.w3.org/2001/04/xmlenc#sha256"/>
        <DigestValue>tUJL9yb/T5JjNEzcnbX/PAoyRG7KhP2o9D2qA0PQ7mo=</DigestValue>
      </Reference>
      <Reference URI="/xl/worksheets/sheet8.xml?ContentType=application/vnd.openxmlformats-officedocument.spreadsheetml.worksheet+xml">
        <DigestMethod Algorithm="http://www.w3.org/2001/04/xmlenc#sha256"/>
        <DigestValue>3+gVe34cFWi/+bl3D7TllfxDwPp29EDZxMeM80xNAn8=</DigestValue>
      </Reference>
      <Reference URI="/xl/worksheets/sheet9.xml?ContentType=application/vnd.openxmlformats-officedocument.spreadsheetml.worksheet+xml">
        <DigestMethod Algorithm="http://www.w3.org/2001/04/xmlenc#sha256"/>
        <DigestValue>5N2n9P1th6GAD26IyzJLMh/SiIUHdnSm67lI+IyZ414=</DigestValue>
      </Reference>
    </Manifest>
    <SignatureProperties>
      <SignatureProperty Id="idSignatureTime" Target="#idPackageSignature">
        <mdssi:SignatureTime xmlns:mdssi="http://schemas.openxmlformats.org/package/2006/digital-signature">
          <mdssi:Format>YYYY-MM-DDThh:mm:ssTZD</mdssi:Format>
          <mdssi:Value>2021-05-06T08:44:20Z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2021-05-06T08:44:20Z</xd:SigningTime>
          <xd:SigningCertificate>
            <xd:Cert>
              <xd:CertDigest>
                <DigestMethod Algorithm="http://www.w3.org/2001/04/xmlenc#sha256"/>
                <DigestValue>vi7OIC/UgzSg1azrOTla26HMWT2jdyeAkTAZwJ3/Y/E=</DigestValue>
              </xd:CertDigest>
              <xd:IssuerSerial>
                <X509IssuerName>CN=NBG Class 2 INT Sub CA, DC=nbg, DC=ge</X509IssuerName>
                <X509SerialNumber>516101752286183132603963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ogBR4rfVZEyuqyuNaPO4YwfJDPAiv9ZuURqRFWahrcs=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mYZ0PT0AN4RGqMFYEZbAh97jRUKwX78bo64C+8jJDFk=</DigestValue>
    </Reference>
  </SignedInfo>
  <SignatureValue>eHfXlmFsAxw7mAzVRePS7KfCAYexd8qKCwUgTfdNDWPprnBvxET6rWCP0u/rDGbDEqe6iumbuVW0
bz10vOL14BV82QVv7yTmc4P0/iagwGzCnsim8LPwSYPP0/Nns5qOTvQkQozuAQNpMMXTI3I2gIM/
bwKx0Xb1IApNJAro14tpO9kI1cDNugYcaC8rSuSUQ7qV9lRdtVN5VGyYsDcZy3qal1NFevpOY9dE
rddFPU0W4DqQTEIkid+CF/eEfxq4j06vgJp3nI9lq22lFprXEd22XmlZDEMrW5ooPQHoLOn/QIZT
1ZFcZ514ooztChYo+McmMlOHihS1mk6JjGYObg==</SignatureValue>
  <KeyInfo>
    <X509Data>
      <X509Certificate>MIIGNzCCBR+gAwIBAgIKEqQdFwACAAHLYDANBgkqhkiG9w0BAQsFADBKMRIwEAYKCZImiZPyLGQBGRYCZ2UxEzARBgoJkiaJk/IsZAEZFgNuYmcxHzAdBgNVBAMTFk5CRyBDbGFzcyAyIElOVCBTdWIgQ0EwHhcNMjEwMjE3MTI0NjE2WhcNMjExMjIyMDk0NjU2WjA1MRUwEwYDVQQKEwxKU0MgVEVSQUJBTksxHDAaBgNVBAMTE0JLUyAtIFNvcGhpZSBKdWdlbGkwggEiMA0GCSqGSIb3DQEBAQUAA4IBDwAwggEKAoIBAQD8Vu5OnkSM8K6Ul2Lb5PmJSCKNwBlWET1dmbKKd4/dN+b+NxBpdpjMIbRyguQXfGlludrKGBB6sDfsq1tIZ6QTbQqhJx/TL4GV0+nhcnjXgdB7DbaNA5zlcoRpf9E1qiwlGalMEK0AGmU9dZ6OhmYsYZqw7YrAjnvcelOryzW/bq4LJE6JTg49c6xbsS48GjSelvV1A4m2+KxbUj2FntHo1AkekQX3QwyqO2OtdCbYRyToJnpaPKhcs8JMJ3Rq700vusx1DIeWVjtdPy31icKLVXxktX63a1yPIVPHAriCue86zJxFewYaUOgBlVL+J1ye09oHJ5gIRP3BwqJVP9ZlAgMBAAGjggMyMIIDLjA8BgkrBgEEAYI3FQcELzAtBiUrBgEEAYI3FQjmsmCDjfVEhoGZCYO4oUqDvoRxBIPEkTOEg4hdAgFkAgEjMB0GA1UdJQQWMBQGCCsGAQUFBwMCBggrBgEFBQcDBDALBgNVHQ8EBAMCB4AwJwYJKwYBBAGCNxUKBBowGDAKBggrBgEFBQcDAjAKBggrBgEFBQcDBDAdBgNVHQ4EFgQUyspBcTQS91GqTzTL+D3K9MYQrjQ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CU00oU7Acs9vL8qlaRpIOYc9GscTcIWmCv0AMaMfD1P8saxK+VQUS2cmBijog355gt5h1Vac2K20MSBa9N6x6PSq1uFHXEe5DouD2pe3zpm95FQfK5swFFXKVYjOBbtnGRXxlSZUALamRKO3XV7Iq9lsXp9b73kSH0I32769EA3DHLsR6wkgBQBOXrJ+xYTIOuLDBOnkcVU4JnwmmG2D1gAkCmwqsh5fVyNnjfWZulEQ93T/B/Z5Ea0FvCnHp74MJ6zPLjrKeX3R0NQ1egsX+hsS3ZzLM0GC02qZCfCd8H/4nLGeNvEq6N9w0o+gU8HBN74zIvo3AadLn8phbmKu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VTO/nHewoiEQTL9cY6Woieyt2R6zQ6Jim86vnvM5xtk=</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cAakJwk7sK50E3PpuP+HxGJkbpZ86dRehUZggw4BL9w=</DigestValue>
      </Reference>
      <Reference URI="/xl/styles.xml?ContentType=application/vnd.openxmlformats-officedocument.spreadsheetml.styles+xml">
        <DigestMethod Algorithm="http://www.w3.org/2001/04/xmlenc#sha256"/>
        <DigestValue>AvG5KN6t/0XCtjg7RBw6uJx5dTebYbQmycCoC+Kzosw=</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jG4QkuaUV3J0HlCzcdQ9oe+ArY45AQj94jrf1TXzyZw=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3iYUtXlGs13/rnPCNf2bQAszd1hm06u5rWGUf1zBLXI=</DigestValue>
      </Reference>
      <Reference URI="/xl/worksheets/sheet10.xml?ContentType=application/vnd.openxmlformats-officedocument.spreadsheetml.worksheet+xml">
        <DigestMethod Algorithm="http://www.w3.org/2001/04/xmlenc#sha256"/>
        <DigestValue>4DFFcRY3dk9f+a7+P4G1aMxn9bsqkuNY9oPlQspP7rM=</DigestValue>
      </Reference>
      <Reference URI="/xl/worksheets/sheet11.xml?ContentType=application/vnd.openxmlformats-officedocument.spreadsheetml.worksheet+xml">
        <DigestMethod Algorithm="http://www.w3.org/2001/04/xmlenc#sha256"/>
        <DigestValue>F8a575KEUZK2q+P/ScoqFJhUzXCmtoAFY92C2CTSftQ=</DigestValue>
      </Reference>
      <Reference URI="/xl/worksheets/sheet12.xml?ContentType=application/vnd.openxmlformats-officedocument.spreadsheetml.worksheet+xml">
        <DigestMethod Algorithm="http://www.w3.org/2001/04/xmlenc#sha256"/>
        <DigestValue>6TuDsq6y5HrlCN2P7w3GEriA4lPuDRKkWM0Li9URHlA=</DigestValue>
      </Reference>
      <Reference URI="/xl/worksheets/sheet13.xml?ContentType=application/vnd.openxmlformats-officedocument.spreadsheetml.worksheet+xml">
        <DigestMethod Algorithm="http://www.w3.org/2001/04/xmlenc#sha256"/>
        <DigestValue>Qz/M6oOyJGhq1gNdVyw8ug2Ra1MeQAXTwgLWgcsuX5Q=</DigestValue>
      </Reference>
      <Reference URI="/xl/worksheets/sheet14.xml?ContentType=application/vnd.openxmlformats-officedocument.spreadsheetml.worksheet+xml">
        <DigestMethod Algorithm="http://www.w3.org/2001/04/xmlenc#sha256"/>
        <DigestValue>HckSz7wBmaSi1UNpU40fYdjEKCgkMJF7CRv2f2Z5Jh4=</DigestValue>
      </Reference>
      <Reference URI="/xl/worksheets/sheet15.xml?ContentType=application/vnd.openxmlformats-officedocument.spreadsheetml.worksheet+xml">
        <DigestMethod Algorithm="http://www.w3.org/2001/04/xmlenc#sha256"/>
        <DigestValue>WCWlbZhz3JrD/GlWiJFjykRa7SVbWTYFeKeROZ7NK2I=</DigestValue>
      </Reference>
      <Reference URI="/xl/worksheets/sheet16.xml?ContentType=application/vnd.openxmlformats-officedocument.spreadsheetml.worksheet+xml">
        <DigestMethod Algorithm="http://www.w3.org/2001/04/xmlenc#sha256"/>
        <DigestValue>mnD7uqhZgLxoe1P5es6iJ71D38acqpvHF4djO7bXwj8=</DigestValue>
      </Reference>
      <Reference URI="/xl/worksheets/sheet17.xml?ContentType=application/vnd.openxmlformats-officedocument.spreadsheetml.worksheet+xml">
        <DigestMethod Algorithm="http://www.w3.org/2001/04/xmlenc#sha256"/>
        <DigestValue>tZ+Cjw8NPUdUnOqlWy8T7wUfVWd6zMSt13YOyGRUocU=</DigestValue>
      </Reference>
      <Reference URI="/xl/worksheets/sheet18.xml?ContentType=application/vnd.openxmlformats-officedocument.spreadsheetml.worksheet+xml">
        <DigestMethod Algorithm="http://www.w3.org/2001/04/xmlenc#sha256"/>
        <DigestValue>dZNInCtlOQCBMinsekAc8srdOQP4xHBYZGTlKdcYEYg=</DigestValue>
      </Reference>
      <Reference URI="/xl/worksheets/sheet2.xml?ContentType=application/vnd.openxmlformats-officedocument.spreadsheetml.worksheet+xml">
        <DigestMethod Algorithm="http://www.w3.org/2001/04/xmlenc#sha256"/>
        <DigestValue>usnC93yK5VboLXDAyu1EHnth1c+be/XMnyELNnyIJck=</DigestValue>
      </Reference>
      <Reference URI="/xl/worksheets/sheet3.xml?ContentType=application/vnd.openxmlformats-officedocument.spreadsheetml.worksheet+xml">
        <DigestMethod Algorithm="http://www.w3.org/2001/04/xmlenc#sha256"/>
        <DigestValue>nqlcqiXfB+2+6fq/3IRLG1BwQP4pUqJn1QpfD4zijmo=</DigestValue>
      </Reference>
      <Reference URI="/xl/worksheets/sheet4.xml?ContentType=application/vnd.openxmlformats-officedocument.spreadsheetml.worksheet+xml">
        <DigestMethod Algorithm="http://www.w3.org/2001/04/xmlenc#sha256"/>
        <DigestValue>K/y9R4HPcvp6M4INwUWP31c4nGszHHRgV9TVqQkmO84=</DigestValue>
      </Reference>
      <Reference URI="/xl/worksheets/sheet5.xml?ContentType=application/vnd.openxmlformats-officedocument.spreadsheetml.worksheet+xml">
        <DigestMethod Algorithm="http://www.w3.org/2001/04/xmlenc#sha256"/>
        <DigestValue>KxUu7s1SMEt4JO3MGnrD8eZhRUhCYyigNKbF9CMIaPg=</DigestValue>
      </Reference>
      <Reference URI="/xl/worksheets/sheet6.xml?ContentType=application/vnd.openxmlformats-officedocument.spreadsheetml.worksheet+xml">
        <DigestMethod Algorithm="http://www.w3.org/2001/04/xmlenc#sha256"/>
        <DigestValue>uNgMwO8zjXpDE7G27ggc1OZ+/cWZhraDLN8VZqoYiyA=</DigestValue>
      </Reference>
      <Reference URI="/xl/worksheets/sheet7.xml?ContentType=application/vnd.openxmlformats-officedocument.spreadsheetml.worksheet+xml">
        <DigestMethod Algorithm="http://www.w3.org/2001/04/xmlenc#sha256"/>
        <DigestValue>tUJL9yb/T5JjNEzcnbX/PAoyRG7KhP2o9D2qA0PQ7mo=</DigestValue>
      </Reference>
      <Reference URI="/xl/worksheets/sheet8.xml?ContentType=application/vnd.openxmlformats-officedocument.spreadsheetml.worksheet+xml">
        <DigestMethod Algorithm="http://www.w3.org/2001/04/xmlenc#sha256"/>
        <DigestValue>3+gVe34cFWi/+bl3D7TllfxDwPp29EDZxMeM80xNAn8=</DigestValue>
      </Reference>
      <Reference URI="/xl/worksheets/sheet9.xml?ContentType=application/vnd.openxmlformats-officedocument.spreadsheetml.worksheet+xml">
        <DigestMethod Algorithm="http://www.w3.org/2001/04/xmlenc#sha256"/>
        <DigestValue>5N2n9P1th6GAD26IyzJLMh/SiIUHdnSm67lI+IyZ414=</DigestValue>
      </Reference>
    </Manifest>
    <SignatureProperties>
      <SignatureProperty Id="idSignatureTime" Target="#idPackageSignature">
        <mdssi:SignatureTime xmlns:mdssi="http://schemas.openxmlformats.org/package/2006/digital-signature">
          <mdssi:Format>YYYY-MM-DDThh:mm:ssTZD</mdssi:Format>
          <mdssi:Value>2021-05-06T08:46:14Z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2021-05-06T08:46:14Z</xd:SigningTime>
          <xd:SigningCertificate>
            <xd:Cert>
              <xd:CertDigest>
                <DigestMethod Algorithm="http://www.w3.org/2001/04/xmlenc#sha256"/>
                <DigestValue>s6+yMesg4Ya9rzYH9qmDLxyi+7E1wPdsIrndeF3rsoE=</DigestValue>
              </xd:CertDigest>
              <xd:IssuerSerial>
                <X509IssuerName>CN=NBG Class 2 INT Sub CA, DC=nbg, DC=ge</X509IssuerName>
                <X509SerialNumber>88029958863902134618976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2021-05-06T08:43:53Z</dcterms:modified>
</cp:coreProperties>
</file>