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rv\financedep\FinanceDep\NBG\Monthly Reports\2020\12\Reports\"/>
    </mc:Choice>
  </mc:AlternateContent>
  <bookViews>
    <workbookView xWindow="0" yWindow="0" windowWidth="23040" windowHeight="8805" tabRatio="936" activeTab="11"/>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acctype">[2]Validation!$C$8:$C$15</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#REF!</definedName>
    <definedName name="Date" hidden="1">'[1]Appl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[4]Sheet2!$H$5:$H$31</definedName>
    <definedName name="sub">[2]Validation!$D$8:$D$9</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9" l="1"/>
  <c r="C13" i="9" s="1"/>
  <c r="H53" i="5"/>
  <c r="E53" i="5"/>
  <c r="H52" i="5"/>
  <c r="E52" i="5"/>
  <c r="H51" i="5"/>
  <c r="E51" i="5"/>
  <c r="H50" i="5"/>
  <c r="E50" i="5"/>
  <c r="H49" i="5"/>
  <c r="E49" i="5"/>
  <c r="H48" i="5"/>
  <c r="E48" i="5"/>
  <c r="H47" i="5"/>
  <c r="E47" i="5"/>
  <c r="H46" i="5"/>
  <c r="E46" i="5"/>
  <c r="H45" i="5"/>
  <c r="E45" i="5"/>
  <c r="H44" i="5"/>
  <c r="E44" i="5"/>
  <c r="H43" i="5"/>
  <c r="E43" i="5"/>
  <c r="H42" i="5"/>
  <c r="E42" i="5"/>
  <c r="H41" i="5"/>
  <c r="E41" i="5"/>
  <c r="H40" i="5"/>
  <c r="E40" i="5"/>
  <c r="H39" i="5"/>
  <c r="E39" i="5"/>
  <c r="H38" i="5"/>
  <c r="E38" i="5"/>
  <c r="H37" i="5"/>
  <c r="E37" i="5"/>
  <c r="H36" i="5"/>
  <c r="E36" i="5"/>
  <c r="H35" i="5"/>
  <c r="E35" i="5"/>
  <c r="H34" i="5"/>
  <c r="E34" i="5"/>
  <c r="H33" i="5"/>
  <c r="E33" i="5"/>
  <c r="H32" i="5"/>
  <c r="E32" i="5"/>
  <c r="H31" i="5"/>
  <c r="E31" i="5"/>
  <c r="H30" i="5"/>
  <c r="E30" i="5"/>
  <c r="H29" i="5"/>
  <c r="E29" i="5"/>
  <c r="H28" i="5"/>
  <c r="E28" i="5"/>
  <c r="H27" i="5"/>
  <c r="E27" i="5"/>
  <c r="H26" i="5"/>
  <c r="E26" i="5"/>
  <c r="H25" i="5"/>
  <c r="E25" i="5"/>
  <c r="H24" i="5"/>
  <c r="E24" i="5"/>
  <c r="H23" i="5"/>
  <c r="E23" i="5"/>
  <c r="H22" i="5"/>
  <c r="E22" i="5"/>
  <c r="H21" i="5"/>
  <c r="E21" i="5"/>
  <c r="H20" i="5"/>
  <c r="E20" i="5"/>
  <c r="H19" i="5"/>
  <c r="E19" i="5"/>
  <c r="H18" i="5"/>
  <c r="E18" i="5"/>
  <c r="H17" i="5"/>
  <c r="E17" i="5"/>
  <c r="H16" i="5"/>
  <c r="E16" i="5"/>
  <c r="H15" i="5"/>
  <c r="E15" i="5"/>
  <c r="H14" i="5"/>
  <c r="E14" i="5"/>
  <c r="H13" i="5"/>
  <c r="E13" i="5"/>
  <c r="H12" i="5"/>
  <c r="E12" i="5"/>
  <c r="H11" i="5"/>
  <c r="E11" i="5"/>
  <c r="H10" i="5"/>
  <c r="E10" i="5"/>
  <c r="H9" i="5"/>
  <c r="E9" i="5"/>
  <c r="H8" i="5"/>
  <c r="E8" i="5"/>
  <c r="H7" i="5"/>
  <c r="E7" i="5"/>
  <c r="H66" i="4"/>
  <c r="E66" i="4"/>
  <c r="H64" i="4"/>
  <c r="E64" i="4"/>
  <c r="F61" i="4"/>
  <c r="H61" i="4" s="1"/>
  <c r="C61" i="4"/>
  <c r="E61" i="4" s="1"/>
  <c r="H60" i="4"/>
  <c r="E60" i="4"/>
  <c r="H59" i="4"/>
  <c r="E59" i="4"/>
  <c r="H58" i="4"/>
  <c r="E58" i="4"/>
  <c r="G53" i="4"/>
  <c r="F53" i="4"/>
  <c r="D53" i="4"/>
  <c r="C53" i="4"/>
  <c r="E53" i="4" s="1"/>
  <c r="H52" i="4"/>
  <c r="E52" i="4"/>
  <c r="H51" i="4"/>
  <c r="E51" i="4"/>
  <c r="H50" i="4"/>
  <c r="E50" i="4"/>
  <c r="H49" i="4"/>
  <c r="E49" i="4"/>
  <c r="H48" i="4"/>
  <c r="E48" i="4"/>
  <c r="H47" i="4"/>
  <c r="E47" i="4"/>
  <c r="H44" i="4"/>
  <c r="E44" i="4"/>
  <c r="H43" i="4"/>
  <c r="E43" i="4"/>
  <c r="H42" i="4"/>
  <c r="E42" i="4"/>
  <c r="H41" i="4"/>
  <c r="E41" i="4"/>
  <c r="H40" i="4"/>
  <c r="E40" i="4"/>
  <c r="H39" i="4"/>
  <c r="E39" i="4"/>
  <c r="H38" i="4"/>
  <c r="E38" i="4"/>
  <c r="H37" i="4"/>
  <c r="E37" i="4"/>
  <c r="H36" i="4"/>
  <c r="E36" i="4"/>
  <c r="H35" i="4"/>
  <c r="E35" i="4"/>
  <c r="G34" i="4"/>
  <c r="G45" i="4" s="1"/>
  <c r="G54" i="4" s="1"/>
  <c r="F34" i="4"/>
  <c r="F45" i="4" s="1"/>
  <c r="D34" i="4"/>
  <c r="D45" i="4" s="1"/>
  <c r="D54" i="4" s="1"/>
  <c r="C34" i="4"/>
  <c r="C45" i="4" s="1"/>
  <c r="E45" i="4" s="1"/>
  <c r="G30" i="4"/>
  <c r="F30" i="4"/>
  <c r="D30" i="4"/>
  <c r="E30" i="4" s="1"/>
  <c r="C30" i="4"/>
  <c r="H29" i="4"/>
  <c r="E29" i="4"/>
  <c r="H28" i="4"/>
  <c r="E28" i="4"/>
  <c r="H27" i="4"/>
  <c r="E27" i="4"/>
  <c r="H26" i="4"/>
  <c r="E26" i="4"/>
  <c r="H25" i="4"/>
  <c r="E25" i="4"/>
  <c r="H24" i="4"/>
  <c r="E24" i="4"/>
  <c r="H21" i="4"/>
  <c r="E21" i="4"/>
  <c r="H20" i="4"/>
  <c r="E20" i="4"/>
  <c r="H19" i="4"/>
  <c r="E19" i="4"/>
  <c r="H18" i="4"/>
  <c r="E18" i="4"/>
  <c r="H17" i="4"/>
  <c r="E17" i="4"/>
  <c r="H16" i="4"/>
  <c r="E16" i="4"/>
  <c r="H15" i="4"/>
  <c r="E15" i="4"/>
  <c r="H14" i="4"/>
  <c r="E14" i="4"/>
  <c r="H13" i="4"/>
  <c r="E13" i="4"/>
  <c r="H12" i="4"/>
  <c r="E12" i="4"/>
  <c r="H11" i="4"/>
  <c r="E11" i="4"/>
  <c r="H10" i="4"/>
  <c r="E10" i="4"/>
  <c r="G9" i="4"/>
  <c r="G22" i="4" s="1"/>
  <c r="G31" i="4" s="1"/>
  <c r="G56" i="4" s="1"/>
  <c r="G63" i="4" s="1"/>
  <c r="G65" i="4" s="1"/>
  <c r="G67" i="4" s="1"/>
  <c r="F9" i="4"/>
  <c r="F22" i="4" s="1"/>
  <c r="D9" i="4"/>
  <c r="D22" i="4" s="1"/>
  <c r="C9" i="4"/>
  <c r="E9" i="4" s="1"/>
  <c r="H8" i="4"/>
  <c r="E8" i="4"/>
  <c r="D41" i="3"/>
  <c r="H40" i="3"/>
  <c r="E40" i="3"/>
  <c r="H39" i="3"/>
  <c r="E39" i="3"/>
  <c r="H38" i="3"/>
  <c r="E38" i="3"/>
  <c r="H37" i="3"/>
  <c r="E37" i="3"/>
  <c r="H36" i="3"/>
  <c r="E36" i="3"/>
  <c r="H35" i="3"/>
  <c r="E35" i="3"/>
  <c r="H34" i="3"/>
  <c r="E34" i="3"/>
  <c r="H33" i="3"/>
  <c r="E33" i="3"/>
  <c r="G31" i="3"/>
  <c r="G41" i="3" s="1"/>
  <c r="F31" i="3"/>
  <c r="F41" i="3" s="1"/>
  <c r="D31" i="3"/>
  <c r="C31" i="3"/>
  <c r="C41" i="3" s="1"/>
  <c r="E41" i="3" s="1"/>
  <c r="H30" i="3"/>
  <c r="E30" i="3"/>
  <c r="H29" i="3"/>
  <c r="E29" i="3"/>
  <c r="H28" i="3"/>
  <c r="E28" i="3"/>
  <c r="H27" i="3"/>
  <c r="E27" i="3"/>
  <c r="H26" i="3"/>
  <c r="E26" i="3"/>
  <c r="H25" i="3"/>
  <c r="E25" i="3"/>
  <c r="H24" i="3"/>
  <c r="E24" i="3"/>
  <c r="H23" i="3"/>
  <c r="E23" i="3"/>
  <c r="H22" i="3"/>
  <c r="E22" i="3"/>
  <c r="H19" i="3"/>
  <c r="E19" i="3"/>
  <c r="H18" i="3"/>
  <c r="E18" i="3"/>
  <c r="H17" i="3"/>
  <c r="E17" i="3"/>
  <c r="H16" i="3"/>
  <c r="E16" i="3"/>
  <c r="H15" i="3"/>
  <c r="E15" i="3"/>
  <c r="G14" i="3"/>
  <c r="G20" i="3" s="1"/>
  <c r="F14" i="3"/>
  <c r="F20" i="3" s="1"/>
  <c r="D14" i="3"/>
  <c r="D20" i="3" s="1"/>
  <c r="C14" i="3"/>
  <c r="E14" i="3" s="1"/>
  <c r="H13" i="3"/>
  <c r="E13" i="3"/>
  <c r="H12" i="3"/>
  <c r="E12" i="3"/>
  <c r="H11" i="3"/>
  <c r="E11" i="3"/>
  <c r="H10" i="3"/>
  <c r="E10" i="3"/>
  <c r="H9" i="3"/>
  <c r="E9" i="3"/>
  <c r="H8" i="3"/>
  <c r="E8" i="3"/>
  <c r="H7" i="3"/>
  <c r="E7" i="3"/>
  <c r="D31" i="4" l="1"/>
  <c r="D56" i="4" s="1"/>
  <c r="D63" i="4" s="1"/>
  <c r="D65" i="4" s="1"/>
  <c r="D67" i="4" s="1"/>
  <c r="C22" i="4"/>
  <c r="H30" i="4"/>
  <c r="E34" i="4"/>
  <c r="H53" i="4"/>
  <c r="E22" i="4"/>
  <c r="F31" i="4"/>
  <c r="H22" i="4"/>
  <c r="F54" i="4"/>
  <c r="H54" i="4" s="1"/>
  <c r="H45" i="4"/>
  <c r="C31" i="4"/>
  <c r="C54" i="4"/>
  <c r="E54" i="4" s="1"/>
  <c r="H9" i="4"/>
  <c r="H34" i="4"/>
  <c r="H20" i="3"/>
  <c r="H41" i="3"/>
  <c r="C20" i="3"/>
  <c r="E20" i="3" s="1"/>
  <c r="H14" i="3"/>
  <c r="H31" i="3"/>
  <c r="E31" i="3"/>
  <c r="C56" i="4" l="1"/>
  <c r="E31" i="4"/>
  <c r="F56" i="4"/>
  <c r="H31" i="4"/>
  <c r="H56" i="4" l="1"/>
  <c r="F63" i="4"/>
  <c r="C63" i="4"/>
  <c r="E56" i="4"/>
  <c r="C65" i="4" l="1"/>
  <c r="E63" i="4"/>
  <c r="H63" i="4"/>
  <c r="F65" i="4"/>
  <c r="H65" i="4" l="1"/>
  <c r="F67" i="4"/>
  <c r="H67" i="4" s="1"/>
  <c r="C67" i="4"/>
  <c r="E67" i="4" s="1"/>
  <c r="E65" i="4"/>
  <c r="C30" i="18" l="1"/>
  <c r="C26" i="18"/>
  <c r="C18" i="18"/>
  <c r="C8" i="18"/>
  <c r="B1" i="18"/>
  <c r="E19" i="17"/>
  <c r="E17" i="17"/>
  <c r="E16" i="17"/>
  <c r="E15" i="17"/>
  <c r="E12" i="17"/>
  <c r="E11" i="17"/>
  <c r="E10" i="17"/>
  <c r="E9" i="17"/>
  <c r="E8" i="17"/>
  <c r="C7" i="17"/>
  <c r="B1" i="17"/>
  <c r="J23" i="16"/>
  <c r="F23" i="16"/>
  <c r="D21" i="16"/>
  <c r="K20" i="16"/>
  <c r="H20" i="16"/>
  <c r="E20" i="16"/>
  <c r="K19" i="16"/>
  <c r="H19" i="16"/>
  <c r="E19" i="16"/>
  <c r="K18" i="16"/>
  <c r="I21" i="16"/>
  <c r="G21" i="16"/>
  <c r="F21" i="16"/>
  <c r="K15" i="16"/>
  <c r="H15" i="16"/>
  <c r="E15" i="16"/>
  <c r="H14" i="16"/>
  <c r="E14" i="16"/>
  <c r="K13" i="16"/>
  <c r="H13" i="16"/>
  <c r="E13" i="16"/>
  <c r="K12" i="16"/>
  <c r="H12" i="16"/>
  <c r="E12" i="16"/>
  <c r="I16" i="16"/>
  <c r="D16" i="16"/>
  <c r="K23" i="16"/>
  <c r="I23" i="16"/>
  <c r="H23" i="16"/>
  <c r="G23" i="16"/>
  <c r="E22" i="15"/>
  <c r="C22" i="15"/>
  <c r="B1" i="15"/>
  <c r="S21" i="14"/>
  <c r="R21" i="14"/>
  <c r="Q21" i="14"/>
  <c r="P21" i="14"/>
  <c r="O21" i="14"/>
  <c r="N21" i="14"/>
  <c r="M21" i="14"/>
  <c r="J21" i="14"/>
  <c r="F21" i="14"/>
  <c r="D20" i="14"/>
  <c r="V20" i="14"/>
  <c r="D19" i="14"/>
  <c r="V19" i="14" s="1"/>
  <c r="D18" i="14"/>
  <c r="V18" i="14"/>
  <c r="D17" i="14"/>
  <c r="V17" i="14" s="1"/>
  <c r="D16" i="14"/>
  <c r="D15" i="14"/>
  <c r="V15" i="14" s="1"/>
  <c r="D14" i="14"/>
  <c r="V14" i="14"/>
  <c r="U21" i="14"/>
  <c r="D13" i="14"/>
  <c r="V13" i="14" s="1"/>
  <c r="D12" i="14"/>
  <c r="V12" i="14"/>
  <c r="D11" i="14"/>
  <c r="V11" i="14" s="1"/>
  <c r="D10" i="14"/>
  <c r="V10" i="14"/>
  <c r="D9" i="14"/>
  <c r="V9" i="14" s="1"/>
  <c r="D8" i="14"/>
  <c r="V8" i="14"/>
  <c r="T21" i="14"/>
  <c r="I21" i="14"/>
  <c r="E21" i="14"/>
  <c r="D7" i="14"/>
  <c r="B1" i="14"/>
  <c r="R22" i="13"/>
  <c r="P22" i="13"/>
  <c r="J22" i="13"/>
  <c r="F22" i="13"/>
  <c r="D22" i="13"/>
  <c r="S20" i="13"/>
  <c r="S19" i="13"/>
  <c r="S17" i="13"/>
  <c r="H22" i="13"/>
  <c r="L22" i="13"/>
  <c r="S15" i="13"/>
  <c r="G15" i="15" s="1"/>
  <c r="H15" i="15" s="1"/>
  <c r="S13" i="13"/>
  <c r="S12" i="13"/>
  <c r="S10" i="13"/>
  <c r="S9" i="13"/>
  <c r="G9" i="15" s="1"/>
  <c r="H9" i="15" s="1"/>
  <c r="K22" i="13"/>
  <c r="E22" i="13"/>
  <c r="C22" i="13"/>
  <c r="B1" i="13"/>
  <c r="B1" i="12"/>
  <c r="C21" i="11"/>
  <c r="C19" i="11"/>
  <c r="C20" i="11"/>
  <c r="B16" i="2" s="1"/>
  <c r="B1" i="11"/>
  <c r="C47" i="10"/>
  <c r="C43" i="10"/>
  <c r="C35" i="10"/>
  <c r="C23" i="12"/>
  <c r="C12" i="10"/>
  <c r="C6" i="10"/>
  <c r="C28" i="10" s="1"/>
  <c r="B1" i="10"/>
  <c r="B1" i="9"/>
  <c r="D19" i="8"/>
  <c r="D21" i="8" s="1"/>
  <c r="B1" i="8"/>
  <c r="B1" i="7"/>
  <c r="D6" i="6"/>
  <c r="D13" i="6" s="1"/>
  <c r="G6" i="6"/>
  <c r="C6" i="6"/>
  <c r="F6" i="6"/>
  <c r="B1" i="6"/>
  <c r="B1" i="5"/>
  <c r="B1" i="4"/>
  <c r="C44" i="12"/>
  <c r="C43" i="12"/>
  <c r="C42" i="12"/>
  <c r="C41" i="12"/>
  <c r="C40" i="12"/>
  <c r="C39" i="12"/>
  <c r="C38" i="12"/>
  <c r="C35" i="12"/>
  <c r="C33" i="12"/>
  <c r="C32" i="12"/>
  <c r="C31" i="12"/>
  <c r="C30" i="12"/>
  <c r="C29" i="12"/>
  <c r="C28" i="12"/>
  <c r="C26" i="12"/>
  <c r="B1" i="3"/>
  <c r="B17" i="2"/>
  <c r="B15" i="2"/>
  <c r="E7" i="17" l="1"/>
  <c r="C45" i="12"/>
  <c r="C27" i="12"/>
  <c r="C37" i="12"/>
  <c r="C10" i="12"/>
  <c r="C12" i="8"/>
  <c r="E12" i="8" s="1"/>
  <c r="C12" i="12"/>
  <c r="C14" i="8"/>
  <c r="E14" i="8" s="1"/>
  <c r="C6" i="12"/>
  <c r="C8" i="8"/>
  <c r="C7" i="12"/>
  <c r="C9" i="8"/>
  <c r="E9" i="8" s="1"/>
  <c r="C16" i="12"/>
  <c r="C16" i="8"/>
  <c r="E16" i="8" s="1"/>
  <c r="C17" i="8"/>
  <c r="E17" i="8" s="1"/>
  <c r="C17" i="12"/>
  <c r="C11" i="12"/>
  <c r="C13" i="8"/>
  <c r="E13" i="8" s="1"/>
  <c r="C20" i="8"/>
  <c r="E20" i="8" s="1"/>
  <c r="C24" i="12"/>
  <c r="C8" i="12"/>
  <c r="C10" i="8"/>
  <c r="E10" i="8" s="1"/>
  <c r="C11" i="8"/>
  <c r="E11" i="8" s="1"/>
  <c r="C9" i="12"/>
  <c r="C18" i="12"/>
  <c r="C18" i="8"/>
  <c r="E18" i="8" s="1"/>
  <c r="C22" i="12"/>
  <c r="C19" i="8"/>
  <c r="E19" i="8" s="1"/>
  <c r="G13" i="15"/>
  <c r="H13" i="15" s="1"/>
  <c r="F13" i="15"/>
  <c r="N22" i="13"/>
  <c r="G19" i="15"/>
  <c r="H19" i="15" s="1"/>
  <c r="F19" i="15"/>
  <c r="C13" i="6"/>
  <c r="D20" i="11" s="1"/>
  <c r="G13" i="6"/>
  <c r="B2" i="9"/>
  <c r="S8" i="13"/>
  <c r="G10" i="15"/>
  <c r="H10" i="15" s="1"/>
  <c r="F10" i="15"/>
  <c r="G20" i="15"/>
  <c r="H20" i="15" s="1"/>
  <c r="F20" i="15"/>
  <c r="C15" i="8"/>
  <c r="E15" i="8" s="1"/>
  <c r="F17" i="15"/>
  <c r="D22" i="15"/>
  <c r="I24" i="16"/>
  <c r="I25" i="16" s="1"/>
  <c r="E6" i="6"/>
  <c r="E13" i="6" s="1"/>
  <c r="F12" i="15"/>
  <c r="G12" i="15"/>
  <c r="H12" i="15" s="1"/>
  <c r="H21" i="16"/>
  <c r="E18" i="17"/>
  <c r="C14" i="17"/>
  <c r="C21" i="17" s="1"/>
  <c r="M22" i="13"/>
  <c r="S11" i="13"/>
  <c r="S18" i="13"/>
  <c r="J16" i="16"/>
  <c r="C21" i="16"/>
  <c r="E21" i="16" s="1"/>
  <c r="E18" i="16"/>
  <c r="E14" i="17"/>
  <c r="E21" i="17" s="1"/>
  <c r="C36" i="18"/>
  <c r="C38" i="18" s="1"/>
  <c r="F13" i="6"/>
  <c r="C52" i="10"/>
  <c r="G22" i="13"/>
  <c r="O22" i="13"/>
  <c r="S21" i="13"/>
  <c r="V7" i="14"/>
  <c r="V21" i="14" s="1"/>
  <c r="C21" i="14"/>
  <c r="G21" i="14"/>
  <c r="K21" i="14"/>
  <c r="F15" i="15"/>
  <c r="H10" i="16"/>
  <c r="H11" i="16"/>
  <c r="K14" i="16"/>
  <c r="J21" i="16"/>
  <c r="K21" i="16" s="1"/>
  <c r="C31" i="10"/>
  <c r="C30" i="10" s="1"/>
  <c r="C41" i="10" s="1"/>
  <c r="I22" i="13"/>
  <c r="Q22" i="13"/>
  <c r="S14" i="13"/>
  <c r="S16" i="13"/>
  <c r="D21" i="14"/>
  <c r="H21" i="14"/>
  <c r="L21" i="14"/>
  <c r="V16" i="14"/>
  <c r="G17" i="15" s="1"/>
  <c r="H17" i="15" s="1"/>
  <c r="F9" i="15"/>
  <c r="K10" i="16"/>
  <c r="H18" i="16"/>
  <c r="E11" i="16"/>
  <c r="G16" i="16"/>
  <c r="G24" i="16" s="1"/>
  <c r="G25" i="16" s="1"/>
  <c r="E10" i="16"/>
  <c r="D16" i="11" l="1"/>
  <c r="D19" i="11"/>
  <c r="D21" i="11"/>
  <c r="C15" i="12"/>
  <c r="C25" i="12" s="1"/>
  <c r="J24" i="16"/>
  <c r="J25" i="16" s="1"/>
  <c r="K16" i="16"/>
  <c r="K24" i="16" s="1"/>
  <c r="K25" i="16" s="1"/>
  <c r="G14" i="15"/>
  <c r="H14" i="15" s="1"/>
  <c r="F14" i="15"/>
  <c r="G18" i="15"/>
  <c r="H18" i="15" s="1"/>
  <c r="F18" i="15"/>
  <c r="K11" i="16"/>
  <c r="C16" i="16"/>
  <c r="E16" i="16" s="1"/>
  <c r="G21" i="15"/>
  <c r="H21" i="15" s="1"/>
  <c r="F21" i="15"/>
  <c r="G11" i="15"/>
  <c r="H11" i="15" s="1"/>
  <c r="F11" i="15"/>
  <c r="G16" i="15"/>
  <c r="H16" i="15" s="1"/>
  <c r="F16" i="15"/>
  <c r="F16" i="16"/>
  <c r="D9" i="11"/>
  <c r="D13" i="11"/>
  <c r="D8" i="11"/>
  <c r="D12" i="11"/>
  <c r="D7" i="11"/>
  <c r="D15" i="11"/>
  <c r="D17" i="11"/>
  <c r="D11" i="11"/>
  <c r="F8" i="15"/>
  <c r="S22" i="13"/>
  <c r="G8" i="15"/>
  <c r="C21" i="8"/>
  <c r="E8" i="8"/>
  <c r="E21" i="8" s="1"/>
  <c r="G22" i="15" l="1"/>
  <c r="H8" i="15"/>
  <c r="F24" i="16"/>
  <c r="F25" i="16" s="1"/>
  <c r="H16" i="16"/>
  <c r="H24" i="16" s="1"/>
  <c r="F22" i="15"/>
  <c r="H25" i="16" l="1"/>
  <c r="H22" i="15"/>
</calcChain>
</file>

<file path=xl/sharedStrings.xml><?xml version="1.0" encoding="utf-8"?>
<sst xmlns="http://schemas.openxmlformats.org/spreadsheetml/2006/main" count="734" uniqueCount="513">
  <si>
    <t>პილარ 3-ის კვარტალური ანგარიშგება</t>
  </si>
  <si>
    <t>ბანკის სრული დასახელება</t>
  </si>
  <si>
    <t>ს.ს. "ტერაბანკი"</t>
  </si>
  <si>
    <t>ბანკის სამეთვალყურეო საბჭოს თავმჯდომარე</t>
  </si>
  <si>
    <t>შეიხი ნაჰაიან მაბარაკ ალ ნაჰაიანი</t>
  </si>
  <si>
    <t>ბანკის გენერალური დირექტორი</t>
  </si>
  <si>
    <t>თეა ლორთქიფანიძე</t>
  </si>
  <si>
    <t>ბანკის ვებ-გვერდი</t>
  </si>
  <si>
    <t>www.terabank.ge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</si>
  <si>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</si>
  <si>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</si>
  <si>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</si>
  <si>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</si>
  <si>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</si>
  <si>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</si>
  <si>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</si>
  <si>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</si>
  <si>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</si>
  <si>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</si>
  <si>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</si>
  <si>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</si>
  <si>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</si>
  <si>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</si>
  <si>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</si>
  <si>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</si>
  <si>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</si>
  <si>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</si>
  <si>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</si>
  <si>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</si>
  <si>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ბანკი:</t>
  </si>
  <si>
    <t>სს ტერაბანკი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</si>
  <si>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</si>
  <si>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</si>
  <si>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</si>
  <si>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</si>
  <si>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</si>
  <si>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</si>
  <si>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</si>
  <si>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</si>
  <si>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</si>
  <si>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</si>
  <si>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ბაზელ III-ზე დაფუძნებული ჩარჩოს მიხედვით *</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</si>
  <si>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</si>
  <si>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</si>
  <si>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</si>
  <si>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</si>
  <si>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</si>
  <si>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</si>
  <si>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</si>
  <si>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</si>
  <si>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</si>
  <si>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</si>
  <si>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</si>
  <si>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</si>
  <si>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</si>
  <si>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</si>
  <si>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</si>
  <si>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</si>
  <si>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</si>
  <si>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</si>
  <si>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</si>
  <si>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</si>
  <si>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</si>
  <si>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</si>
  <si>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</si>
  <si>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</si>
  <si>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</si>
  <si>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</si>
  <si>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</si>
  <si>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</si>
  <si>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</si>
  <si>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</si>
  <si>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</si>
  <si>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</si>
  <si>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</si>
  <si>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</si>
  <si>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</si>
  <si>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</si>
  <si>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</si>
  <si>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</si>
  <si>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</si>
  <si>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</si>
  <si>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</si>
  <si>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</si>
  <si>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</si>
  <si>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</si>
  <si>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</si>
  <si>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</si>
  <si>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</si>
  <si>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</si>
  <si>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</si>
  <si>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</si>
  <si>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</si>
  <si>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</si>
  <si>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</si>
  <si>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</si>
  <si>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</si>
  <si>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</si>
  <si>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</si>
  <si>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</si>
  <si>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</si>
  <si>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</si>
  <si>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</si>
  <si>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</si>
  <si>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</si>
  <si>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</si>
  <si>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</si>
  <si>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</si>
  <si>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</si>
  <si>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</si>
  <si>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</si>
  <si>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</si>
  <si>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</si>
  <si>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</si>
  <si>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</si>
  <si>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</si>
  <si>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</si>
  <si>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</si>
  <si>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</si>
  <si>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</si>
  <si>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</si>
  <si>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</si>
  <si>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</si>
  <si>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</si>
  <si>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</si>
  <si>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</si>
  <si>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</si>
  <si>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</si>
  <si>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</si>
  <si>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</si>
  <si>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</si>
  <si>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</si>
  <si>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</si>
  <si>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</si>
  <si>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</si>
  <si>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</si>
  <si>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</si>
  <si>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</si>
  <si>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</si>
  <si>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</si>
  <si>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</si>
  <si>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</si>
  <si>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</si>
  <si>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</si>
  <si>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</si>
  <si>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</si>
  <si>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</si>
  <si>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</si>
  <si>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</si>
  <si>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</si>
  <si>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</si>
  <si>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</si>
  <si>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</si>
  <si>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</si>
  <si>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</si>
  <si>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</si>
  <si>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</si>
  <si>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</si>
  <si>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</si>
  <si>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</si>
  <si>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</si>
  <si>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</si>
  <si>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</si>
  <si>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</si>
  <si>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</si>
  <si>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</si>
  <si>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</si>
  <si>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</si>
  <si>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</si>
  <si>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</si>
  <si>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</si>
  <si>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</si>
  <si>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</si>
  <si>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</si>
  <si>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</si>
  <si>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</si>
  <si>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</si>
  <si>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</si>
  <si>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</si>
  <si>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</si>
  <si>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</si>
  <si>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</si>
  <si>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</si>
  <si>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</si>
  <si>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</si>
  <si>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</si>
  <si>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</si>
  <si>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</si>
  <si>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</si>
  <si>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</si>
  <si>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</si>
  <si>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</si>
  <si>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</si>
  <si>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</si>
  <si>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</si>
  <si>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</si>
  <si>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</si>
  <si>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</si>
  <si>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</si>
  <si>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</si>
  <si>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</si>
  <si>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</si>
  <si>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</si>
  <si>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</si>
  <si>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</si>
  <si>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</si>
  <si>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</si>
  <si>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</si>
  <si>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</si>
  <si>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</si>
  <si>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</si>
  <si>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</si>
  <si>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</si>
  <si>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</si>
  <si>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</si>
  <si>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</si>
  <si>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</si>
  <si>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</si>
  <si>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</si>
  <si>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</si>
  <si>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</si>
  <si>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</si>
  <si>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</si>
  <si>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</si>
  <si>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</si>
  <si>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</si>
  <si>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</si>
  <si>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</si>
  <si>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</si>
  <si>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</si>
  <si>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</si>
  <si>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</si>
  <si>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</si>
  <si>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</si>
  <si>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</si>
  <si>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შეიხი ნაჰაიან მაბარაკ ალ ნაჰაიანი (თავმჯდომარე)</t>
  </si>
  <si>
    <t>შეიხი საიფ მოჰამედ ბინ ბუტი ალ ჰამედ  (მოადგილე)</t>
  </si>
  <si>
    <t>სემი ედვარდ ადამ ხალილ (წევრი)</t>
  </si>
  <si>
    <t>სეითი დევდარიანი (წევრი)</t>
  </si>
  <si>
    <t>ხირთ რულოფ დე კორტე (წევრი)</t>
  </si>
  <si>
    <t>ნანა მიქაშავიძე (წევრი)</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</si>
  <si>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</si>
  <si>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</si>
  <si>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</si>
  <si>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</si>
  <si>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</si>
  <si>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</si>
  <si>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</si>
  <si>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</si>
  <si>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</si>
  <si>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</si>
  <si>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</si>
  <si>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</si>
  <si>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</si>
  <si>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</si>
  <si>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</si>
  <si>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</si>
  <si>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</si>
  <si>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</si>
  <si>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</si>
  <si>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</si>
  <si>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</si>
  <si>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</si>
  <si>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</si>
  <si>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</si>
  <si>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</si>
  <si>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</si>
  <si>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</si>
  <si>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</si>
  <si>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</si>
  <si>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</si>
  <si>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</si>
  <si>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</si>
  <si>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</si>
  <si>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</si>
  <si>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</si>
  <si>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</si>
  <si>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</si>
  <si>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</si>
  <si>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</si>
  <si>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</si>
  <si>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</si>
  <si>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</si>
  <si>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</si>
  <si>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</si>
  <si>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</si>
  <si>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</si>
  <si>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</si>
  <si>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</si>
  <si>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</si>
  <si>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</si>
  <si>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</si>
  <si>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</si>
  <si>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</si>
  <si>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</si>
  <si>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</si>
  <si>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</si>
  <si>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</si>
  <si>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</si>
  <si>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</si>
  <si>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</si>
  <si>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</si>
  <si>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</si>
  <si>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</si>
  <si>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</si>
  <si>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</si>
  <si>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</si>
  <si>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</si>
  <si>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</si>
  <si>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</si>
  <si>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</si>
  <si>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</si>
  <si>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</si>
  <si>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</si>
  <si>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</si>
  <si>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</si>
  <si>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</si>
  <si>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</si>
  <si>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</si>
  <si>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</si>
  <si>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</si>
  <si>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</si>
  <si>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</si>
  <si>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</si>
  <si>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</si>
  <si>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</si>
  <si>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</si>
  <si>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</si>
  <si>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</si>
  <si>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</si>
  <si>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</si>
  <si>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</si>
  <si>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</si>
  <si>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</si>
  <si>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</si>
  <si>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</si>
  <si>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</si>
  <si>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</si>
  <si>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</si>
  <si>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</si>
  <si>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</si>
  <si>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</si>
  <si>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</si>
  <si>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</si>
  <si>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</si>
  <si>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</si>
  <si>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6.2.1</t>
  </si>
  <si>
    <t>მათ შორის სესხების შესაძლო დანაკარგების საერთო რეზერვი</t>
  </si>
  <si>
    <t>6.2.2</t>
  </si>
  <si>
    <t>მათ შორის COVID 19-თან დაკავშირებული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</si>
  <si>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</si>
  <si>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</si>
  <si>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</si>
  <si>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</si>
  <si>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</si>
  <si>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</si>
  <si>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</si>
  <si>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 xml:space="preserve">    მინუს: გამოსყიდული აქციები</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</si>
  <si>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</si>
  <si>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</si>
  <si>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</si>
  <si>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</si>
  <si>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</si>
  <si>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</si>
  <si>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</si>
  <si>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</si>
  <si>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</si>
  <si>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</si>
  <si>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</si>
  <si>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</si>
  <si>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</si>
  <si>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</si>
  <si>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</si>
  <si>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</si>
  <si>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</si>
  <si>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</si>
  <si>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</si>
  <si>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</si>
  <si>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</si>
  <si>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</si>
  <si>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</si>
  <si>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</si>
  <si>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</si>
  <si>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</si>
  <si>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</si>
  <si>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</si>
  <si>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</si>
  <si>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</si>
  <si>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</si>
  <si>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</si>
  <si>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</si>
  <si>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</si>
  <si>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</si>
  <si>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</si>
  <si>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</si>
  <si>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</si>
  <si>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</si>
  <si>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</si>
  <si>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</si>
  <si>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</si>
  <si>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</si>
  <si>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</si>
  <si>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</si>
  <si>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</si>
  <si>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</si>
  <si>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</si>
  <si>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</si>
  <si>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</si>
  <si>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</si>
  <si>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</si>
  <si>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</si>
  <si>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</si>
  <si>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</si>
  <si>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</si>
  <si>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</si>
  <si>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</si>
  <si>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</si>
  <si>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</si>
  <si>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</si>
  <si>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</si>
  <si>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</si>
  <si>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</si>
  <si>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</si>
  <si>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</si>
  <si>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</si>
  <si>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</si>
  <si>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</si>
  <si>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</si>
  <si>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</si>
  <si>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</si>
  <si>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</si>
  <si>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</si>
  <si>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</si>
  <si>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</si>
  <si>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</si>
  <si>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</si>
  <si>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</si>
  <si>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</si>
  <si>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</si>
  <si>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</si>
  <si>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</si>
  <si>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</si>
  <si>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</si>
  <si>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</si>
  <si>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</si>
  <si>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</si>
  <si>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</si>
  <si>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</si>
  <si>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</si>
  <si>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</si>
  <si>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</si>
  <si>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</si>
  <si>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</si>
  <si>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</si>
  <si>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</si>
  <si>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</si>
  <si>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</si>
  <si>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</si>
  <si>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</si>
  <si>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</si>
  <si>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</si>
  <si>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</si>
  <si>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</si>
  <si>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</si>
  <si>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</si>
  <si>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</si>
  <si>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</si>
  <si>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</si>
  <si>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</si>
  <si>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</si>
  <si>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</si>
  <si>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</si>
  <si>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</si>
  <si>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</si>
  <si>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</si>
  <si>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</si>
  <si>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</si>
  <si>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</si>
  <si>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</si>
  <si>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</si>
  <si>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</si>
  <si>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</si>
  <si>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</si>
  <si>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</si>
  <si>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</si>
  <si>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</si>
  <si>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</si>
  <si>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</si>
  <si>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</si>
  <si>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</si>
  <si>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</si>
  <si>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</si>
  <si>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</si>
  <si>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</si>
  <si>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</si>
  <si>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</si>
  <si>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</si>
  <si>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</si>
  <si>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</si>
  <si>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განსაზღვრისთვის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</si>
  <si>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</si>
  <si>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</si>
  <si>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</si>
  <si>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4Q-2020</t>
  </si>
  <si>
    <t>3Q-2020</t>
  </si>
  <si>
    <t>2Q-2020</t>
  </si>
  <si>
    <t>1Q-2020</t>
  </si>
  <si>
    <t>4Q-2019</t>
  </si>
  <si>
    <t>თეა ლორთქიფანიძე (გენერალური დირექტორი)</t>
  </si>
  <si>
    <t>სოფიო ჯუღელი (ფინანსური დირექტორი)</t>
  </si>
  <si>
    <t>თეიმურაზ აბულაძე  (რისკების დირექტორი)</t>
  </si>
  <si>
    <t>ვახტანგ ხუციშვილი  (ოპერაციების დირექტორი)</t>
  </si>
  <si>
    <t>დავით ვერულაშვილი  (კომერციული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</si>
</sst>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0_ ;[Red]\-#,##0\ "/>
    <numFmt numFmtId="166" formatCode="_(* #,##0_);_(* \(#,##0\);_(* &quot;-&quot;??_);_(@_)"/>
    <numFmt numFmtId="167" formatCode="0.0%"/>
    <numFmt numFmtId="168" formatCode="_(#,##0_);_(\(#,##0\);_(\ \-\ _);_(@_)"/>
    <numFmt numFmtId="169" formatCode="#,##0.000000;[Red]#,##0.000000"/>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u/>
      <sz val="10"/>
      <color indexed="12"/>
      <name val="Arial"/>
      <family val="2"/>
    </font>
    <font>
      <b/>
      <i/>
      <sz val="10"/>
      <color theme="1"/>
      <name val="Sylfaen"/>
      <family val="1"/>
    </font>
    <font>
      <sz val="10"/>
      <color theme="1"/>
      <name val="Calibri"/>
      <family val="1"/>
      <scheme val="minor"/>
    </font>
    <font>
      <b/>
      <sz val="10"/>
      <name val="Sylfaen"/>
      <family val="1"/>
    </font>
    <font>
      <b/>
      <sz val="10"/>
      <name val="Calibri"/>
      <family val="2"/>
      <scheme val="minor"/>
    </font>
    <font>
      <b/>
      <sz val="10"/>
      <color theme="1"/>
      <name val="Calibri"/>
      <family val="2"/>
      <scheme val="minor"/>
    </font>
    <font>
      <sz val="10"/>
      <name val="MS Sans Serif"/>
      <family val="2"/>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Calibri"/>
      <family val="2"/>
      <charset val="204"/>
      <scheme val="minor"/>
    </font>
    <font>
      <sz val="8"/>
      <color theme="1"/>
      <name val="Calibri"/>
      <family val="2"/>
      <scheme val="minor"/>
    </font>
    <font>
      <i/>
      <sz val="11"/>
      <color theme="1"/>
      <name val="Calibri"/>
      <family val="2"/>
      <scheme val="minor"/>
    </font>
    <font>
      <i/>
      <sz val="10"/>
      <name val="Calibri"/>
      <family val="2"/>
      <scheme val="minor"/>
    </font>
    <font>
      <sz val="10"/>
      <color theme="1"/>
      <name val="Segoe UI"/>
      <family val="2"/>
    </font>
    <font>
      <sz val="10"/>
      <color theme="1"/>
      <name val="Times New Roman"/>
      <family val="1"/>
    </font>
    <font>
      <sz val="10"/>
      <name val="Arial"/>
      <family val="2"/>
      <charset val="204"/>
    </font>
    <font>
      <i/>
      <sz val="10"/>
      <color theme="1"/>
      <name val="Calibri"/>
      <family val="2"/>
      <scheme val="minor"/>
    </font>
    <font>
      <sz val="10"/>
      <color rgb="FFFF0000"/>
      <name val="Calibri"/>
      <family val="2"/>
      <scheme val="minor"/>
    </font>
    <font>
      <b/>
      <sz val="10"/>
      <name val="Calibri"/>
      <family val="1"/>
      <scheme val="minor"/>
    </font>
    <font>
      <sz val="10"/>
      <name val="Calibri"/>
      <family val="1"/>
      <scheme val="minor"/>
    </font>
    <font>
      <b/>
      <sz val="10"/>
      <color theme="1"/>
      <name val="Sylfaen"/>
      <family val="1"/>
    </font>
    <font>
      <sz val="10"/>
      <name val="SPKolheti"/>
      <family val="1"/>
    </font>
    <font>
      <sz val="9"/>
      <color theme="1"/>
      <name val="Calibri"/>
      <family val="2"/>
      <scheme val="minor"/>
    </font>
    <font>
      <b/>
      <sz val="13"/>
      <color indexed="56"/>
      <name val="Calibri"/>
      <family val="2"/>
    </font>
    <font>
      <b/>
      <sz val="11"/>
      <name val="Arial"/>
      <family val="2"/>
    </font>
    <font>
      <b/>
      <sz val="14"/>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s>
  <fills count="11">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theme="6" tint="0.59999389629810485"/>
        <bgColor indexed="64"/>
      </patternFill>
    </fill>
    <fill>
      <patternFill patternType="solid">
        <fgColor rgb="FF5F5F5F"/>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auto="1"/>
      </top>
      <bottom style="medium">
        <color indexed="64"/>
      </bottom>
      <diagonal/>
    </border>
    <border>
      <left/>
      <right/>
      <top/>
      <bottom style="thick">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xf numFmtId="0" fontId="4" fillId="0" borderId="0"/>
    <xf numFmtId="164" fontId="16" fillId="3" borderId="0"/>
    <xf numFmtId="9" fontId="4" fillId="0" borderId="0" applyFont="0" applyFill="0" applyBorder="0" applyAlignment="0" applyProtection="0"/>
    <xf numFmtId="0" fontId="29" fillId="0" borderId="0"/>
    <xf numFmtId="0" fontId="29"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37" fillId="0" borderId="73" applyNumberFormat="0" applyFill="0" applyAlignment="0" applyProtection="0"/>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cellStyleXfs>
  <cellXfs count="622">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1" xfId="4" applyBorder="1" applyAlignment="1" applyProtection="1"/>
    <xf numFmtId="0" fontId="11" fillId="0" borderId="0" xfId="0" applyFont="1" applyBorder="1" applyAlignment="1">
      <alignment wrapText="1"/>
    </xf>
    <xf numFmtId="0" fontId="7" fillId="2" borderId="1" xfId="3" applyFont="1" applyFill="1" applyBorder="1" applyAlignment="1" applyProtection="1"/>
    <xf numFmtId="0" fontId="10" fillId="0" borderId="1" xfId="4" applyFill="1" applyBorder="1" applyAlignment="1" applyProtection="1"/>
    <xf numFmtId="0" fontId="0" fillId="0" borderId="0" xfId="0" applyAlignment="1"/>
    <xf numFmtId="0" fontId="10" fillId="0" borderId="1" xfId="4" applyFill="1" applyBorder="1" applyAlignment="1" applyProtection="1">
      <alignment horizontal="left" vertical="center" wrapText="1"/>
    </xf>
    <xf numFmtId="0" fontId="12" fillId="0" borderId="1" xfId="0" applyNumberFormat="1" applyFont="1" applyFill="1" applyBorder="1" applyAlignment="1">
      <alignment horizontal="right" vertical="center" wrapText="1"/>
    </xf>
    <xf numFmtId="0" fontId="10" fillId="0" borderId="1" xfId="4" applyFill="1" applyBorder="1" applyAlignment="1" applyProtection="1">
      <alignment horizontal="left" vertical="center"/>
    </xf>
    <xf numFmtId="0" fontId="3" fillId="0" borderId="1" xfId="0" applyFont="1" applyFill="1" applyBorder="1"/>
    <xf numFmtId="0" fontId="3" fillId="0" borderId="0" xfId="0" applyFont="1" applyFill="1"/>
    <xf numFmtId="0" fontId="0" fillId="0" borderId="0" xfId="0" applyFill="1"/>
    <xf numFmtId="0" fontId="3" fillId="0" borderId="0" xfId="0" applyFont="1"/>
    <xf numFmtId="0" fontId="8" fillId="0" borderId="0" xfId="5" applyFont="1" applyFill="1" applyBorder="1" applyProtection="1"/>
    <xf numFmtId="0" fontId="7" fillId="0" borderId="0" xfId="0" applyFont="1"/>
    <xf numFmtId="14" fontId="7"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8" fillId="0" borderId="6" xfId="0" applyFont="1" applyFill="1" applyBorder="1" applyAlignment="1">
      <alignment horizontal="right" vertical="center" wrapText="1"/>
    </xf>
    <xf numFmtId="0" fontId="7" fillId="0" borderId="7" xfId="0" applyFont="1" applyFill="1" applyBorder="1" applyAlignment="1">
      <alignment vertical="center" wrapText="1"/>
    </xf>
    <xf numFmtId="14" fontId="7" fillId="0" borderId="7" xfId="0" applyNumberFormat="1" applyFont="1" applyFill="1" applyBorder="1" applyAlignment="1">
      <alignment horizontal="left" vertical="center" wrapText="1" indent="1"/>
    </xf>
    <xf numFmtId="14" fontId="3" fillId="0" borderId="7"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6" fillId="3" borderId="0" xfId="6" applyBorder="1"/>
    <xf numFmtId="164" fontId="16" fillId="3" borderId="10" xfId="6" applyBorder="1"/>
    <xf numFmtId="0" fontId="17" fillId="0" borderId="1" xfId="0" applyFont="1" applyFill="1" applyBorder="1" applyAlignment="1">
      <alignment horizontal="left" vertical="center" wrapText="1"/>
    </xf>
    <xf numFmtId="0" fontId="8" fillId="0" borderId="9"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0"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wrapText="1"/>
    </xf>
    <xf numFmtId="165" fontId="3" fillId="0" borderId="11" xfId="0" applyNumberFormat="1" applyFont="1" applyFill="1" applyBorder="1" applyAlignment="1" applyProtection="1">
      <alignment vertical="center" wrapText="1"/>
    </xf>
    <xf numFmtId="166" fontId="0" fillId="0" borderId="0" xfId="1" applyNumberFormat="1" applyFont="1"/>
    <xf numFmtId="164" fontId="16" fillId="3" borderId="0" xfId="6" applyBorder="1" applyProtection="1"/>
    <xf numFmtId="164" fontId="16" fillId="3" borderId="10" xfId="6" applyBorder="1" applyProtection="1"/>
    <xf numFmtId="165" fontId="7" fillId="0" borderId="1" xfId="0"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vertical="center" wrapText="1"/>
    </xf>
    <xf numFmtId="166" fontId="3" fillId="0" borderId="11" xfId="1" applyNumberFormat="1" applyFont="1" applyFill="1" applyBorder="1" applyAlignment="1" applyProtection="1">
      <alignment vertical="center" wrapText="1"/>
    </xf>
    <xf numFmtId="3" fontId="0" fillId="0" borderId="0" xfId="0" applyNumberFormat="1"/>
    <xf numFmtId="0" fontId="8" fillId="0" borderId="9" xfId="0" applyFont="1" applyBorder="1" applyAlignment="1">
      <alignment horizontal="right" vertical="center" wrapText="1"/>
    </xf>
    <xf numFmtId="0" fontId="7" fillId="0" borderId="1" xfId="0" applyFont="1" applyBorder="1" applyAlignment="1">
      <alignment vertical="center" wrapText="1"/>
    </xf>
    <xf numFmtId="10" fontId="3" fillId="0" borderId="1" xfId="2" applyNumberFormat="1" applyFont="1" applyFill="1" applyBorder="1" applyAlignment="1" applyProtection="1">
      <alignment horizontal="right" vertical="center" wrapText="1"/>
    </xf>
    <xf numFmtId="10" fontId="3" fillId="0" borderId="1" xfId="2" applyNumberFormat="1" applyFont="1" applyBorder="1" applyAlignment="1" applyProtection="1">
      <alignment vertical="center" wrapText="1"/>
    </xf>
    <xf numFmtId="10" fontId="3" fillId="0" borderId="11" xfId="2" applyNumberFormat="1" applyFont="1" applyBorder="1" applyAlignment="1" applyProtection="1">
      <alignment vertical="center" wrapText="1"/>
    </xf>
    <xf numFmtId="0" fontId="8" fillId="4" borderId="9" xfId="0" applyFont="1" applyFill="1" applyBorder="1" applyAlignment="1">
      <alignment horizontal="right" vertical="center"/>
    </xf>
    <xf numFmtId="0" fontId="8" fillId="4" borderId="1" xfId="0" applyFont="1" applyFill="1" applyBorder="1" applyAlignment="1">
      <alignment vertical="center"/>
    </xf>
    <xf numFmtId="10" fontId="8" fillId="4" borderId="1" xfId="2" applyNumberFormat="1" applyFont="1" applyFill="1" applyBorder="1" applyAlignment="1" applyProtection="1">
      <alignment vertical="center"/>
    </xf>
    <xf numFmtId="10" fontId="18" fillId="4" borderId="1" xfId="2" applyNumberFormat="1" applyFont="1" applyFill="1" applyBorder="1" applyAlignment="1" applyProtection="1">
      <alignment vertical="center"/>
    </xf>
    <xf numFmtId="10" fontId="18" fillId="4" borderId="11" xfId="2" applyNumberFormat="1" applyFont="1" applyFill="1" applyBorder="1" applyAlignment="1" applyProtection="1">
      <alignment vertical="center"/>
    </xf>
    <xf numFmtId="10" fontId="0" fillId="0" borderId="0" xfId="2" applyNumberFormat="1" applyFont="1"/>
    <xf numFmtId="10" fontId="16" fillId="3" borderId="0" xfId="2" applyNumberFormat="1" applyFont="1" applyFill="1" applyBorder="1" applyProtection="1"/>
    <xf numFmtId="10" fontId="16" fillId="3" borderId="10" xfId="2" applyNumberFormat="1" applyFont="1" applyFill="1" applyBorder="1" applyProtection="1"/>
    <xf numFmtId="10" fontId="8" fillId="4" borderId="11"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protection locked="0"/>
    </xf>
    <xf numFmtId="0" fontId="14" fillId="0" borderId="9"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vertical="center"/>
    </xf>
    <xf numFmtId="0" fontId="8" fillId="4" borderId="14" xfId="0" applyFont="1" applyFill="1" applyBorder="1" applyAlignment="1">
      <alignment horizontal="right" vertical="center"/>
    </xf>
    <xf numFmtId="165" fontId="8" fillId="4" borderId="15" xfId="0" applyNumberFormat="1" applyFont="1" applyFill="1" applyBorder="1" applyAlignment="1" applyProtection="1">
      <alignment vertical="center"/>
      <protection locked="0"/>
    </xf>
    <xf numFmtId="0" fontId="8" fillId="4" borderId="0" xfId="0" applyFont="1" applyFill="1" applyBorder="1" applyAlignment="1">
      <alignment horizontal="right" vertical="center"/>
    </xf>
    <xf numFmtId="165" fontId="8" fillId="0" borderId="0" xfId="0" applyNumberFormat="1" applyFont="1" applyFill="1" applyBorder="1" applyAlignment="1" applyProtection="1">
      <alignment vertical="center"/>
      <protection locked="0"/>
    </xf>
    <xf numFmtId="10" fontId="8" fillId="0" borderId="0" xfId="2" applyNumberFormat="1" applyFont="1" applyFill="1" applyBorder="1" applyAlignment="1" applyProtection="1">
      <alignment vertical="center"/>
    </xf>
    <xf numFmtId="0" fontId="8" fillId="0" borderId="0" xfId="0" applyFont="1" applyAlignment="1">
      <alignment horizontal="right"/>
    </xf>
    <xf numFmtId="0" fontId="3" fillId="0" borderId="0" xfId="0" applyFont="1" applyAlignment="1">
      <alignment wrapText="1"/>
    </xf>
    <xf numFmtId="0" fontId="8" fillId="0" borderId="0" xfId="0" applyFont="1"/>
    <xf numFmtId="0" fontId="7" fillId="0" borderId="0" xfId="0" applyFont="1" applyFill="1" applyAlignment="1">
      <alignment wrapText="1"/>
    </xf>
    <xf numFmtId="14" fontId="3" fillId="0" borderId="0" xfId="0" applyNumberFormat="1" applyFont="1"/>
    <xf numFmtId="0" fontId="8" fillId="0" borderId="0" xfId="0" applyFont="1" applyFill="1" applyBorder="1" applyProtection="1"/>
    <xf numFmtId="0" fontId="13" fillId="0" borderId="0" xfId="0" applyFont="1" applyFill="1" applyBorder="1" applyAlignment="1" applyProtection="1">
      <alignment horizontal="center" vertical="center"/>
    </xf>
    <xf numFmtId="10" fontId="8" fillId="0" borderId="0" xfId="7" applyNumberFormat="1" applyFont="1" applyFill="1" applyBorder="1" applyProtection="1">
      <protection locked="0"/>
    </xf>
    <xf numFmtId="0" fontId="19" fillId="0" borderId="0" xfId="0" applyFont="1" applyFill="1" applyBorder="1" applyProtection="1">
      <protection locked="0"/>
    </xf>
    <xf numFmtId="0" fontId="13" fillId="0" borderId="6" xfId="0" applyFont="1" applyFill="1" applyBorder="1" applyAlignment="1" applyProtection="1">
      <alignment horizontal="center" vertical="center"/>
    </xf>
    <xf numFmtId="0" fontId="8" fillId="0" borderId="7" xfId="0" applyFont="1" applyFill="1" applyBorder="1" applyProtection="1"/>
    <xf numFmtId="0" fontId="8" fillId="0" borderId="9" xfId="0" applyFont="1" applyFill="1" applyBorder="1" applyAlignment="1" applyProtection="1">
      <alignment horizontal="left" indent="1"/>
    </xf>
    <xf numFmtId="0" fontId="13" fillId="0" borderId="21" xfId="0" applyFont="1" applyFill="1" applyBorder="1" applyAlignment="1" applyProtection="1">
      <alignment horizontal="center"/>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21" xfId="0" applyFont="1" applyFill="1" applyBorder="1" applyAlignment="1" applyProtection="1">
      <alignment horizontal="left" indent="1"/>
    </xf>
    <xf numFmtId="166" fontId="8" fillId="0" borderId="1" xfId="1" applyNumberFormat="1" applyFont="1" applyFill="1" applyBorder="1" applyAlignment="1" applyProtection="1">
      <alignment horizontal="right"/>
    </xf>
    <xf numFmtId="166" fontId="8" fillId="5" borderId="1" xfId="1" applyNumberFormat="1" applyFont="1" applyFill="1" applyBorder="1" applyAlignment="1" applyProtection="1">
      <alignment horizontal="right"/>
    </xf>
    <xf numFmtId="166" fontId="8" fillId="5" borderId="11" xfId="1" applyNumberFormat="1" applyFont="1" applyFill="1" applyBorder="1" applyAlignment="1" applyProtection="1">
      <alignment horizontal="right"/>
    </xf>
    <xf numFmtId="0" fontId="8" fillId="0" borderId="21" xfId="0" applyFont="1" applyFill="1" applyBorder="1" applyAlignment="1" applyProtection="1">
      <alignment horizontal="left" indent="2"/>
    </xf>
    <xf numFmtId="0" fontId="13" fillId="0" borderId="21" xfId="0" applyFont="1" applyFill="1" applyBorder="1" applyAlignment="1" applyProtection="1"/>
    <xf numFmtId="166" fontId="8" fillId="0" borderId="11" xfId="1" applyNumberFormat="1" applyFont="1" applyFill="1" applyBorder="1" applyAlignment="1" applyProtection="1">
      <alignment horizontal="right"/>
    </xf>
    <xf numFmtId="0" fontId="8" fillId="0" borderId="14" xfId="0" applyFont="1" applyFill="1" applyBorder="1" applyAlignment="1" applyProtection="1">
      <alignment horizontal="left" indent="1"/>
    </xf>
    <xf numFmtId="0" fontId="13" fillId="0" borderId="22" xfId="0" applyFont="1" applyFill="1" applyBorder="1" applyAlignment="1" applyProtection="1"/>
    <xf numFmtId="166" fontId="8" fillId="5" borderId="15" xfId="1" applyNumberFormat="1" applyFont="1" applyFill="1" applyBorder="1" applyAlignment="1" applyProtection="1">
      <alignment horizontal="right"/>
    </xf>
    <xf numFmtId="166" fontId="8" fillId="5" borderId="16" xfId="1" applyNumberFormat="1" applyFont="1" applyFill="1" applyBorder="1" applyAlignment="1" applyProtection="1">
      <alignment horizontal="right"/>
    </xf>
    <xf numFmtId="166" fontId="3" fillId="0" borderId="0" xfId="0" applyNumberFormat="1" applyFont="1"/>
    <xf numFmtId="0" fontId="20" fillId="0" borderId="0" xfId="0" applyFont="1" applyAlignment="1">
      <alignment vertical="center"/>
    </xf>
    <xf numFmtId="0" fontId="8" fillId="0" borderId="0" xfId="0" applyFont="1" applyFill="1" applyBorder="1"/>
    <xf numFmtId="0" fontId="13" fillId="0" borderId="0" xfId="0" applyFont="1" applyAlignment="1">
      <alignment horizontal="center"/>
    </xf>
    <xf numFmtId="0" fontId="8" fillId="0" borderId="0" xfId="0" applyFont="1" applyFill="1" applyBorder="1" applyProtection="1">
      <protection locked="0"/>
    </xf>
    <xf numFmtId="0" fontId="19" fillId="0" borderId="0" xfId="0" applyFont="1" applyFill="1"/>
    <xf numFmtId="0" fontId="21" fillId="0" borderId="6" xfId="0" applyFont="1" applyFill="1" applyBorder="1" applyAlignment="1">
      <alignment horizontal="left" vertical="center" indent="1"/>
    </xf>
    <xf numFmtId="0" fontId="21" fillId="0" borderId="7" xfId="0" applyFont="1" applyFill="1" applyBorder="1" applyAlignment="1">
      <alignment horizontal="left" vertical="center"/>
    </xf>
    <xf numFmtId="0" fontId="21" fillId="0" borderId="9" xfId="0" applyFont="1" applyFill="1" applyBorder="1" applyAlignment="1">
      <alignment horizontal="left" vertical="center" indent="1"/>
    </xf>
    <xf numFmtId="0" fontId="21" fillId="0" borderId="1" xfId="0" applyFont="1" applyFill="1" applyBorder="1" applyAlignment="1">
      <alignment horizontal="left" vertical="center"/>
    </xf>
    <xf numFmtId="0" fontId="21" fillId="0"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9" xfId="0" applyFont="1" applyFill="1" applyBorder="1" applyAlignment="1">
      <alignment horizontal="left" indent="1"/>
    </xf>
    <xf numFmtId="0" fontId="22" fillId="0" borderId="1" xfId="0" applyFont="1" applyFill="1" applyBorder="1" applyAlignment="1">
      <alignment horizontal="center"/>
    </xf>
    <xf numFmtId="38" fontId="21" fillId="0" borderId="1" xfId="0" applyNumberFormat="1" applyFont="1" applyFill="1" applyBorder="1" applyAlignment="1" applyProtection="1">
      <alignment horizontal="right"/>
      <protection locked="0"/>
    </xf>
    <xf numFmtId="38" fontId="21" fillId="0" borderId="11" xfId="0" applyNumberFormat="1" applyFont="1" applyFill="1" applyBorder="1" applyAlignment="1" applyProtection="1">
      <alignment horizontal="right"/>
      <protection locked="0"/>
    </xf>
    <xf numFmtId="0" fontId="21" fillId="0" borderId="1" xfId="0" applyFont="1" applyFill="1" applyBorder="1" applyAlignment="1">
      <alignment horizontal="left" wrapText="1" indent="1"/>
    </xf>
    <xf numFmtId="166" fontId="21" fillId="5" borderId="1" xfId="1" applyNumberFormat="1" applyFont="1" applyFill="1" applyBorder="1" applyAlignment="1" applyProtection="1">
      <alignment horizontal="right"/>
    </xf>
    <xf numFmtId="0" fontId="21" fillId="0" borderId="1" xfId="0" applyFont="1" applyFill="1" applyBorder="1" applyAlignment="1">
      <alignment horizontal="left" wrapText="1" indent="2"/>
    </xf>
    <xf numFmtId="0" fontId="24" fillId="0" borderId="0" xfId="0" applyFont="1"/>
    <xf numFmtId="0" fontId="22" fillId="0" borderId="1" xfId="0" applyFont="1" applyFill="1" applyBorder="1" applyAlignment="1"/>
    <xf numFmtId="43" fontId="24" fillId="0" borderId="0" xfId="0" applyNumberFormat="1" applyFont="1"/>
    <xf numFmtId="166" fontId="24" fillId="0" borderId="0" xfId="0" applyNumberFormat="1" applyFont="1"/>
    <xf numFmtId="0" fontId="22" fillId="0" borderId="1" xfId="0" applyFont="1" applyFill="1" applyBorder="1" applyAlignment="1">
      <alignment horizontal="left"/>
    </xf>
    <xf numFmtId="0" fontId="21" fillId="0" borderId="1" xfId="0" applyFont="1" applyFill="1" applyBorder="1" applyAlignment="1">
      <alignment horizontal="left" indent="1"/>
    </xf>
    <xf numFmtId="0" fontId="0" fillId="0" borderId="0" xfId="0" applyAlignment="1">
      <alignment horizontal="left" indent="1"/>
    </xf>
    <xf numFmtId="0" fontId="24" fillId="0" borderId="0" xfId="0" applyFont="1" applyAlignment="1">
      <alignment horizontal="left" indent="1"/>
    </xf>
    <xf numFmtId="0" fontId="22" fillId="0" borderId="1" xfId="0" applyFont="1" applyFill="1" applyBorder="1" applyAlignment="1">
      <alignment horizontal="left" indent="1"/>
    </xf>
    <xf numFmtId="0" fontId="22" fillId="0" borderId="1" xfId="0" applyFont="1" applyFill="1" applyBorder="1" applyAlignment="1">
      <alignment horizontal="center" vertical="center" wrapText="1"/>
    </xf>
    <xf numFmtId="0" fontId="21" fillId="0" borderId="14" xfId="0" applyFont="1" applyFill="1" applyBorder="1" applyAlignment="1">
      <alignment horizontal="left" vertical="center" indent="1"/>
    </xf>
    <xf numFmtId="0" fontId="22" fillId="0" borderId="15" xfId="0" applyFont="1" applyFill="1" applyBorder="1" applyAlignment="1"/>
    <xf numFmtId="0" fontId="0" fillId="0" borderId="0" xfId="0" quotePrefix="1"/>
    <xf numFmtId="0" fontId="8" fillId="0" borderId="0" xfId="0" applyFont="1" applyFill="1" applyBorder="1" applyAlignment="1">
      <alignment horizontal="center"/>
    </xf>
    <xf numFmtId="0" fontId="8" fillId="0" borderId="0" xfId="0" applyFont="1" applyFill="1" applyAlignment="1">
      <alignment horizontal="center"/>
    </xf>
    <xf numFmtId="0" fontId="19" fillId="0" borderId="0" xfId="0" applyFont="1" applyFill="1" applyAlignment="1">
      <alignment horizontal="center"/>
    </xf>
    <xf numFmtId="0" fontId="3" fillId="0" borderId="9" xfId="0" applyFont="1" applyFill="1" applyBorder="1" applyAlignment="1">
      <alignment horizontal="center" vertical="center"/>
    </xf>
    <xf numFmtId="0" fontId="14" fillId="0" borderId="27" xfId="0" applyNumberFormat="1" applyFont="1" applyFill="1" applyBorder="1" applyAlignment="1">
      <alignment vertical="center" wrapText="1"/>
    </xf>
    <xf numFmtId="166" fontId="0" fillId="0" borderId="0" xfId="1" applyNumberFormat="1" applyFont="1" applyFill="1"/>
    <xf numFmtId="0" fontId="7" fillId="0" borderId="27" xfId="0" applyNumberFormat="1" applyFont="1" applyFill="1" applyBorder="1" applyAlignment="1">
      <alignment horizontal="left" vertical="center" wrapText="1"/>
    </xf>
    <xf numFmtId="0" fontId="19" fillId="0" borderId="27" xfId="0" applyFont="1" applyFill="1" applyBorder="1" applyAlignment="1" applyProtection="1">
      <alignment horizontal="left" vertical="center" indent="1"/>
      <protection locked="0"/>
    </xf>
    <xf numFmtId="0" fontId="19" fillId="0" borderId="27" xfId="0" applyFont="1" applyFill="1" applyBorder="1" applyAlignment="1" applyProtection="1">
      <alignment horizontal="left" vertical="center"/>
      <protection locked="0"/>
    </xf>
    <xf numFmtId="43" fontId="0" fillId="0" borderId="0" xfId="1" applyNumberFormat="1" applyFont="1" applyFill="1"/>
    <xf numFmtId="43" fontId="0" fillId="0" borderId="0" xfId="0" applyNumberFormat="1" applyFill="1"/>
    <xf numFmtId="166" fontId="25" fillId="0" borderId="0" xfId="1" applyNumberFormat="1" applyFont="1" applyFill="1"/>
    <xf numFmtId="0" fontId="3" fillId="0" borderId="14" xfId="0" applyFont="1" applyFill="1" applyBorder="1" applyAlignment="1">
      <alignment horizontal="center" vertical="center"/>
    </xf>
    <xf numFmtId="0" fontId="14" fillId="0" borderId="28" xfId="0" applyNumberFormat="1" applyFont="1" applyFill="1" applyBorder="1" applyAlignment="1">
      <alignment vertical="center" wrapText="1"/>
    </xf>
    <xf numFmtId="0" fontId="26" fillId="0" borderId="0" xfId="0" applyFont="1" applyAlignment="1">
      <alignment wrapText="1"/>
    </xf>
    <xf numFmtId="0" fontId="24" fillId="0" borderId="0" xfId="0" applyFont="1" applyBorder="1"/>
    <xf numFmtId="0" fontId="3" fillId="0" borderId="5" xfId="0" applyFont="1" applyBorder="1"/>
    <xf numFmtId="0" fontId="15" fillId="0" borderId="5" xfId="0" applyFont="1" applyBorder="1" applyAlignment="1">
      <alignment horizontal="center"/>
    </xf>
    <xf numFmtId="0" fontId="19" fillId="0" borderId="5" xfId="0" applyFont="1" applyFill="1" applyBorder="1" applyAlignment="1">
      <alignment horizontal="center"/>
    </xf>
    <xf numFmtId="0" fontId="3" fillId="0" borderId="6" xfId="0" applyFont="1" applyBorder="1" applyAlignment="1">
      <alignment vertical="center" wrapText="1"/>
    </xf>
    <xf numFmtId="0" fontId="15" fillId="0" borderId="7" xfId="0" applyFont="1" applyBorder="1" applyAlignment="1">
      <alignment vertical="center" wrapText="1"/>
    </xf>
    <xf numFmtId="0" fontId="4" fillId="0" borderId="7" xfId="0" applyNumberFormat="1" applyFont="1" applyFill="1" applyBorder="1" applyAlignment="1">
      <alignment horizontal="left" vertical="center" wrapText="1" indent="1"/>
    </xf>
    <xf numFmtId="0" fontId="27" fillId="0" borderId="9" xfId="0" applyFont="1" applyBorder="1" applyAlignment="1">
      <alignment horizontal="center" vertical="center" wrapText="1"/>
    </xf>
    <xf numFmtId="0" fontId="3" fillId="0" borderId="1" xfId="0" applyFont="1" applyBorder="1" applyAlignment="1">
      <alignment vertical="center" wrapText="1"/>
    </xf>
    <xf numFmtId="3" fontId="28" fillId="5" borderId="1" xfId="0" applyNumberFormat="1" applyFont="1" applyFill="1" applyBorder="1" applyAlignment="1">
      <alignment vertical="center" wrapText="1"/>
    </xf>
    <xf numFmtId="3" fontId="28" fillId="5" borderId="21" xfId="0" applyNumberFormat="1" applyFont="1" applyFill="1" applyBorder="1" applyAlignment="1">
      <alignment vertical="center" wrapText="1"/>
    </xf>
    <xf numFmtId="3" fontId="28" fillId="5" borderId="11" xfId="0" applyNumberFormat="1" applyFont="1" applyFill="1" applyBorder="1" applyAlignment="1">
      <alignment vertical="center" wrapText="1"/>
    </xf>
    <xf numFmtId="3" fontId="28" fillId="5" borderId="29"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3" fontId="28" fillId="0" borderId="1" xfId="0" applyNumberFormat="1" applyFont="1" applyBorder="1" applyAlignment="1">
      <alignment vertical="center" wrapText="1"/>
    </xf>
    <xf numFmtId="3" fontId="28" fillId="0" borderId="21" xfId="0" applyNumberFormat="1" applyFont="1" applyBorder="1" applyAlignment="1">
      <alignment vertical="center" wrapText="1"/>
    </xf>
    <xf numFmtId="3" fontId="28" fillId="0" borderId="29" xfId="0"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0" fontId="3" fillId="0" borderId="1" xfId="0" applyFont="1" applyFill="1" applyBorder="1" applyAlignment="1">
      <alignment horizontal="left" vertical="center" wrapText="1" indent="2"/>
    </xf>
    <xf numFmtId="3" fontId="28" fillId="0" borderId="1" xfId="0" applyNumberFormat="1" applyFont="1" applyFill="1" applyBorder="1" applyAlignment="1">
      <alignment vertical="center" wrapText="1"/>
    </xf>
    <xf numFmtId="3" fontId="28" fillId="0" borderId="29" xfId="0" applyNumberFormat="1" applyFont="1" applyFill="1" applyBorder="1" applyAlignment="1">
      <alignment vertical="center" wrapText="1"/>
    </xf>
    <xf numFmtId="0" fontId="3" fillId="0" borderId="1" xfId="0" applyFont="1" applyFill="1" applyBorder="1" applyAlignment="1">
      <alignment vertical="center" wrapText="1"/>
    </xf>
    <xf numFmtId="0" fontId="27" fillId="0" borderId="14" xfId="0" applyFont="1" applyBorder="1" applyAlignment="1">
      <alignment horizontal="center" vertical="center" wrapText="1"/>
    </xf>
    <xf numFmtId="0" fontId="15" fillId="0" borderId="15" xfId="0" applyFont="1" applyBorder="1" applyAlignment="1">
      <alignment vertical="center" wrapText="1"/>
    </xf>
    <xf numFmtId="3" fontId="28" fillId="5" borderId="15" xfId="0" applyNumberFormat="1" applyFont="1" applyFill="1" applyBorder="1" applyAlignment="1">
      <alignment vertical="center" wrapText="1"/>
    </xf>
    <xf numFmtId="3" fontId="28" fillId="5" borderId="22" xfId="0" applyNumberFormat="1" applyFont="1" applyFill="1" applyBorder="1" applyAlignment="1">
      <alignment vertical="center" wrapText="1"/>
    </xf>
    <xf numFmtId="3" fontId="28" fillId="5" borderId="16" xfId="0" applyNumberFormat="1" applyFont="1" applyFill="1" applyBorder="1" applyAlignment="1">
      <alignment vertical="center" wrapText="1"/>
    </xf>
    <xf numFmtId="3" fontId="28" fillId="5" borderId="30" xfId="0" applyNumberFormat="1" applyFont="1" applyFill="1" applyBorder="1" applyAlignment="1">
      <alignment vertical="center" wrapText="1"/>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0" fontId="3" fillId="0" borderId="0" xfId="0" applyFont="1" applyFill="1" applyBorder="1" applyAlignment="1">
      <alignment wrapText="1"/>
    </xf>
    <xf numFmtId="3" fontId="3" fillId="0" borderId="0" xfId="0" applyNumberFormat="1" applyFont="1"/>
    <xf numFmtId="0" fontId="6" fillId="0" borderId="0" xfId="0" applyFont="1"/>
    <xf numFmtId="14" fontId="6" fillId="0" borderId="0" xfId="0" applyNumberFormat="1" applyFont="1"/>
    <xf numFmtId="0" fontId="8" fillId="0" borderId="0" xfId="0" applyFont="1" applyBorder="1" applyAlignment="1">
      <alignment horizontal="left" wrapText="1"/>
    </xf>
    <xf numFmtId="0" fontId="8" fillId="0" borderId="0" xfId="0" applyFont="1" applyBorder="1" applyAlignment="1">
      <alignment horizontal="right" wrapText="1"/>
    </xf>
    <xf numFmtId="0" fontId="8" fillId="0" borderId="6" xfId="0" applyFont="1" applyBorder="1"/>
    <xf numFmtId="0" fontId="13" fillId="0" borderId="17" xfId="0" applyFont="1" applyBorder="1" applyAlignment="1">
      <alignment wrapText="1"/>
    </xf>
    <xf numFmtId="0" fontId="13" fillId="0" borderId="8" xfId="0" applyFont="1" applyBorder="1" applyAlignment="1">
      <alignment horizontal="center"/>
    </xf>
    <xf numFmtId="0" fontId="8" fillId="0" borderId="0" xfId="0" applyFont="1" applyBorder="1" applyAlignment="1">
      <alignment horizontal="center"/>
    </xf>
    <xf numFmtId="0" fontId="8" fillId="0" borderId="31" xfId="0" applyFont="1" applyBorder="1" applyAlignment="1">
      <alignment wrapText="1"/>
    </xf>
    <xf numFmtId="0" fontId="8" fillId="0" borderId="21" xfId="0" applyFont="1" applyBorder="1" applyAlignment="1">
      <alignment wrapText="1"/>
    </xf>
    <xf numFmtId="0" fontId="6" fillId="0" borderId="0" xfId="0" applyFont="1" applyBorder="1" applyAlignment="1"/>
    <xf numFmtId="0" fontId="6" fillId="0" borderId="29" xfId="0" applyFont="1" applyBorder="1" applyAlignment="1"/>
    <xf numFmtId="0" fontId="8" fillId="0" borderId="29" xfId="0" applyFont="1" applyBorder="1" applyAlignment="1">
      <alignment wrapText="1"/>
    </xf>
    <xf numFmtId="0" fontId="8" fillId="0" borderId="0" xfId="0" applyFont="1" applyBorder="1" applyAlignment="1">
      <alignment wrapText="1"/>
    </xf>
    <xf numFmtId="0" fontId="8" fillId="0" borderId="9" xfId="0" applyFont="1" applyBorder="1" applyAlignment="1">
      <alignment vertical="center"/>
    </xf>
    <xf numFmtId="0" fontId="6" fillId="0" borderId="0" xfId="0" applyFont="1" applyBorder="1"/>
    <xf numFmtId="0" fontId="13" fillId="0" borderId="21" xfId="0" applyFont="1" applyBorder="1" applyAlignment="1">
      <alignment wrapText="1"/>
    </xf>
    <xf numFmtId="0" fontId="13" fillId="0" borderId="11" xfId="0" applyFont="1" applyBorder="1" applyAlignment="1">
      <alignment horizontal="center" vertical="center" wrapText="1"/>
    </xf>
    <xf numFmtId="0" fontId="8" fillId="0" borderId="29" xfId="0" applyFont="1" applyBorder="1" applyAlignment="1"/>
    <xf numFmtId="0" fontId="8" fillId="0" borderId="0" xfId="0" applyFont="1" applyBorder="1" applyAlignment="1"/>
    <xf numFmtId="0" fontId="13" fillId="0" borderId="0" xfId="0" applyFont="1" applyBorder="1" applyAlignment="1">
      <alignment horizontal="center" vertical="center" wrapText="1"/>
    </xf>
    <xf numFmtId="9" fontId="6" fillId="0" borderId="29" xfId="0" applyNumberFormat="1" applyFont="1" applyBorder="1" applyAlignment="1"/>
    <xf numFmtId="9" fontId="6" fillId="0" borderId="0" xfId="0" applyNumberFormat="1" applyFont="1" applyBorder="1" applyAlignment="1"/>
    <xf numFmtId="9" fontId="6" fillId="0" borderId="32" xfId="0" applyNumberFormat="1" applyFont="1" applyBorder="1" applyAlignment="1"/>
    <xf numFmtId="0" fontId="8" fillId="0" borderId="33" xfId="0" applyFont="1" applyBorder="1" applyAlignment="1">
      <alignment wrapText="1"/>
    </xf>
    <xf numFmtId="0" fontId="8" fillId="0" borderId="22" xfId="0" applyFont="1" applyBorder="1" applyAlignment="1">
      <alignment wrapText="1"/>
    </xf>
    <xf numFmtId="9" fontId="6" fillId="0" borderId="30" xfId="0" applyNumberFormat="1"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7" fillId="0" borderId="6" xfId="5" applyFont="1" applyFill="1" applyBorder="1" applyAlignment="1" applyProtection="1">
      <alignment vertical="center"/>
    </xf>
    <xf numFmtId="0" fontId="7" fillId="0" borderId="7" xfId="5" applyFont="1" applyFill="1" applyBorder="1" applyAlignment="1" applyProtection="1">
      <alignment vertical="center"/>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9" xfId="0" applyBorder="1"/>
    <xf numFmtId="0" fontId="0" fillId="0" borderId="0" xfId="0" applyFont="1" applyFill="1"/>
    <xf numFmtId="0" fontId="3" fillId="0" borderId="2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9" xfId="0" applyBorder="1" applyAlignment="1">
      <alignment horizontal="center"/>
    </xf>
    <xf numFmtId="0" fontId="3" fillId="0" borderId="27" xfId="0" applyFont="1" applyBorder="1" applyAlignment="1">
      <alignment vertical="center" wrapText="1"/>
    </xf>
    <xf numFmtId="166" fontId="3" fillId="0" borderId="1" xfId="1" applyNumberFormat="1" applyFont="1" applyBorder="1" applyAlignment="1">
      <alignment horizontal="center" vertical="center"/>
    </xf>
    <xf numFmtId="166" fontId="3" fillId="0" borderId="1" xfId="1" applyNumberFormat="1" applyFont="1" applyFill="1" applyBorder="1" applyAlignment="1">
      <alignment horizontal="center" vertical="center"/>
    </xf>
    <xf numFmtId="166" fontId="3" fillId="0" borderId="11" xfId="1" applyNumberFormat="1" applyFont="1" applyFill="1" applyBorder="1" applyAlignment="1">
      <alignment horizontal="center" vertical="center"/>
    </xf>
    <xf numFmtId="166" fontId="0" fillId="0" borderId="0" xfId="0" applyNumberFormat="1"/>
    <xf numFmtId="0" fontId="30" fillId="0" borderId="27" xfId="0" applyFont="1" applyBorder="1" applyAlignment="1">
      <alignment vertical="center" wrapText="1"/>
    </xf>
    <xf numFmtId="166" fontId="31" fillId="0" borderId="1" xfId="1" applyNumberFormat="1" applyFont="1" applyBorder="1" applyAlignment="1">
      <alignment horizontal="center" vertical="center"/>
    </xf>
    <xf numFmtId="168" fontId="0" fillId="0" borderId="0" xfId="0" applyNumberFormat="1"/>
    <xf numFmtId="165" fontId="0" fillId="0" borderId="0" xfId="0" applyNumberFormat="1"/>
    <xf numFmtId="0" fontId="0" fillId="0" borderId="14" xfId="0" applyBorder="1"/>
    <xf numFmtId="0" fontId="15" fillId="5" borderId="28" xfId="0" applyFont="1" applyFill="1" applyBorder="1" applyAlignment="1">
      <alignment vertical="center" wrapText="1"/>
    </xf>
    <xf numFmtId="166" fontId="15" fillId="5" borderId="15" xfId="1" applyNumberFormat="1" applyFont="1" applyFill="1" applyBorder="1" applyAlignment="1">
      <alignment horizontal="center" vertical="center"/>
    </xf>
    <xf numFmtId="166" fontId="15" fillId="5" borderId="16" xfId="1"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35" xfId="0" applyFont="1" applyFill="1" applyBorder="1" applyAlignment="1">
      <alignment vertical="center" wrapText="1"/>
    </xf>
    <xf numFmtId="166" fontId="3" fillId="0" borderId="0" xfId="1" applyNumberFormat="1" applyFont="1"/>
    <xf numFmtId="0" fontId="6" fillId="0" borderId="0" xfId="0" applyFont="1" applyAlignment="1">
      <alignment vertical="center"/>
    </xf>
    <xf numFmtId="165" fontId="3" fillId="0" borderId="0" xfId="0" applyNumberFormat="1" applyFont="1"/>
    <xf numFmtId="0" fontId="3" fillId="0" borderId="0" xfId="0" applyFont="1" applyAlignment="1">
      <alignment vertical="center"/>
    </xf>
    <xf numFmtId="0" fontId="0" fillId="0" borderId="0" xfId="0" applyAlignment="1">
      <alignment horizontal="right"/>
    </xf>
    <xf numFmtId="0" fontId="14" fillId="0" borderId="0" xfId="5" applyFont="1" applyFill="1" applyBorder="1" applyAlignment="1" applyProtection="1">
      <alignment horizontal="center" vertical="center" wrapText="1"/>
    </xf>
    <xf numFmtId="0" fontId="19" fillId="0" borderId="0" xfId="5" applyFont="1" applyFill="1" applyBorder="1" applyAlignment="1" applyProtection="1">
      <alignment horizontal="right"/>
    </xf>
    <xf numFmtId="0" fontId="0" fillId="0" borderId="6" xfId="0" applyBorder="1" applyAlignment="1">
      <alignment horizontal="center" vertical="center"/>
    </xf>
    <xf numFmtId="0" fontId="15" fillId="5" borderId="18" xfId="0" applyFont="1" applyFill="1" applyBorder="1" applyAlignment="1">
      <alignment wrapText="1"/>
    </xf>
    <xf numFmtId="0" fontId="3" fillId="0" borderId="9" xfId="0" applyFont="1" applyBorder="1" applyAlignment="1">
      <alignment horizontal="center" vertical="center"/>
    </xf>
    <xf numFmtId="0" fontId="3" fillId="0" borderId="36" xfId="0" applyFont="1" applyFill="1" applyBorder="1" applyAlignment="1"/>
    <xf numFmtId="165" fontId="0" fillId="0" borderId="0" xfId="0" applyNumberFormat="1" applyAlignment="1"/>
    <xf numFmtId="0" fontId="3" fillId="0" borderId="9" xfId="0" applyFont="1" applyBorder="1" applyAlignment="1">
      <alignment horizontal="center" vertical="center" wrapText="1"/>
    </xf>
    <xf numFmtId="0" fontId="3" fillId="0" borderId="36" xfId="0" applyFont="1" applyFill="1" applyBorder="1" applyAlignment="1">
      <alignment vertical="center" wrapText="1"/>
    </xf>
    <xf numFmtId="165" fontId="0" fillId="0" borderId="0" xfId="0" applyNumberFormat="1" applyAlignment="1">
      <alignment wrapText="1"/>
    </xf>
    <xf numFmtId="0" fontId="0" fillId="0" borderId="0" xfId="0" applyAlignment="1">
      <alignment wrapText="1"/>
    </xf>
    <xf numFmtId="0" fontId="15" fillId="5" borderId="36" xfId="0" applyFont="1" applyFill="1" applyBorder="1" applyAlignment="1">
      <alignment wrapText="1"/>
    </xf>
    <xf numFmtId="0" fontId="3" fillId="0" borderId="36" xfId="0" applyFont="1" applyFill="1" applyBorder="1" applyAlignment="1">
      <alignment vertical="center"/>
    </xf>
    <xf numFmtId="0" fontId="3" fillId="0" borderId="36" xfId="0" applyFont="1" applyBorder="1" applyAlignment="1">
      <alignment wrapText="1"/>
    </xf>
    <xf numFmtId="0" fontId="3" fillId="0" borderId="14" xfId="0" applyFont="1" applyBorder="1" applyAlignment="1">
      <alignment horizontal="center" vertical="center" wrapText="1"/>
    </xf>
    <xf numFmtId="0" fontId="15" fillId="5" borderId="37" xfId="0" applyFont="1" applyFill="1" applyBorder="1" applyAlignment="1">
      <alignment wrapText="1"/>
    </xf>
    <xf numFmtId="169" fontId="0" fillId="0" borderId="0" xfId="0" applyNumberFormat="1" applyAlignment="1">
      <alignment horizontal="right"/>
    </xf>
    <xf numFmtId="3" fontId="0" fillId="0" borderId="0" xfId="0" applyNumberFormat="1" applyAlignment="1">
      <alignment horizontal="right"/>
    </xf>
    <xf numFmtId="165" fontId="0" fillId="0" borderId="0" xfId="0" applyNumberFormat="1" applyAlignment="1">
      <alignment horizontal="right"/>
    </xf>
    <xf numFmtId="166" fontId="0" fillId="0" borderId="0" xfId="1" applyNumberFormat="1" applyFont="1" applyAlignment="1">
      <alignment horizontal="right"/>
    </xf>
    <xf numFmtId="0" fontId="15" fillId="0" borderId="0" xfId="0" applyFont="1" applyAlignment="1">
      <alignment horizontal="center"/>
    </xf>
    <xf numFmtId="0" fontId="7" fillId="0" borderId="6" xfId="9" applyFont="1" applyFill="1" applyBorder="1" applyAlignment="1" applyProtection="1">
      <alignment horizontal="center" vertical="center"/>
      <protection locked="0"/>
    </xf>
    <xf numFmtId="0" fontId="14" fillId="2" borderId="24" xfId="9" applyFont="1" applyFill="1" applyBorder="1" applyAlignment="1" applyProtection="1">
      <alignment horizontal="center" vertical="center" wrapText="1"/>
      <protection locked="0"/>
    </xf>
    <xf numFmtId="166" fontId="7" fillId="2" borderId="8" xfId="10" applyNumberFormat="1"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15" fillId="5" borderId="1" xfId="0" applyFont="1" applyFill="1" applyBorder="1" applyAlignment="1">
      <alignment horizontal="left" vertical="top" wrapText="1"/>
    </xf>
    <xf numFmtId="166" fontId="7" fillId="5" borderId="11" xfId="1" applyNumberFormat="1" applyFont="1" applyFill="1" applyBorder="1" applyAlignment="1" applyProtection="1">
      <alignment vertical="top"/>
    </xf>
    <xf numFmtId="0" fontId="7" fillId="2" borderId="26" xfId="11" applyFont="1" applyFill="1" applyBorder="1" applyAlignment="1" applyProtection="1">
      <alignment vertical="center" wrapText="1"/>
      <protection locked="0"/>
    </xf>
    <xf numFmtId="166" fontId="7" fillId="2" borderId="11"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6" fontId="7" fillId="5" borderId="11" xfId="1" applyNumberFormat="1" applyFont="1" applyFill="1" applyBorder="1" applyAlignment="1" applyProtection="1">
      <alignment vertical="top" wrapText="1"/>
    </xf>
    <xf numFmtId="0" fontId="7" fillId="2" borderId="26" xfId="11" applyFont="1" applyFill="1" applyBorder="1" applyAlignment="1" applyProtection="1">
      <alignment horizontal="left" vertical="center" wrapText="1"/>
      <protection locked="0"/>
    </xf>
    <xf numFmtId="166" fontId="7" fillId="2" borderId="11"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9"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6" fontId="0" fillId="0" borderId="0" xfId="1" applyNumberFormat="1" applyFont="1" applyAlignment="1">
      <alignment wrapText="1"/>
    </xf>
    <xf numFmtId="166" fontId="7" fillId="5" borderId="11" xfId="1" applyNumberFormat="1" applyFont="1" applyFill="1" applyBorder="1" applyAlignment="1" applyProtection="1">
      <alignment vertical="top" wrapText="1"/>
      <protection locked="0"/>
    </xf>
    <xf numFmtId="166" fontId="0" fillId="0" borderId="0" xfId="0" applyNumberFormat="1" applyAlignment="1">
      <alignment wrapText="1"/>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0" borderId="14" xfId="9" applyFont="1" applyFill="1" applyBorder="1" applyAlignment="1" applyProtection="1">
      <alignment horizontal="center" vertical="center" wrapText="1"/>
      <protection locked="0"/>
    </xf>
    <xf numFmtId="0" fontId="14" fillId="5" borderId="15" xfId="11" applyFont="1" applyFill="1" applyBorder="1" applyAlignment="1" applyProtection="1">
      <alignment vertical="center" wrapText="1"/>
      <protection locked="0"/>
    </xf>
    <xf numFmtId="166" fontId="7" fillId="5" borderId="16" xfId="1" applyNumberFormat="1" applyFont="1" applyFill="1" applyBorder="1" applyAlignment="1" applyProtection="1">
      <alignment vertical="top" wrapText="1"/>
    </xf>
    <xf numFmtId="0" fontId="15" fillId="0" borderId="0" xfId="12" applyFont="1" applyFill="1" applyAlignment="1" applyProtection="1">
      <alignment horizontal="left" vertical="center"/>
      <protection locked="0"/>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3" fillId="0" borderId="0" xfId="0" applyFont="1" applyFill="1" applyAlignment="1">
      <alignment horizontal="center" vertical="center"/>
    </xf>
    <xf numFmtId="0" fontId="15" fillId="5" borderId="9"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3" fillId="0" borderId="0" xfId="0" applyFont="1" applyFill="1" applyAlignment="1">
      <alignment horizontal="left" vertical="center"/>
    </xf>
    <xf numFmtId="0" fontId="3" fillId="0" borderId="9"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6" fontId="3" fillId="0" borderId="11"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66" fontId="15" fillId="5" borderId="11" xfId="1" applyNumberFormat="1" applyFont="1" applyFill="1" applyBorder="1" applyAlignment="1">
      <alignment horizontal="right" vertical="center" wrapText="1"/>
    </xf>
    <xf numFmtId="0" fontId="12" fillId="0" borderId="9"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6" fontId="12" fillId="0" borderId="11" xfId="1" applyNumberFormat="1" applyFont="1" applyFill="1" applyBorder="1" applyAlignment="1">
      <alignment horizontal="right" vertical="center" wrapText="1"/>
    </xf>
    <xf numFmtId="0" fontId="12" fillId="0" borderId="0" xfId="0" applyFont="1" applyFill="1" applyAlignment="1">
      <alignment horizontal="left" vertical="center"/>
    </xf>
    <xf numFmtId="9" fontId="15" fillId="5" borderId="1" xfId="2" applyFont="1" applyFill="1" applyBorder="1" applyAlignment="1">
      <alignment horizontal="left" vertical="center" wrapText="1"/>
    </xf>
    <xf numFmtId="49" fontId="12" fillId="0" borderId="9" xfId="0" applyNumberFormat="1" applyFont="1" applyFill="1" applyBorder="1" applyAlignment="1">
      <alignment horizontal="right" vertical="center" wrapText="1"/>
    </xf>
    <xf numFmtId="10" fontId="12" fillId="0" borderId="1" xfId="0" applyNumberFormat="1" applyFont="1" applyFill="1" applyBorder="1" applyAlignment="1">
      <alignment horizontal="left" vertical="center" wrapText="1"/>
    </xf>
    <xf numFmtId="0" fontId="15" fillId="5" borderId="1" xfId="0" applyFont="1" applyFill="1" applyBorder="1" applyAlignment="1">
      <alignment horizontal="center" vertical="center" wrapText="1"/>
    </xf>
    <xf numFmtId="166" fontId="15" fillId="5" borderId="11" xfId="1"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32" fillId="0" borderId="14" xfId="13" applyNumberFormat="1" applyFont="1" applyFill="1" applyBorder="1" applyAlignment="1" applyProtection="1">
      <alignment horizontal="left" vertical="center"/>
      <protection locked="0"/>
    </xf>
    <xf numFmtId="0" fontId="33" fillId="0" borderId="15" xfId="9" applyFont="1" applyFill="1" applyBorder="1" applyAlignment="1" applyProtection="1">
      <alignment horizontal="left" vertical="center" wrapText="1"/>
      <protection locked="0"/>
    </xf>
    <xf numFmtId="10" fontId="33" fillId="0" borderId="15" xfId="2" applyNumberFormat="1" applyFont="1" applyFill="1" applyBorder="1" applyAlignment="1" applyProtection="1">
      <alignment horizontal="left" vertical="center"/>
    </xf>
    <xf numFmtId="166" fontId="7" fillId="0" borderId="16" xfId="1" applyNumberFormat="1" applyFont="1" applyFill="1" applyBorder="1" applyAlignment="1" applyProtection="1">
      <alignment horizontal="right" vertical="center"/>
    </xf>
    <xf numFmtId="0" fontId="13" fillId="0" borderId="0" xfId="5" applyFont="1" applyFill="1" applyBorder="1" applyProtection="1"/>
    <xf numFmtId="0" fontId="13" fillId="0" borderId="0" xfId="5" applyFont="1" applyFill="1" applyBorder="1" applyAlignment="1" applyProtection="1"/>
    <xf numFmtId="0" fontId="13" fillId="0" borderId="0" xfId="5"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6" fillId="0" borderId="9" xfId="0" applyFont="1" applyBorder="1" applyAlignment="1">
      <alignment horizontal="center"/>
    </xf>
    <xf numFmtId="0" fontId="6" fillId="0" borderId="41" xfId="0" applyFont="1" applyBorder="1" applyAlignment="1">
      <alignment wrapText="1"/>
    </xf>
    <xf numFmtId="165" fontId="6" fillId="0" borderId="42" xfId="0" applyNumberFormat="1" applyFont="1" applyBorder="1" applyAlignment="1">
      <alignment vertical="center"/>
    </xf>
    <xf numFmtId="168" fontId="6" fillId="0" borderId="43" xfId="0" applyNumberFormat="1" applyFont="1" applyBorder="1" applyAlignment="1">
      <alignment horizontal="center"/>
    </xf>
    <xf numFmtId="168" fontId="0" fillId="0" borderId="0" xfId="0" applyNumberFormat="1" applyBorder="1" applyAlignment="1">
      <alignment horizontal="center"/>
    </xf>
    <xf numFmtId="0" fontId="6" fillId="0" borderId="44" xfId="0" applyFont="1" applyBorder="1" applyAlignment="1">
      <alignment wrapText="1"/>
    </xf>
    <xf numFmtId="168" fontId="6" fillId="0" borderId="45" xfId="0" applyNumberFormat="1" applyFont="1" applyBorder="1" applyAlignment="1">
      <alignment horizontal="center"/>
    </xf>
    <xf numFmtId="165" fontId="20" fillId="0" borderId="46" xfId="0" applyNumberFormat="1" applyFont="1" applyBorder="1" applyAlignment="1">
      <alignment vertical="center"/>
    </xf>
    <xf numFmtId="168" fontId="20" fillId="0" borderId="45" xfId="0" applyNumberFormat="1" applyFont="1" applyBorder="1" applyAlignment="1">
      <alignment horizontal="center"/>
    </xf>
    <xf numFmtId="168" fontId="25" fillId="0" borderId="0" xfId="0" applyNumberFormat="1" applyFont="1" applyBorder="1" applyAlignment="1">
      <alignment horizontal="center"/>
    </xf>
    <xf numFmtId="0" fontId="20" fillId="0" borderId="44" xfId="0" applyFont="1" applyBorder="1" applyAlignment="1">
      <alignment wrapText="1"/>
    </xf>
    <xf numFmtId="0" fontId="20" fillId="0" borderId="44" xfId="0" applyFont="1" applyBorder="1" applyAlignment="1">
      <alignment horizontal="right" wrapText="1"/>
    </xf>
    <xf numFmtId="166" fontId="20" fillId="0" borderId="46" xfId="1" applyNumberFormat="1" applyFont="1" applyBorder="1" applyAlignment="1">
      <alignment vertical="center"/>
    </xf>
    <xf numFmtId="165" fontId="6" fillId="5" borderId="46" xfId="0" applyNumberFormat="1" applyFont="1" applyFill="1" applyBorder="1" applyAlignment="1">
      <alignment vertical="center"/>
    </xf>
    <xf numFmtId="165" fontId="6" fillId="0" borderId="46" xfId="0" applyNumberFormat="1" applyFont="1" applyBorder="1" applyAlignment="1">
      <alignment vertical="center"/>
    </xf>
    <xf numFmtId="168" fontId="19" fillId="6" borderId="45" xfId="0" applyNumberFormat="1" applyFont="1" applyFill="1" applyBorder="1" applyAlignment="1">
      <alignment horizontal="center"/>
    </xf>
    <xf numFmtId="0" fontId="6" fillId="0" borderId="47" xfId="0" applyFont="1" applyBorder="1" applyAlignment="1">
      <alignment wrapText="1"/>
    </xf>
    <xf numFmtId="165" fontId="6" fillId="0" borderId="48" xfId="0" applyNumberFormat="1" applyFont="1" applyBorder="1" applyAlignment="1">
      <alignment vertical="center"/>
    </xf>
    <xf numFmtId="0" fontId="34" fillId="5" borderId="49" xfId="0" applyFont="1" applyFill="1" applyBorder="1" applyAlignment="1">
      <alignment wrapText="1"/>
    </xf>
    <xf numFmtId="165" fontId="34" fillId="5" borderId="50" xfId="0" applyNumberFormat="1" applyFont="1" applyFill="1" applyBorder="1" applyAlignment="1">
      <alignment vertical="center"/>
    </xf>
    <xf numFmtId="168" fontId="34" fillId="5" borderId="51" xfId="0" applyNumberFormat="1" applyFont="1" applyFill="1" applyBorder="1" applyAlignment="1">
      <alignment horizontal="center"/>
    </xf>
    <xf numFmtId="168" fontId="2" fillId="0" borderId="0" xfId="0" applyNumberFormat="1" applyFont="1" applyFill="1" applyBorder="1" applyAlignment="1">
      <alignment horizontal="center"/>
    </xf>
    <xf numFmtId="165" fontId="6" fillId="0" borderId="52" xfId="0" applyNumberFormat="1" applyFont="1" applyBorder="1" applyAlignment="1">
      <alignment vertical="center"/>
    </xf>
    <xf numFmtId="168" fontId="6" fillId="0" borderId="53" xfId="0" applyNumberFormat="1" applyFont="1" applyBorder="1" applyAlignment="1">
      <alignment horizontal="center"/>
    </xf>
    <xf numFmtId="0" fontId="20" fillId="0" borderId="47" xfId="0" applyFont="1" applyBorder="1" applyAlignment="1">
      <alignment horizontal="right" wrapText="1"/>
    </xf>
    <xf numFmtId="166" fontId="20" fillId="0" borderId="52" xfId="1" applyNumberFormat="1" applyFont="1" applyBorder="1" applyAlignment="1">
      <alignment vertical="center"/>
    </xf>
    <xf numFmtId="166" fontId="6" fillId="0" borderId="46" xfId="1" applyNumberFormat="1" applyFont="1" applyBorder="1" applyAlignment="1">
      <alignment vertical="center"/>
    </xf>
    <xf numFmtId="166" fontId="8" fillId="0" borderId="46" xfId="1" applyNumberFormat="1" applyFont="1" applyBorder="1" applyAlignment="1">
      <alignment vertical="center"/>
    </xf>
    <xf numFmtId="0" fontId="6" fillId="0" borderId="14" xfId="0" applyFont="1" applyBorder="1" applyAlignment="1">
      <alignment horizontal="center"/>
    </xf>
    <xf numFmtId="0" fontId="34" fillId="5" borderId="54" xfId="0" applyFont="1" applyFill="1" applyBorder="1" applyAlignment="1">
      <alignment wrapText="1"/>
    </xf>
    <xf numFmtId="165" fontId="34" fillId="5" borderId="55" xfId="0" applyNumberFormat="1" applyFont="1" applyFill="1" applyBorder="1" applyAlignment="1">
      <alignment vertical="center"/>
    </xf>
    <xf numFmtId="168" fontId="34" fillId="5" borderId="56" xfId="0" applyNumberFormat="1" applyFont="1" applyFill="1" applyBorder="1" applyAlignment="1">
      <alignment horizontal="center"/>
    </xf>
    <xf numFmtId="0" fontId="3" fillId="0" borderId="0" xfId="0" applyFont="1" applyAlignment="1">
      <alignment horizontal="center" vertical="center"/>
    </xf>
    <xf numFmtId="0" fontId="15" fillId="0" borderId="0" xfId="0" applyFont="1" applyFill="1" applyBorder="1" applyAlignment="1">
      <alignment horizontal="center" wrapText="1"/>
    </xf>
    <xf numFmtId="0" fontId="3" fillId="0" borderId="57" xfId="0" applyFont="1" applyBorder="1"/>
    <xf numFmtId="0" fontId="3" fillId="0" borderId="58" xfId="0" applyFont="1" applyBorder="1"/>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59" xfId="0" applyFont="1" applyBorder="1"/>
    <xf numFmtId="9" fontId="36" fillId="0" borderId="1" xfId="0" applyNumberFormat="1" applyFont="1" applyFill="1" applyBorder="1" applyAlignment="1">
      <alignment horizontal="center" vertical="center"/>
    </xf>
    <xf numFmtId="0" fontId="3" fillId="0" borderId="9" xfId="0" applyFont="1" applyBorder="1" applyAlignment="1">
      <alignment vertical="center"/>
    </xf>
    <xf numFmtId="0" fontId="7" fillId="2" borderId="1" xfId="11" applyFont="1" applyFill="1" applyBorder="1" applyAlignment="1" applyProtection="1">
      <alignment horizontal="left" vertical="center"/>
      <protection locked="0"/>
    </xf>
    <xf numFmtId="166" fontId="3" fillId="0" borderId="1" xfId="1" applyNumberFormat="1" applyFont="1" applyBorder="1" applyAlignment="1"/>
    <xf numFmtId="166" fontId="3" fillId="0" borderId="21" xfId="1" applyNumberFormat="1" applyFont="1" applyBorder="1" applyAlignment="1"/>
    <xf numFmtId="43" fontId="3" fillId="0" borderId="11" xfId="1" applyNumberFormat="1" applyFont="1" applyBorder="1" applyAlignment="1"/>
    <xf numFmtId="166" fontId="24" fillId="0" borderId="0" xfId="1" applyNumberFormat="1" applyFont="1" applyAlignment="1"/>
    <xf numFmtId="0" fontId="24" fillId="0" borderId="0" xfId="0" applyFont="1" applyAlignment="1"/>
    <xf numFmtId="166" fontId="3" fillId="0" borderId="11" xfId="1" applyNumberFormat="1" applyFont="1" applyBorder="1" applyAlignment="1"/>
    <xf numFmtId="0" fontId="7" fillId="2" borderId="14" xfId="9" applyFont="1" applyFill="1" applyBorder="1" applyAlignment="1" applyProtection="1">
      <alignment horizontal="left" vertical="center"/>
      <protection locked="0"/>
    </xf>
    <xf numFmtId="0" fontId="14" fillId="2" borderId="15" xfId="14" applyFont="1" applyFill="1" applyBorder="1" applyAlignment="1" applyProtection="1">
      <protection locked="0"/>
    </xf>
    <xf numFmtId="166" fontId="3" fillId="5" borderId="15" xfId="1" applyNumberFormat="1" applyFont="1" applyFill="1" applyBorder="1"/>
    <xf numFmtId="166" fontId="3" fillId="5" borderId="16" xfId="1" applyNumberFormat="1" applyFont="1" applyFill="1" applyBorder="1"/>
    <xf numFmtId="166" fontId="24" fillId="0" borderId="0" xfId="1" applyNumberFormat="1" applyFont="1"/>
    <xf numFmtId="0" fontId="15" fillId="0" borderId="0" xfId="0" applyFont="1" applyFill="1" applyAlignment="1">
      <alignment horizontal="center" wrapText="1"/>
    </xf>
    <xf numFmtId="0" fontId="3" fillId="0" borderId="6" xfId="0" applyFont="1" applyBorder="1"/>
    <xf numFmtId="0" fontId="3" fillId="0" borderId="8" xfId="0" applyFont="1" applyBorder="1"/>
    <xf numFmtId="0" fontId="3" fillId="0" borderId="11" xfId="0" applyFont="1" applyBorder="1" applyAlignment="1">
      <alignment horizontal="center" vertical="center"/>
    </xf>
    <xf numFmtId="166" fontId="7" fillId="2" borderId="9" xfId="15" applyNumberFormat="1" applyFont="1" applyFill="1" applyBorder="1" applyAlignment="1" applyProtection="1">
      <alignment horizontal="center" vertical="center" wrapText="1"/>
      <protection locked="0"/>
    </xf>
    <xf numFmtId="166"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6" fontId="7" fillId="2" borderId="11" xfId="15" applyNumberFormat="1" applyFont="1" applyFill="1" applyBorder="1" applyAlignment="1" applyProtection="1">
      <alignment horizontal="center" vertical="center" wrapText="1"/>
      <protection locked="0"/>
    </xf>
    <xf numFmtId="0" fontId="7" fillId="2" borderId="9" xfId="13" applyFont="1" applyFill="1" applyBorder="1" applyAlignment="1" applyProtection="1">
      <alignment horizontal="right" vertical="center"/>
      <protection locked="0"/>
    </xf>
    <xf numFmtId="0" fontId="7" fillId="2" borderId="11" xfId="11" applyFont="1" applyFill="1" applyBorder="1" applyAlignment="1" applyProtection="1">
      <alignment horizontal="left" vertical="center"/>
      <protection locked="0"/>
    </xf>
    <xf numFmtId="166" fontId="3" fillId="0" borderId="9" xfId="1" applyNumberFormat="1" applyFont="1" applyBorder="1" applyAlignment="1"/>
    <xf numFmtId="165" fontId="3" fillId="0" borderId="9" xfId="0" applyNumberFormat="1" applyFont="1" applyBorder="1" applyAlignment="1"/>
    <xf numFmtId="165" fontId="3" fillId="0" borderId="1" xfId="0" applyNumberFormat="1" applyFont="1" applyBorder="1" applyAlignment="1"/>
    <xf numFmtId="165" fontId="3" fillId="0" borderId="11" xfId="0" applyNumberFormat="1" applyFont="1" applyBorder="1" applyAlignment="1"/>
    <xf numFmtId="166" fontId="3" fillId="0" borderId="29" xfId="1" applyNumberFormat="1" applyFont="1" applyBorder="1" applyAlignment="1">
      <alignment wrapText="1"/>
    </xf>
    <xf numFmtId="165" fontId="3" fillId="0" borderId="29" xfId="0" applyNumberFormat="1" applyFont="1" applyBorder="1" applyAlignment="1"/>
    <xf numFmtId="165" fontId="3" fillId="5" borderId="63" xfId="0" applyNumberFormat="1" applyFont="1" applyFill="1" applyBorder="1" applyAlignment="1"/>
    <xf numFmtId="0" fontId="14" fillId="2" borderId="16" xfId="14" applyFont="1" applyFill="1" applyBorder="1" applyAlignment="1" applyProtection="1">
      <protection locked="0"/>
    </xf>
    <xf numFmtId="165" fontId="3" fillId="5" borderId="14" xfId="0" applyNumberFormat="1" applyFont="1" applyFill="1" applyBorder="1"/>
    <xf numFmtId="165" fontId="3" fillId="5" borderId="15" xfId="0" applyNumberFormat="1" applyFont="1" applyFill="1" applyBorder="1"/>
    <xf numFmtId="165" fontId="3" fillId="5" borderId="16" xfId="0" applyNumberFormat="1" applyFont="1" applyFill="1" applyBorder="1"/>
    <xf numFmtId="165" fontId="3" fillId="5" borderId="64" xfId="0"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15" fillId="0" borderId="0" xfId="0" applyFont="1" applyFill="1" applyAlignment="1">
      <alignment horizontal="center"/>
    </xf>
    <xf numFmtId="0" fontId="3" fillId="0" borderId="7" xfId="0" applyFont="1" applyBorder="1"/>
    <xf numFmtId="0" fontId="3" fillId="0" borderId="7" xfId="0" applyFont="1" applyBorder="1" applyAlignment="1">
      <alignment wrapText="1"/>
    </xf>
    <xf numFmtId="0" fontId="3" fillId="0" borderId="17" xfId="0" applyFont="1" applyBorder="1" applyAlignment="1">
      <alignment wrapText="1"/>
    </xf>
    <xf numFmtId="0" fontId="3" fillId="0" borderId="8" xfId="0" applyFont="1" applyBorder="1" applyAlignment="1">
      <alignment wrapText="1"/>
    </xf>
    <xf numFmtId="0" fontId="24" fillId="0" borderId="0" xfId="0" applyFont="1" applyAlignment="1">
      <alignment wrapText="1"/>
    </xf>
    <xf numFmtId="0" fontId="3" fillId="0" borderId="26" xfId="0" applyFont="1" applyBorder="1"/>
    <xf numFmtId="0" fontId="3" fillId="0" borderId="1" xfId="0" applyFont="1" applyFill="1" applyBorder="1" applyAlignment="1">
      <alignment horizontal="center" vertical="center" wrapText="1"/>
    </xf>
    <xf numFmtId="0" fontId="3" fillId="0" borderId="9" xfId="0" applyFont="1" applyBorder="1"/>
    <xf numFmtId="166" fontId="3" fillId="0" borderId="1" xfId="1" applyNumberFormat="1" applyFont="1" applyBorder="1"/>
    <xf numFmtId="166" fontId="3" fillId="0" borderId="1" xfId="1" applyNumberFormat="1" applyFont="1" applyFill="1" applyBorder="1"/>
    <xf numFmtId="166" fontId="3" fillId="0" borderId="21" xfId="1" applyNumberFormat="1" applyFont="1" applyBorder="1"/>
    <xf numFmtId="9" fontId="3" fillId="0" borderId="11" xfId="2" applyFont="1" applyBorder="1"/>
    <xf numFmtId="0" fontId="3" fillId="0" borderId="14" xfId="0" applyFont="1" applyBorder="1"/>
    <xf numFmtId="0" fontId="15" fillId="0" borderId="15" xfId="0" applyFont="1" applyBorder="1"/>
    <xf numFmtId="9" fontId="3" fillId="5" borderId="16" xfId="2" applyFont="1" applyFill="1" applyBorder="1"/>
    <xf numFmtId="43" fontId="3" fillId="0" borderId="0" xfId="0" applyNumberFormat="1" applyFont="1"/>
    <xf numFmtId="0" fontId="30" fillId="2" borderId="66" xfId="0" applyFont="1" applyFill="1" applyBorder="1" applyAlignment="1">
      <alignment horizontal="left"/>
    </xf>
    <xf numFmtId="0" fontId="30" fillId="2" borderId="4" xfId="0" applyFont="1" applyFill="1" applyBorder="1" applyAlignment="1">
      <alignment horizontal="left"/>
    </xf>
    <xf numFmtId="0" fontId="3" fillId="0" borderId="11" xfId="0" applyFont="1" applyFill="1" applyBorder="1" applyAlignment="1">
      <alignment horizontal="center" vertical="center" wrapText="1"/>
    </xf>
    <xf numFmtId="0" fontId="15" fillId="2" borderId="31" xfId="0" applyFont="1" applyFill="1" applyBorder="1" applyAlignment="1">
      <alignment vertical="center"/>
    </xf>
    <xf numFmtId="0" fontId="3" fillId="2" borderId="36" xfId="0" applyFont="1" applyFill="1" applyBorder="1" applyAlignment="1">
      <alignment vertical="center"/>
    </xf>
    <xf numFmtId="0" fontId="3" fillId="2" borderId="29"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166" fontId="3" fillId="0" borderId="67" xfId="1" applyNumberFormat="1" applyFont="1" applyFill="1" applyBorder="1" applyAlignment="1">
      <alignment vertical="center"/>
    </xf>
    <xf numFmtId="166" fontId="3" fillId="0" borderId="34" xfId="1" applyNumberFormat="1" applyFont="1" applyFill="1" applyBorder="1" applyAlignment="1">
      <alignment vertical="center"/>
    </xf>
    <xf numFmtId="0" fontId="3" fillId="0" borderId="1" xfId="0" applyFont="1" applyFill="1" applyBorder="1" applyAlignment="1">
      <alignment vertical="center"/>
    </xf>
    <xf numFmtId="166" fontId="3" fillId="0" borderId="1" xfId="1" applyNumberFormat="1" applyFont="1" applyFill="1" applyBorder="1" applyAlignment="1">
      <alignment vertical="center"/>
    </xf>
    <xf numFmtId="166" fontId="3" fillId="0" borderId="21" xfId="1" applyNumberFormat="1" applyFont="1" applyFill="1" applyBorder="1" applyAlignment="1">
      <alignment vertical="center"/>
    </xf>
    <xf numFmtId="166" fontId="3" fillId="0" borderId="11" xfId="1" applyNumberFormat="1" applyFont="1" applyFill="1" applyBorder="1" applyAlignment="1">
      <alignment vertical="center"/>
    </xf>
    <xf numFmtId="43" fontId="3" fillId="0" borderId="1" xfId="1" applyNumberFormat="1" applyFont="1" applyFill="1" applyBorder="1" applyAlignment="1">
      <alignment vertical="center"/>
    </xf>
    <xf numFmtId="0" fontId="15" fillId="0" borderId="1" xfId="0" applyFont="1" applyFill="1" applyBorder="1" applyAlignment="1">
      <alignment vertical="center"/>
    </xf>
    <xf numFmtId="166" fontId="3" fillId="2" borderId="36" xfId="1" applyNumberFormat="1" applyFont="1" applyFill="1" applyBorder="1" applyAlignment="1">
      <alignment vertical="center"/>
    </xf>
    <xf numFmtId="166" fontId="3" fillId="2" borderId="29" xfId="1" applyNumberFormat="1" applyFont="1" applyFill="1" applyBorder="1" applyAlignment="1">
      <alignment vertical="center"/>
    </xf>
    <xf numFmtId="0" fontId="15" fillId="0" borderId="15" xfId="0" applyFont="1" applyFill="1" applyBorder="1" applyAlignment="1">
      <alignment vertical="center"/>
    </xf>
    <xf numFmtId="166" fontId="3" fillId="0" borderId="15" xfId="1" applyNumberFormat="1" applyFont="1" applyFill="1" applyBorder="1" applyAlignment="1">
      <alignment vertical="center"/>
    </xf>
    <xf numFmtId="166" fontId="3" fillId="0" borderId="22" xfId="1" applyNumberFormat="1" applyFont="1" applyFill="1" applyBorder="1" applyAlignment="1">
      <alignment vertical="center"/>
    </xf>
    <xf numFmtId="0" fontId="3" fillId="2" borderId="59" xfId="0" applyFont="1" applyFill="1" applyBorder="1" applyAlignment="1">
      <alignment horizontal="center" vertical="center"/>
    </xf>
    <xf numFmtId="0" fontId="3" fillId="2"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164" fontId="16" fillId="3" borderId="58" xfId="6" applyBorder="1"/>
    <xf numFmtId="166" fontId="3" fillId="0" borderId="17" xfId="1" applyNumberFormat="1" applyFont="1" applyFill="1" applyBorder="1" applyAlignment="1">
      <alignment vertical="center"/>
    </xf>
    <xf numFmtId="166" fontId="3" fillId="0" borderId="8" xfId="1" applyNumberFormat="1" applyFont="1" applyFill="1" applyBorder="1" applyAlignment="1">
      <alignment vertical="center"/>
    </xf>
    <xf numFmtId="0" fontId="3" fillId="0" borderId="12" xfId="0" applyFont="1" applyFill="1" applyBorder="1" applyAlignment="1">
      <alignment horizontal="center" vertical="center"/>
    </xf>
    <xf numFmtId="0" fontId="3" fillId="0" borderId="2" xfId="0" applyFont="1" applyFill="1" applyBorder="1" applyAlignment="1">
      <alignment vertical="center"/>
    </xf>
    <xf numFmtId="164" fontId="16" fillId="3" borderId="22" xfId="6" applyBorder="1"/>
    <xf numFmtId="164" fontId="16" fillId="3" borderId="37" xfId="6" applyBorder="1"/>
    <xf numFmtId="164" fontId="16" fillId="3" borderId="28" xfId="6" applyBorder="1"/>
    <xf numFmtId="166" fontId="3" fillId="0" borderId="3" xfId="1" applyNumberFormat="1" applyFont="1" applyFill="1" applyBorder="1" applyAlignment="1">
      <alignment vertical="center"/>
    </xf>
    <xf numFmtId="166" fontId="3" fillId="0" borderId="13" xfId="1" applyNumberFormat="1" applyFont="1" applyFill="1" applyBorder="1" applyAlignment="1">
      <alignment vertical="center"/>
    </xf>
    <xf numFmtId="0" fontId="3" fillId="0" borderId="68" xfId="0" applyFont="1" applyFill="1" applyBorder="1" applyAlignment="1">
      <alignment horizontal="center" vertical="center"/>
    </xf>
    <xf numFmtId="0" fontId="3" fillId="0" borderId="69" xfId="0" applyFont="1" applyFill="1" applyBorder="1" applyAlignment="1">
      <alignment vertical="center"/>
    </xf>
    <xf numFmtId="164" fontId="16" fillId="3" borderId="70" xfId="6" applyBorder="1"/>
    <xf numFmtId="9" fontId="3" fillId="0" borderId="71" xfId="2" applyNumberFormat="1" applyFont="1" applyFill="1" applyBorder="1" applyAlignment="1">
      <alignment vertical="center"/>
    </xf>
    <xf numFmtId="9" fontId="3" fillId="0" borderId="71" xfId="2" applyFont="1" applyFill="1" applyBorder="1" applyAlignment="1">
      <alignment vertical="center"/>
    </xf>
    <xf numFmtId="9" fontId="3" fillId="0" borderId="72" xfId="2" applyFont="1" applyFill="1" applyBorder="1" applyAlignment="1">
      <alignment vertical="center"/>
    </xf>
    <xf numFmtId="9" fontId="0" fillId="0" borderId="0" xfId="0" applyNumberFormat="1"/>
    <xf numFmtId="0" fontId="34" fillId="0" borderId="0" xfId="0" applyFont="1"/>
    <xf numFmtId="0" fontId="3" fillId="0" borderId="57" xfId="0" applyFont="1" applyBorder="1" applyAlignment="1">
      <alignment horizontal="center"/>
    </xf>
    <xf numFmtId="0" fontId="3" fillId="0" borderId="58"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4" fillId="0" borderId="0" xfId="0" applyFont="1" applyAlignment="1">
      <alignment horizontal="center"/>
    </xf>
    <xf numFmtId="0" fontId="8" fillId="2" borderId="9"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1" xfId="11" applyFont="1" applyFill="1" applyBorder="1" applyAlignment="1" applyProtection="1">
      <alignment horizontal="center" vertical="center" wrapText="1"/>
      <protection locked="0"/>
    </xf>
    <xf numFmtId="0" fontId="8" fillId="2" borderId="9"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3" applyNumberFormat="1" applyFont="1" applyFill="1" applyBorder="1" applyProtection="1"/>
    <xf numFmtId="0" fontId="8" fillId="2" borderId="1" xfId="13" applyFont="1" applyFill="1" applyBorder="1" applyProtection="1"/>
    <xf numFmtId="166" fontId="8" fillId="5" borderId="1" xfId="1" applyNumberFormat="1" applyFont="1" applyFill="1" applyBorder="1" applyProtection="1"/>
    <xf numFmtId="166" fontId="8" fillId="2" borderId="1" xfId="1" applyNumberFormat="1" applyFont="1" applyFill="1" applyBorder="1" applyProtection="1"/>
    <xf numFmtId="166" fontId="8" fillId="5" borderId="11" xfId="1" applyNumberFormat="1" applyFont="1" applyFill="1" applyBorder="1" applyProtection="1"/>
    <xf numFmtId="0" fontId="24" fillId="0" borderId="0" xfId="0" applyFont="1" applyProtection="1"/>
    <xf numFmtId="0" fontId="8" fillId="2" borderId="1" xfId="11" applyFont="1" applyFill="1" applyBorder="1" applyAlignment="1" applyProtection="1">
      <alignment horizontal="left" vertical="center" wrapText="1"/>
      <protection locked="0"/>
    </xf>
    <xf numFmtId="167" fontId="8" fillId="2" borderId="1" xfId="8" applyNumberFormat="1" applyFont="1" applyFill="1" applyBorder="1" applyAlignment="1" applyProtection="1">
      <alignment horizontal="right" wrapText="1"/>
    </xf>
    <xf numFmtId="0" fontId="8" fillId="0" borderId="1" xfId="11" applyFont="1" applyFill="1" applyBorder="1" applyAlignment="1" applyProtection="1">
      <alignment horizontal="left" vertical="center" wrapText="1"/>
      <protection locked="0"/>
    </xf>
    <xf numFmtId="167" fontId="8" fillId="7" borderId="1" xfId="8" applyNumberFormat="1" applyFont="1" applyFill="1" applyBorder="1" applyAlignment="1" applyProtection="1">
      <alignment horizontal="right" wrapText="1"/>
    </xf>
    <xf numFmtId="0" fontId="13" fillId="0" borderId="1" xfId="11" applyFont="1" applyFill="1" applyBorder="1" applyAlignment="1" applyProtection="1">
      <alignment wrapText="1"/>
      <protection locked="0"/>
    </xf>
    <xf numFmtId="166" fontId="8" fillId="0" borderId="1" xfId="1" applyNumberFormat="1" applyFont="1" applyFill="1" applyBorder="1" applyProtection="1"/>
    <xf numFmtId="0" fontId="8" fillId="2" borderId="14" xfId="9" applyFont="1" applyFill="1" applyBorder="1" applyAlignment="1" applyProtection="1">
      <alignment horizontal="right" vertical="center"/>
      <protection locked="0"/>
    </xf>
    <xf numFmtId="0" fontId="13" fillId="2" borderId="15" xfId="14" applyFont="1" applyFill="1" applyBorder="1" applyAlignment="1" applyProtection="1">
      <protection locked="0"/>
    </xf>
    <xf numFmtId="165" fontId="13" fillId="5" borderId="15" xfId="14" applyNumberFormat="1" applyFont="1" applyFill="1" applyBorder="1" applyAlignment="1" applyProtection="1"/>
    <xf numFmtId="3" fontId="13" fillId="5" borderId="15" xfId="14" applyNumberFormat="1" applyFont="1" applyFill="1" applyBorder="1" applyAlignment="1" applyProtection="1"/>
    <xf numFmtId="165" fontId="13" fillId="5" borderId="15" xfId="15" applyNumberFormat="1" applyFont="1" applyFill="1" applyBorder="1" applyAlignment="1" applyProtection="1"/>
    <xf numFmtId="0" fontId="6" fillId="0" borderId="0" xfId="0" applyFont="1" applyProtection="1"/>
    <xf numFmtId="165" fontId="6" fillId="0" borderId="0" xfId="0" applyNumberFormat="1" applyFont="1" applyProtection="1"/>
    <xf numFmtId="0" fontId="4" fillId="0" borderId="0" xfId="17"/>
    <xf numFmtId="0" fontId="4" fillId="0" borderId="0" xfId="17" applyAlignment="1">
      <alignment wrapText="1"/>
    </xf>
    <xf numFmtId="0" fontId="38" fillId="8" borderId="27" xfId="18" applyFont="1" applyFill="1" applyBorder="1" applyAlignment="1">
      <alignment horizontal="center" wrapText="1"/>
    </xf>
    <xf numFmtId="0" fontId="39" fillId="0" borderId="1" xfId="17" applyFont="1" applyBorder="1" applyAlignment="1">
      <alignment horizontal="center" vertical="center"/>
    </xf>
    <xf numFmtId="0" fontId="40" fillId="9" borderId="21" xfId="19" applyFont="1" applyFill="1" applyBorder="1" applyAlignment="1">
      <alignment vertical="center" wrapText="1"/>
    </xf>
    <xf numFmtId="0" fontId="41" fillId="9" borderId="27" xfId="19" applyFont="1" applyFill="1" applyBorder="1" applyAlignment="1">
      <alignment vertical="center"/>
    </xf>
    <xf numFmtId="0" fontId="42" fillId="8" borderId="2" xfId="19" applyFont="1" applyFill="1" applyBorder="1" applyAlignment="1">
      <alignment horizontal="center" vertical="center"/>
    </xf>
    <xf numFmtId="0" fontId="42" fillId="0" borderId="27" xfId="19" applyFont="1" applyFill="1" applyBorder="1" applyAlignment="1">
      <alignment horizontal="left" vertical="center" wrapText="1"/>
    </xf>
    <xf numFmtId="166" fontId="42" fillId="0" borderId="1" xfId="20" applyNumberFormat="1" applyFont="1" applyFill="1" applyBorder="1" applyAlignment="1" applyProtection="1">
      <alignment horizontal="right" vertical="center"/>
      <protection locked="0"/>
    </xf>
    <xf numFmtId="38" fontId="4" fillId="0" borderId="0" xfId="17" applyNumberFormat="1"/>
    <xf numFmtId="0" fontId="40" fillId="10" borderId="1" xfId="19" applyFont="1" applyFill="1" applyBorder="1" applyAlignment="1">
      <alignment horizontal="center" vertical="center"/>
    </xf>
    <xf numFmtId="0" fontId="40" fillId="10" borderId="27" xfId="19" applyFont="1" applyFill="1" applyBorder="1" applyAlignment="1">
      <alignment vertical="top" wrapText="1"/>
    </xf>
    <xf numFmtId="166" fontId="42" fillId="10" borderId="1" xfId="20" applyNumberFormat="1" applyFont="1" applyFill="1" applyBorder="1" applyAlignment="1" applyProtection="1">
      <alignment horizontal="right" vertical="center"/>
    </xf>
    <xf numFmtId="0" fontId="40" fillId="9" borderId="21" xfId="19" applyFont="1" applyFill="1" applyBorder="1" applyAlignment="1">
      <alignment vertical="center"/>
    </xf>
    <xf numFmtId="166" fontId="41" fillId="9" borderId="27" xfId="20" applyNumberFormat="1" applyFont="1" applyFill="1" applyBorder="1" applyAlignment="1">
      <alignment horizontal="right" vertical="center"/>
    </xf>
    <xf numFmtId="0" fontId="43" fillId="8" borderId="2" xfId="19" applyFont="1" applyFill="1" applyBorder="1" applyAlignment="1">
      <alignment horizontal="center" vertical="center"/>
    </xf>
    <xf numFmtId="0" fontId="42" fillId="8" borderId="27" xfId="19" applyFont="1" applyFill="1" applyBorder="1" applyAlignment="1">
      <alignment vertical="center" wrapText="1"/>
    </xf>
    <xf numFmtId="0" fontId="42" fillId="8" borderId="27" xfId="19" applyFont="1" applyFill="1" applyBorder="1" applyAlignment="1">
      <alignment horizontal="left" vertical="center" wrapText="1"/>
    </xf>
    <xf numFmtId="0" fontId="43" fillId="2" borderId="2" xfId="19" applyFont="1" applyFill="1" applyBorder="1" applyAlignment="1">
      <alignment horizontal="center" vertical="center"/>
    </xf>
    <xf numFmtId="0" fontId="42" fillId="0" borderId="27" xfId="19" applyFont="1" applyFill="1" applyBorder="1" applyAlignment="1">
      <alignment vertical="center" wrapText="1"/>
    </xf>
    <xf numFmtId="0" fontId="42" fillId="2" borderId="27" xfId="19" applyFont="1" applyFill="1" applyBorder="1" applyAlignment="1">
      <alignment horizontal="left" vertical="center" wrapText="1"/>
    </xf>
    <xf numFmtId="0" fontId="43" fillId="0" borderId="2" xfId="19" applyFont="1" applyFill="1" applyBorder="1" applyAlignment="1">
      <alignment horizontal="center" vertical="center"/>
    </xf>
    <xf numFmtId="0" fontId="44" fillId="10" borderId="1" xfId="19" applyFont="1" applyFill="1" applyBorder="1" applyAlignment="1">
      <alignment horizontal="center" vertical="center"/>
    </xf>
    <xf numFmtId="0" fontId="40" fillId="10" borderId="27" xfId="19" applyFont="1" applyFill="1" applyBorder="1" applyAlignment="1">
      <alignment vertical="center" wrapText="1"/>
    </xf>
    <xf numFmtId="166" fontId="42" fillId="10" borderId="1" xfId="20" applyNumberFormat="1" applyFont="1" applyFill="1" applyBorder="1" applyAlignment="1" applyProtection="1">
      <alignment horizontal="right" vertical="center"/>
      <protection locked="0"/>
    </xf>
    <xf numFmtId="166" fontId="40" fillId="9" borderId="27" xfId="20" applyNumberFormat="1" applyFont="1" applyFill="1" applyBorder="1" applyAlignment="1">
      <alignment horizontal="right" vertical="center"/>
    </xf>
    <xf numFmtId="0" fontId="40" fillId="9" borderId="21" xfId="19" applyFont="1" applyFill="1" applyBorder="1" applyAlignment="1">
      <alignment horizontal="center" vertical="center"/>
    </xf>
    <xf numFmtId="166" fontId="42" fillId="2" borderId="1" xfId="20" applyNumberFormat="1" applyFont="1" applyFill="1" applyBorder="1" applyAlignment="1" applyProtection="1">
      <alignment horizontal="right" vertical="center"/>
      <protection locked="0"/>
    </xf>
    <xf numFmtId="0" fontId="40" fillId="0" borderId="27" xfId="19" applyFont="1" applyFill="1" applyBorder="1" applyAlignment="1">
      <alignment vertical="center" wrapText="1"/>
    </xf>
    <xf numFmtId="10" fontId="42" fillId="0" borderId="1" xfId="21" applyNumberFormat="1" applyFont="1" applyFill="1" applyBorder="1" applyAlignment="1" applyProtection="1">
      <alignment horizontal="right" vertical="center"/>
      <protection locked="0"/>
    </xf>
    <xf numFmtId="0" fontId="41" fillId="9" borderId="21" xfId="19" applyFont="1" applyFill="1" applyBorder="1" applyAlignment="1">
      <alignment vertical="center"/>
    </xf>
    <xf numFmtId="0" fontId="43" fillId="8" borderId="1" xfId="19" applyFont="1" applyFill="1" applyBorder="1" applyAlignment="1">
      <alignment horizontal="center" vertical="center"/>
    </xf>
    <xf numFmtId="0" fontId="45" fillId="8" borderId="1" xfId="19" applyFont="1" applyFill="1" applyBorder="1" applyAlignment="1">
      <alignment horizontal="center" vertical="center"/>
    </xf>
    <xf numFmtId="0" fontId="36" fillId="0" borderId="0" xfId="0" applyFont="1" applyAlignment="1">
      <alignment wrapText="1"/>
    </xf>
    <xf numFmtId="10" fontId="8" fillId="4" borderId="15" xfId="2" applyNumberFormat="1" applyFont="1" applyFill="1" applyBorder="1" applyAlignment="1" applyProtection="1">
      <alignment vertical="center"/>
    </xf>
    <xf numFmtId="10" fontId="8" fillId="4" borderId="16" xfId="2" applyNumberFormat="1" applyFont="1" applyFill="1" applyBorder="1" applyAlignment="1" applyProtection="1">
      <alignment vertical="center"/>
    </xf>
    <xf numFmtId="165" fontId="8" fillId="4" borderId="1" xfId="0" applyNumberFormat="1" applyFont="1" applyFill="1" applyBorder="1" applyAlignment="1" applyProtection="1">
      <alignment vertical="center"/>
    </xf>
    <xf numFmtId="165" fontId="8" fillId="4" borderId="11" xfId="0" applyNumberFormat="1" applyFont="1" applyFill="1" applyBorder="1" applyAlignment="1" applyProtection="1">
      <alignment vertical="center"/>
    </xf>
    <xf numFmtId="165" fontId="18" fillId="4" borderId="1" xfId="0" applyNumberFormat="1" applyFont="1" applyFill="1" applyBorder="1" applyAlignment="1" applyProtection="1">
      <alignment vertical="center"/>
    </xf>
    <xf numFmtId="165" fontId="18" fillId="4" borderId="11" xfId="0" applyNumberFormat="1" applyFont="1" applyFill="1" applyBorder="1" applyAlignment="1" applyProtection="1">
      <alignment vertical="center"/>
    </xf>
    <xf numFmtId="0" fontId="4" fillId="0" borderId="0" xfId="0" applyFont="1"/>
    <xf numFmtId="0" fontId="4" fillId="0" borderId="9" xfId="0" applyFont="1" applyFill="1" applyBorder="1" applyAlignment="1">
      <alignment horizontal="center" vertical="center" wrapText="1"/>
    </xf>
    <xf numFmtId="165" fontId="4" fillId="0" borderId="1" xfId="1" applyNumberFormat="1" applyFont="1" applyFill="1" applyBorder="1" applyAlignment="1" applyProtection="1">
      <alignment horizontal="right"/>
    </xf>
    <xf numFmtId="165" fontId="4" fillId="5" borderId="1" xfId="1" applyNumberFormat="1" applyFont="1" applyFill="1" applyBorder="1" applyAlignment="1" applyProtection="1">
      <alignment horizontal="right"/>
    </xf>
    <xf numFmtId="165" fontId="4" fillId="0" borderId="27" xfId="0" applyNumberFormat="1" applyFont="1" applyFill="1" applyBorder="1" applyAlignment="1" applyProtection="1">
      <alignment horizontal="right"/>
    </xf>
    <xf numFmtId="165" fontId="4" fillId="0" borderId="1" xfId="0" applyNumberFormat="1" applyFont="1" applyFill="1" applyBorder="1" applyAlignment="1" applyProtection="1">
      <alignment horizontal="right"/>
    </xf>
    <xf numFmtId="165" fontId="4" fillId="5" borderId="11" xfId="0" applyNumberFormat="1" applyFont="1" applyFill="1" applyBorder="1" applyAlignment="1" applyProtection="1">
      <alignment horizontal="right"/>
    </xf>
    <xf numFmtId="165" fontId="4" fillId="0" borderId="1" xfId="1" applyNumberFormat="1" applyFont="1" applyFill="1" applyBorder="1" applyAlignment="1" applyProtection="1">
      <alignment horizontal="right"/>
      <protection locked="0"/>
    </xf>
    <xf numFmtId="165" fontId="4" fillId="0" borderId="27" xfId="0" applyNumberFormat="1" applyFont="1" applyFill="1" applyBorder="1" applyAlignment="1" applyProtection="1">
      <alignment horizontal="right"/>
      <protection locked="0"/>
    </xf>
    <xf numFmtId="165" fontId="4" fillId="0" borderId="1" xfId="0" applyNumberFormat="1" applyFont="1" applyFill="1" applyBorder="1" applyAlignment="1" applyProtection="1">
      <alignment horizontal="right"/>
      <protection locked="0"/>
    </xf>
    <xf numFmtId="165" fontId="4" fillId="0" borderId="11" xfId="0" applyNumberFormat="1" applyFont="1" applyFill="1" applyBorder="1" applyAlignment="1" applyProtection="1">
      <alignment horizontal="right"/>
    </xf>
    <xf numFmtId="165" fontId="4" fillId="5" borderId="15" xfId="1" applyNumberFormat="1" applyFont="1" applyFill="1" applyBorder="1" applyAlignment="1" applyProtection="1">
      <alignment horizontal="right"/>
    </xf>
    <xf numFmtId="165" fontId="4" fillId="5" borderId="16" xfId="0" applyNumberFormat="1" applyFont="1" applyFill="1" applyBorder="1" applyAlignment="1" applyProtection="1">
      <alignment horizontal="right"/>
    </xf>
    <xf numFmtId="166" fontId="21" fillId="0" borderId="1" xfId="1" applyNumberFormat="1" applyFont="1" applyFill="1" applyBorder="1" applyAlignment="1" applyProtection="1">
      <alignment horizontal="right"/>
      <protection locked="0"/>
    </xf>
    <xf numFmtId="166" fontId="23" fillId="0" borderId="1" xfId="1" applyNumberFormat="1" applyFont="1" applyFill="1" applyBorder="1" applyAlignment="1" applyProtection="1">
      <alignment horizontal="right"/>
      <protection locked="0"/>
    </xf>
    <xf numFmtId="166" fontId="21" fillId="5" borderId="1" xfId="1" applyNumberFormat="1" applyFont="1" applyFill="1" applyBorder="1" applyAlignment="1">
      <alignment horizontal="right"/>
    </xf>
    <xf numFmtId="166" fontId="22" fillId="0" borderId="1" xfId="1" applyNumberFormat="1" applyFont="1" applyFill="1" applyBorder="1" applyAlignment="1">
      <alignment horizontal="center"/>
    </xf>
    <xf numFmtId="166" fontId="22" fillId="0" borderId="11" xfId="1" applyNumberFormat="1" applyFont="1" applyFill="1" applyBorder="1" applyAlignment="1">
      <alignment horizontal="center"/>
    </xf>
    <xf numFmtId="166" fontId="21" fillId="0" borderId="11" xfId="1" applyNumberFormat="1" applyFont="1" applyFill="1" applyBorder="1" applyAlignment="1" applyProtection="1">
      <alignment horizontal="right"/>
      <protection locked="0"/>
    </xf>
    <xf numFmtId="166" fontId="21" fillId="5" borderId="15" xfId="1" applyNumberFormat="1" applyFont="1" applyFill="1" applyBorder="1" applyAlignment="1">
      <alignment horizontal="right"/>
    </xf>
    <xf numFmtId="165" fontId="4" fillId="5" borderId="1" xfId="0" applyNumberFormat="1" applyFont="1" applyFill="1" applyBorder="1" applyAlignment="1" applyProtection="1">
      <alignment horizontal="right"/>
    </xf>
    <xf numFmtId="165" fontId="4" fillId="0" borderId="15" xfId="0" applyNumberFormat="1" applyFont="1" applyFill="1" applyBorder="1" applyAlignment="1" applyProtection="1">
      <alignment horizontal="right"/>
    </xf>
    <xf numFmtId="165" fontId="4" fillId="5" borderId="15" xfId="0" applyNumberFormat="1" applyFont="1" applyFill="1" applyBorder="1" applyAlignment="1" applyProtection="1">
      <alignment horizontal="right"/>
    </xf>
    <xf numFmtId="165" fontId="0" fillId="5" borderId="8" xfId="0" applyNumberFormat="1" applyFill="1" applyBorder="1" applyAlignment="1">
      <alignment horizontal="center" vertical="center"/>
    </xf>
    <xf numFmtId="165" fontId="0" fillId="0" borderId="11" xfId="0" applyNumberFormat="1" applyBorder="1" applyAlignment="1"/>
    <xf numFmtId="165" fontId="0" fillId="0" borderId="11" xfId="0" applyNumberFormat="1" applyBorder="1" applyAlignment="1">
      <alignment wrapText="1"/>
    </xf>
    <xf numFmtId="165" fontId="0" fillId="5" borderId="11" xfId="0" applyNumberFormat="1" applyFill="1" applyBorder="1" applyAlignment="1">
      <alignment horizontal="center" vertical="center" wrapText="1"/>
    </xf>
    <xf numFmtId="165" fontId="0" fillId="0" borderId="11" xfId="0" applyNumberFormat="1" applyFill="1" applyBorder="1" applyAlignment="1"/>
    <xf numFmtId="165" fontId="0" fillId="5" borderId="16" xfId="0" applyNumberFormat="1" applyFill="1" applyBorder="1" applyAlignment="1">
      <alignment horizontal="center" vertical="center" wrapText="1"/>
    </xf>
    <xf numFmtId="0" fontId="13" fillId="0" borderId="0" xfId="0" applyFont="1" applyFill="1" applyBorder="1" applyAlignment="1">
      <alignment horizontal="left"/>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3" fillId="0" borderId="2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7"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21" xfId="0" applyFont="1" applyBorder="1" applyAlignment="1">
      <alignment horizontal="center" vertical="center" wrapText="1"/>
    </xf>
    <xf numFmtId="0" fontId="13" fillId="0" borderId="29"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1" xfId="0" applyFont="1" applyFill="1" applyBorder="1" applyAlignment="1">
      <alignment horizontal="center"/>
    </xf>
    <xf numFmtId="0" fontId="3" fillId="0" borderId="29" xfId="0" applyFont="1" applyFill="1" applyBorder="1" applyAlignment="1">
      <alignment horizontal="center"/>
    </xf>
    <xf numFmtId="0" fontId="15" fillId="5" borderId="38"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27" xfId="0" applyFont="1" applyFill="1" applyBorder="1" applyAlignment="1">
      <alignment horizontal="center" vertical="center" wrapText="1"/>
    </xf>
    <xf numFmtId="9" fontId="3" fillId="0" borderId="21" xfId="0" applyNumberFormat="1" applyFont="1" applyBorder="1" applyAlignment="1">
      <alignment horizontal="center" vertical="center"/>
    </xf>
    <xf numFmtId="9" fontId="3" fillId="0" borderId="27" xfId="0" applyNumberFormat="1" applyFont="1" applyBorder="1" applyAlignment="1">
      <alignment horizontal="center" vertical="center"/>
    </xf>
    <xf numFmtId="0" fontId="35" fillId="2" borderId="13" xfId="11" applyFont="1" applyFill="1" applyBorder="1" applyAlignment="1" applyProtection="1">
      <alignment horizontal="center" vertical="center" wrapText="1"/>
      <protection locked="0"/>
    </xf>
    <xf numFmtId="0" fontId="35" fillId="2" borderId="34"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6" xfId="0" applyFont="1" applyBorder="1" applyAlignment="1">
      <alignment horizontal="center" vertical="center" wrapText="1"/>
    </xf>
    <xf numFmtId="166" fontId="14" fillId="2" borderId="6" xfId="15" applyNumberFormat="1" applyFont="1" applyFill="1" applyBorder="1" applyAlignment="1" applyProtection="1">
      <alignment horizontal="center"/>
      <protection locked="0"/>
    </xf>
    <xf numFmtId="166" fontId="14" fillId="2" borderId="7" xfId="15" applyNumberFormat="1" applyFont="1" applyFill="1" applyBorder="1" applyAlignment="1" applyProtection="1">
      <alignment horizontal="center"/>
      <protection locked="0"/>
    </xf>
    <xf numFmtId="166" fontId="14" fillId="2" borderId="8" xfId="15" applyNumberFormat="1" applyFont="1" applyFill="1" applyBorder="1" applyAlignment="1" applyProtection="1">
      <alignment horizontal="center"/>
      <protection locked="0"/>
    </xf>
    <xf numFmtId="166" fontId="14" fillId="0" borderId="60" xfId="15" applyNumberFormat="1" applyFont="1" applyFill="1" applyBorder="1" applyAlignment="1" applyProtection="1">
      <alignment horizontal="center" vertical="center" wrapText="1"/>
      <protection locked="0"/>
    </xf>
    <xf numFmtId="166" fontId="14" fillId="0" borderId="62" xfId="15" applyNumberFormat="1" applyFont="1" applyFill="1" applyBorder="1" applyAlignment="1" applyProtection="1">
      <alignment horizontal="center" vertical="center" wrapText="1"/>
      <protection locked="0"/>
    </xf>
    <xf numFmtId="0" fontId="15" fillId="0" borderId="61" xfId="0" applyFont="1" applyBorder="1" applyAlignment="1">
      <alignment horizontal="center" vertical="center" wrapText="1"/>
    </xf>
    <xf numFmtId="0" fontId="15" fillId="0" borderId="6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1" xfId="0" applyFont="1" applyFill="1" applyBorder="1" applyAlignment="1">
      <alignment horizontal="center" wrapText="1"/>
    </xf>
    <xf numFmtId="0" fontId="3" fillId="0" borderId="27" xfId="0"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0" fillId="0" borderId="57" xfId="0" applyFont="1" applyFill="1" applyBorder="1" applyAlignment="1">
      <alignment horizontal="left" vertical="center"/>
    </xf>
    <xf numFmtId="0" fontId="30" fillId="0" borderId="58"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1" fillId="9" borderId="21" xfId="19" applyFont="1" applyFill="1" applyBorder="1" applyAlignment="1">
      <alignment horizontal="center" vertical="center"/>
    </xf>
    <xf numFmtId="0" fontId="41" fillId="9" borderId="36" xfId="19" applyFont="1" applyFill="1" applyBorder="1" applyAlignment="1">
      <alignment horizontal="center" vertical="center"/>
    </xf>
  </cellXfs>
  <cellStyles count="22">
    <cellStyle name="=C:\WINNT35\SYSTEM32\COMMAND.COM" xfId="19"/>
    <cellStyle name="1Normal 2" xfId="6"/>
    <cellStyle name="Comma" xfId="1" builtinId="3"/>
    <cellStyle name="Comma 10" xfId="20"/>
    <cellStyle name="Comma 2" xfId="15"/>
    <cellStyle name="Comma 3" xfId="10"/>
    <cellStyle name="Heading 2 2" xfId="18"/>
    <cellStyle name="Hyperlink" xfId="4" builtinId="8"/>
    <cellStyle name="Normal" xfId="0" builtinId="0"/>
    <cellStyle name="Normal 10" xfId="17"/>
    <cellStyle name="Normal 121 2" xfId="12"/>
    <cellStyle name="Normal 122" xfId="3"/>
    <cellStyle name="Normal 2" xfId="5"/>
    <cellStyle name="Normal 2 2" xfId="13"/>
    <cellStyle name="Normal 4" xfId="11"/>
    <cellStyle name="Normal_Capital &amp; RWA N" xfId="8"/>
    <cellStyle name="Normal_Capital &amp; RWA N 2" xfId="14"/>
    <cellStyle name="Normal_Casestdy draft" xfId="16"/>
    <cellStyle name="Normal_Casestdy draft 2" xfId="9"/>
    <cellStyle name="Percent" xfId="2" builtinId="5"/>
    <cellStyle name="Percent 10 3" xfId="21"/>
    <cellStyle name="Percent 2" xfId="7"/>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23900" y="1059180"/>
          <a:ext cx="6324600" cy="7600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NBG/Monthly%20Reports/2020/12/Workings/FRM-BKS-MM-20201231Working.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Check-A-G"/>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CICR list"/>
      <sheetName val="შორენასგან"/>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 val="CICR Buffer_ChecK"/>
      <sheetName val="Lim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4"/>
      <sheetData sheetId="65">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6">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7"/>
      <sheetData sheetId="68"/>
      <sheetData sheetId="69">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sheetPr>
  <dimension ref="A1:C26"/>
  <sheetViews>
    <sheetView zoomScaleNormal="100" workbookViewId="0">
      <pane xSplit="1" ySplit="7" topLeftCell="B8" activePane="bottomRight" state="frozen"/>
      <selection activeCell="XEJ1048571" sqref="XEJ1048571"/>
      <selection pane="topRight" activeCell="XEJ1048571" sqref="XEJ1048571"/>
      <selection pane="bottomLeft" activeCell="XEJ1048571" sqref="XEJ1048571"/>
      <selection pane="bottomRight" activeCell="A6" sqref="A6:C6"/>
    </sheetView>
  </sheetViews>
  <sheetFormatPr defaultRowHeight="15" x14ac:dyDescent="0.25"/>
  <cols>
    <col min="1" max="1" width="10.28515625" style="22" customWidth="1"/>
    <col min="2" max="2" width="134.7109375"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2</v>
      </c>
    </row>
    <row r="3" spans="1:3" s="7" customFormat="1" ht="15.75" x14ac:dyDescent="0.3">
      <c r="A3" s="4">
        <v>2</v>
      </c>
      <c r="B3" s="8" t="s">
        <v>3</v>
      </c>
      <c r="C3" s="6" t="s">
        <v>4</v>
      </c>
    </row>
    <row r="4" spans="1:3" s="7" customFormat="1" ht="15.75" x14ac:dyDescent="0.3">
      <c r="A4" s="4">
        <v>3</v>
      </c>
      <c r="B4" s="8" t="s">
        <v>5</v>
      </c>
      <c r="C4" s="6" t="s">
        <v>6</v>
      </c>
    </row>
    <row r="5" spans="1:3" s="7" customFormat="1" ht="15.75" x14ac:dyDescent="0.3">
      <c r="A5" s="9">
        <v>4</v>
      </c>
      <c r="B5" s="10" t="s">
        <v>7</v>
      </c>
      <c r="C5" s="11" t="s">
        <v>8</v>
      </c>
    </row>
    <row r="6" spans="1:3" s="12" customFormat="1" ht="65.25" customHeight="1" x14ac:dyDescent="0.3">
      <c r="A6" s="575" t="s">
        <v>9</v>
      </c>
      <c r="B6" s="576"/>
      <c r="C6" s="576"/>
    </row>
    <row r="7" spans="1:3" x14ac:dyDescent="0.25">
      <c r="A7" s="13" t="s">
        <v>10</v>
      </c>
      <c r="B7" s="2" t="s">
        <v>11</v>
      </c>
    </row>
    <row r="8" spans="1:3" x14ac:dyDescent="0.25">
      <c r="A8" s="1">
        <v>1</v>
      </c>
      <c r="B8" s="14" t="s">
        <v>12</v>
      </c>
    </row>
    <row r="9" spans="1:3" x14ac:dyDescent="0.25">
      <c r="A9" s="1">
        <v>2</v>
      </c>
      <c r="B9" s="14" t="s">
        <v>13</v>
      </c>
    </row>
    <row r="10" spans="1:3" x14ac:dyDescent="0.25">
      <c r="A10" s="1">
        <v>3</v>
      </c>
      <c r="B10" s="14" t="s">
        <v>14</v>
      </c>
    </row>
    <row r="11" spans="1:3" x14ac:dyDescent="0.25">
      <c r="A11" s="1">
        <v>4</v>
      </c>
      <c r="B11" s="14" t="s">
        <v>15</v>
      </c>
      <c r="C11" s="15"/>
    </row>
    <row r="12" spans="1:3" x14ac:dyDescent="0.25">
      <c r="A12" s="1">
        <v>5</v>
      </c>
      <c r="B12" s="14" t="s">
        <v>16</v>
      </c>
    </row>
    <row r="13" spans="1:3" x14ac:dyDescent="0.25">
      <c r="A13" s="1">
        <v>6</v>
      </c>
      <c r="B13" s="16" t="s">
        <v>17</v>
      </c>
    </row>
    <row r="14" spans="1:3" x14ac:dyDescent="0.25">
      <c r="A14" s="1">
        <v>7</v>
      </c>
      <c r="B14" s="14" t="s">
        <v>18</v>
      </c>
    </row>
    <row r="15" spans="1:3" x14ac:dyDescent="0.25">
      <c r="A15" s="1">
        <v>8</v>
      </c>
      <c r="B15" s="14" t="s">
        <v>19</v>
      </c>
    </row>
    <row r="16" spans="1:3" x14ac:dyDescent="0.25">
      <c r="A16" s="1">
        <v>9</v>
      </c>
      <c r="B16" s="14" t="s">
        <v>20</v>
      </c>
    </row>
    <row r="17" spans="1:2" x14ac:dyDescent="0.25">
      <c r="A17" s="17">
        <v>9.1</v>
      </c>
      <c r="B17" s="14" t="s">
        <v>21</v>
      </c>
    </row>
    <row r="18" spans="1:2" x14ac:dyDescent="0.25">
      <c r="A18" s="1">
        <v>10</v>
      </c>
      <c r="B18" s="14" t="s">
        <v>22</v>
      </c>
    </row>
    <row r="19" spans="1:2" x14ac:dyDescent="0.25">
      <c r="A19" s="1">
        <v>11</v>
      </c>
      <c r="B19" s="16" t="s">
        <v>23</v>
      </c>
    </row>
    <row r="20" spans="1:2" x14ac:dyDescent="0.25">
      <c r="A20" s="1">
        <v>12</v>
      </c>
      <c r="B20" s="16" t="s">
        <v>24</v>
      </c>
    </row>
    <row r="21" spans="1:2" x14ac:dyDescent="0.25">
      <c r="A21" s="1">
        <v>13</v>
      </c>
      <c r="B21" s="18" t="s">
        <v>25</v>
      </c>
    </row>
    <row r="22" spans="1:2" x14ac:dyDescent="0.25">
      <c r="A22" s="1">
        <v>14</v>
      </c>
      <c r="B22" s="11" t="s">
        <v>26</v>
      </c>
    </row>
    <row r="23" spans="1:2" x14ac:dyDescent="0.25">
      <c r="A23" s="19">
        <v>15</v>
      </c>
      <c r="B23" s="16" t="s">
        <v>27</v>
      </c>
    </row>
    <row r="24" spans="1:2" x14ac:dyDescent="0.25">
      <c r="A24" s="19">
        <v>15.1</v>
      </c>
      <c r="B24" s="16" t="s">
        <v>28</v>
      </c>
    </row>
    <row r="25" spans="1:2" x14ac:dyDescent="0.25">
      <c r="A25" s="20"/>
      <c r="B25" s="21"/>
    </row>
    <row r="26" spans="1:2" x14ac:dyDescent="0.25">
      <c r="A26" s="20"/>
      <c r="B26" s="21"/>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 ref="B17" location="'9.1. Capital Requirements'!A1" display="კაპიტალის ადეკვატურობის მოთხოვნები"/>
    <hyperlink ref="B22" location="'14. LCR'!A1" display="ლიკვიდობის გადაფარვის კოეფიციენტი"/>
    <hyperlink ref="B24" location="'15.1 LR'!A1" display="ლევერიჯის კოეფიციენტი"/>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pageSetUpPr fitToPage="1"/>
  </sheetPr>
  <dimension ref="A1:F67"/>
  <sheetViews>
    <sheetView zoomScaleNormal="100" workbookViewId="0">
      <pane xSplit="1" ySplit="5" topLeftCell="B6"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RowHeight="15" x14ac:dyDescent="0.25"/>
  <cols>
    <col min="1" max="1" width="9.5703125" style="20" bestFit="1" customWidth="1"/>
    <col min="2" max="2" width="132.42578125" style="22" customWidth="1"/>
    <col min="3" max="3" width="18.42578125" style="240" customWidth="1"/>
    <col min="6" max="6" width="17.42578125" bestFit="1" customWidth="1"/>
  </cols>
  <sheetData>
    <row r="1" spans="1:6" ht="15.75" x14ac:dyDescent="0.3">
      <c r="A1" s="23" t="s">
        <v>29</v>
      </c>
      <c r="B1" s="22" t="str">
        <f>'1. key ratios'!B1</f>
        <v>სს ტერაბანკი</v>
      </c>
      <c r="C1" s="22"/>
      <c r="D1" s="22"/>
      <c r="E1" s="22"/>
      <c r="F1" s="22"/>
    </row>
    <row r="2" spans="1:6" s="211" customFormat="1" ht="15.75" customHeight="1" x14ac:dyDescent="0.3">
      <c r="A2" s="211" t="s">
        <v>31</v>
      </c>
      <c r="B2" s="82">
        <v>44196</v>
      </c>
    </row>
    <row r="3" spans="1:6" s="211" customFormat="1" ht="15.75" customHeight="1" x14ac:dyDescent="0.3"/>
    <row r="4" spans="1:6" ht="15.75" thickBot="1" x14ac:dyDescent="0.3">
      <c r="A4" s="20" t="s">
        <v>270</v>
      </c>
      <c r="B4" s="265" t="s">
        <v>20</v>
      </c>
      <c r="C4" s="22"/>
    </row>
    <row r="5" spans="1:6" x14ac:dyDescent="0.25">
      <c r="A5" s="266" t="s">
        <v>33</v>
      </c>
      <c r="B5" s="267"/>
      <c r="C5" s="268" t="s">
        <v>71</v>
      </c>
    </row>
    <row r="6" spans="1:6" x14ac:dyDescent="0.25">
      <c r="A6" s="269">
        <v>1</v>
      </c>
      <c r="B6" s="270" t="s">
        <v>271</v>
      </c>
      <c r="C6" s="271">
        <f>SUM(C7:C11)</f>
        <v>125494637.95999981</v>
      </c>
    </row>
    <row r="7" spans="1:6" x14ac:dyDescent="0.25">
      <c r="A7" s="269">
        <v>2</v>
      </c>
      <c r="B7" s="272" t="s">
        <v>272</v>
      </c>
      <c r="C7" s="273">
        <v>121372000.00000001</v>
      </c>
    </row>
    <row r="8" spans="1:6" x14ac:dyDescent="0.25">
      <c r="A8" s="269">
        <v>3</v>
      </c>
      <c r="B8" s="274" t="s">
        <v>273</v>
      </c>
      <c r="C8" s="273">
        <v>0</v>
      </c>
    </row>
    <row r="9" spans="1:6" x14ac:dyDescent="0.25">
      <c r="A9" s="269">
        <v>4</v>
      </c>
      <c r="B9" s="274" t="s">
        <v>274</v>
      </c>
      <c r="C9" s="273">
        <v>0</v>
      </c>
    </row>
    <row r="10" spans="1:6" x14ac:dyDescent="0.25">
      <c r="A10" s="269">
        <v>5</v>
      </c>
      <c r="B10" s="274" t="s">
        <v>275</v>
      </c>
      <c r="C10" s="273">
        <v>0</v>
      </c>
    </row>
    <row r="11" spans="1:6" x14ac:dyDescent="0.25">
      <c r="A11" s="269">
        <v>6</v>
      </c>
      <c r="B11" s="275" t="s">
        <v>276</v>
      </c>
      <c r="C11" s="273">
        <v>4122637.9599997941</v>
      </c>
    </row>
    <row r="12" spans="1:6" s="255" customFormat="1" x14ac:dyDescent="0.25">
      <c r="A12" s="269">
        <v>7</v>
      </c>
      <c r="B12" s="270" t="s">
        <v>277</v>
      </c>
      <c r="C12" s="276">
        <f>SUM(C13:C27)</f>
        <v>22952848</v>
      </c>
    </row>
    <row r="13" spans="1:6" s="255" customFormat="1" x14ac:dyDescent="0.25">
      <c r="A13" s="269">
        <v>8</v>
      </c>
      <c r="B13" s="277" t="s">
        <v>278</v>
      </c>
      <c r="C13" s="278">
        <v>0</v>
      </c>
    </row>
    <row r="14" spans="1:6" s="255" customFormat="1" ht="25.5" x14ac:dyDescent="0.25">
      <c r="A14" s="269">
        <v>9</v>
      </c>
      <c r="B14" s="279" t="s">
        <v>279</v>
      </c>
      <c r="C14" s="278">
        <v>0</v>
      </c>
    </row>
    <row r="15" spans="1:6" s="255" customFormat="1" x14ac:dyDescent="0.25">
      <c r="A15" s="269">
        <v>10</v>
      </c>
      <c r="B15" s="280" t="s">
        <v>280</v>
      </c>
      <c r="C15" s="278">
        <v>22952848</v>
      </c>
    </row>
    <row r="16" spans="1:6" s="255" customFormat="1" x14ac:dyDescent="0.25">
      <c r="A16" s="269">
        <v>11</v>
      </c>
      <c r="B16" s="281" t="s">
        <v>281</v>
      </c>
      <c r="C16" s="278">
        <v>0</v>
      </c>
    </row>
    <row r="17" spans="1:6" s="255" customFormat="1" x14ac:dyDescent="0.25">
      <c r="A17" s="269">
        <v>12</v>
      </c>
      <c r="B17" s="280" t="s">
        <v>282</v>
      </c>
      <c r="C17" s="278">
        <v>0</v>
      </c>
    </row>
    <row r="18" spans="1:6" s="255" customFormat="1" x14ac:dyDescent="0.25">
      <c r="A18" s="269">
        <v>13</v>
      </c>
      <c r="B18" s="280" t="s">
        <v>283</v>
      </c>
      <c r="C18" s="278">
        <v>0</v>
      </c>
    </row>
    <row r="19" spans="1:6" s="255" customFormat="1" x14ac:dyDescent="0.25">
      <c r="A19" s="269">
        <v>14</v>
      </c>
      <c r="B19" s="280" t="s">
        <v>284</v>
      </c>
      <c r="C19" s="278">
        <v>0</v>
      </c>
    </row>
    <row r="20" spans="1:6" s="255" customFormat="1" ht="25.5" x14ac:dyDescent="0.25">
      <c r="A20" s="269">
        <v>15</v>
      </c>
      <c r="B20" s="280" t="s">
        <v>285</v>
      </c>
      <c r="C20" s="278">
        <v>0</v>
      </c>
    </row>
    <row r="21" spans="1:6" s="255" customFormat="1" ht="25.5" x14ac:dyDescent="0.25">
      <c r="A21" s="269">
        <v>16</v>
      </c>
      <c r="B21" s="279" t="s">
        <v>286</v>
      </c>
      <c r="C21" s="278">
        <v>0</v>
      </c>
    </row>
    <row r="22" spans="1:6" s="255" customFormat="1" x14ac:dyDescent="0.25">
      <c r="A22" s="269">
        <v>17</v>
      </c>
      <c r="B22" s="282" t="s">
        <v>287</v>
      </c>
      <c r="C22" s="278">
        <v>0</v>
      </c>
    </row>
    <row r="23" spans="1:6" s="255" customFormat="1" ht="25.5" x14ac:dyDescent="0.25">
      <c r="A23" s="269">
        <v>18</v>
      </c>
      <c r="B23" s="279" t="s">
        <v>288</v>
      </c>
      <c r="C23" s="278">
        <v>0</v>
      </c>
    </row>
    <row r="24" spans="1:6" s="255" customFormat="1" ht="25.5" x14ac:dyDescent="0.25">
      <c r="A24" s="269">
        <v>19</v>
      </c>
      <c r="B24" s="279" t="s">
        <v>289</v>
      </c>
      <c r="C24" s="278">
        <v>0</v>
      </c>
    </row>
    <row r="25" spans="1:6" s="255" customFormat="1" ht="25.5" x14ac:dyDescent="0.25">
      <c r="A25" s="269">
        <v>20</v>
      </c>
      <c r="B25" s="283" t="s">
        <v>290</v>
      </c>
      <c r="C25" s="278">
        <v>0</v>
      </c>
    </row>
    <row r="26" spans="1:6" s="255" customFormat="1" x14ac:dyDescent="0.25">
      <c r="A26" s="269">
        <v>21</v>
      </c>
      <c r="B26" s="283" t="s">
        <v>291</v>
      </c>
      <c r="C26" s="278">
        <v>0</v>
      </c>
    </row>
    <row r="27" spans="1:6" s="255" customFormat="1" ht="25.5" x14ac:dyDescent="0.25">
      <c r="A27" s="269">
        <v>22</v>
      </c>
      <c r="B27" s="283" t="s">
        <v>292</v>
      </c>
      <c r="C27" s="278">
        <v>0</v>
      </c>
    </row>
    <row r="28" spans="1:6" s="255" customFormat="1" x14ac:dyDescent="0.25">
      <c r="A28" s="269">
        <v>23</v>
      </c>
      <c r="B28" s="284" t="s">
        <v>36</v>
      </c>
      <c r="C28" s="276">
        <f>C6-C12</f>
        <v>102541789.95999981</v>
      </c>
    </row>
    <row r="29" spans="1:6" s="255" customFormat="1" x14ac:dyDescent="0.25">
      <c r="A29" s="285"/>
      <c r="B29" s="286"/>
      <c r="C29" s="278"/>
    </row>
    <row r="30" spans="1:6" s="255" customFormat="1" x14ac:dyDescent="0.25">
      <c r="A30" s="285">
        <v>24</v>
      </c>
      <c r="B30" s="284" t="s">
        <v>293</v>
      </c>
      <c r="C30" s="276">
        <f>C31+C34</f>
        <v>0</v>
      </c>
      <c r="F30" s="287"/>
    </row>
    <row r="31" spans="1:6" s="255" customFormat="1" x14ac:dyDescent="0.25">
      <c r="A31" s="285">
        <v>25</v>
      </c>
      <c r="B31" s="274" t="s">
        <v>294</v>
      </c>
      <c r="C31" s="288">
        <f>C32+C33</f>
        <v>0</v>
      </c>
      <c r="F31" s="289"/>
    </row>
    <row r="32" spans="1:6" s="255" customFormat="1" x14ac:dyDescent="0.25">
      <c r="A32" s="285">
        <v>26</v>
      </c>
      <c r="B32" s="290" t="s">
        <v>295</v>
      </c>
      <c r="C32" s="278">
        <v>0</v>
      </c>
      <c r="F32" s="289"/>
    </row>
    <row r="33" spans="1:6" s="255" customFormat="1" x14ac:dyDescent="0.25">
      <c r="A33" s="285">
        <v>27</v>
      </c>
      <c r="B33" s="290" t="s">
        <v>296</v>
      </c>
      <c r="C33" s="278">
        <v>0</v>
      </c>
      <c r="F33" s="289"/>
    </row>
    <row r="34" spans="1:6" s="255" customFormat="1" x14ac:dyDescent="0.25">
      <c r="A34" s="285">
        <v>28</v>
      </c>
      <c r="B34" s="274" t="s">
        <v>297</v>
      </c>
      <c r="C34" s="278">
        <v>0</v>
      </c>
      <c r="F34" s="289"/>
    </row>
    <row r="35" spans="1:6" s="255" customFormat="1" x14ac:dyDescent="0.25">
      <c r="A35" s="285">
        <v>29</v>
      </c>
      <c r="B35" s="284" t="s">
        <v>298</v>
      </c>
      <c r="C35" s="276">
        <f>SUM(C36:C40)</f>
        <v>0</v>
      </c>
      <c r="F35" s="289"/>
    </row>
    <row r="36" spans="1:6" s="255" customFormat="1" x14ac:dyDescent="0.25">
      <c r="A36" s="285">
        <v>30</v>
      </c>
      <c r="B36" s="279" t="s">
        <v>299</v>
      </c>
      <c r="C36" s="278">
        <v>0</v>
      </c>
      <c r="F36" s="289"/>
    </row>
    <row r="37" spans="1:6" s="255" customFormat="1" x14ac:dyDescent="0.25">
      <c r="A37" s="285">
        <v>31</v>
      </c>
      <c r="B37" s="280" t="s">
        <v>300</v>
      </c>
      <c r="C37" s="278">
        <v>0</v>
      </c>
      <c r="F37" s="289"/>
    </row>
    <row r="38" spans="1:6" s="255" customFormat="1" ht="25.5" x14ac:dyDescent="0.25">
      <c r="A38" s="285">
        <v>32</v>
      </c>
      <c r="B38" s="279" t="s">
        <v>301</v>
      </c>
      <c r="C38" s="278">
        <v>0</v>
      </c>
      <c r="F38" s="289"/>
    </row>
    <row r="39" spans="1:6" s="255" customFormat="1" ht="25.5" x14ac:dyDescent="0.25">
      <c r="A39" s="285">
        <v>33</v>
      </c>
      <c r="B39" s="279" t="s">
        <v>289</v>
      </c>
      <c r="C39" s="278">
        <v>0</v>
      </c>
      <c r="F39" s="289"/>
    </row>
    <row r="40" spans="1:6" s="255" customFormat="1" ht="25.5" x14ac:dyDescent="0.25">
      <c r="A40" s="285">
        <v>34</v>
      </c>
      <c r="B40" s="283" t="s">
        <v>302</v>
      </c>
      <c r="C40" s="278">
        <v>0</v>
      </c>
      <c r="F40" s="289"/>
    </row>
    <row r="41" spans="1:6" s="255" customFormat="1" x14ac:dyDescent="0.25">
      <c r="A41" s="285">
        <v>35</v>
      </c>
      <c r="B41" s="284" t="s">
        <v>303</v>
      </c>
      <c r="C41" s="276">
        <f>C30-C35</f>
        <v>0</v>
      </c>
      <c r="F41" s="289"/>
    </row>
    <row r="42" spans="1:6" s="255" customFormat="1" x14ac:dyDescent="0.25">
      <c r="A42" s="285"/>
      <c r="B42" s="286"/>
      <c r="C42" s="278"/>
      <c r="F42" s="289"/>
    </row>
    <row r="43" spans="1:6" s="255" customFormat="1" x14ac:dyDescent="0.25">
      <c r="A43" s="285">
        <v>36</v>
      </c>
      <c r="B43" s="291" t="s">
        <v>304</v>
      </c>
      <c r="C43" s="276">
        <f>SUM(C44:C46)</f>
        <v>57988959.163737513</v>
      </c>
      <c r="F43" s="289"/>
    </row>
    <row r="44" spans="1:6" s="255" customFormat="1" x14ac:dyDescent="0.25">
      <c r="A44" s="285">
        <v>37</v>
      </c>
      <c r="B44" s="274" t="s">
        <v>305</v>
      </c>
      <c r="C44" s="278">
        <v>46288616.869999997</v>
      </c>
      <c r="F44" s="289"/>
    </row>
    <row r="45" spans="1:6" s="255" customFormat="1" x14ac:dyDescent="0.25">
      <c r="A45" s="285">
        <v>38</v>
      </c>
      <c r="B45" s="274" t="s">
        <v>306</v>
      </c>
      <c r="C45" s="278">
        <v>0</v>
      </c>
      <c r="F45" s="289"/>
    </row>
    <row r="46" spans="1:6" s="255" customFormat="1" x14ac:dyDescent="0.25">
      <c r="A46" s="285">
        <v>39</v>
      </c>
      <c r="B46" s="274" t="s">
        <v>307</v>
      </c>
      <c r="C46" s="278">
        <v>11700342.293737514</v>
      </c>
      <c r="F46" s="289"/>
    </row>
    <row r="47" spans="1:6" s="255" customFormat="1" x14ac:dyDescent="0.25">
      <c r="A47" s="285">
        <v>40</v>
      </c>
      <c r="B47" s="291" t="s">
        <v>308</v>
      </c>
      <c r="C47" s="276">
        <f>SUM(C48:C51)</f>
        <v>0</v>
      </c>
      <c r="F47" s="289"/>
    </row>
    <row r="48" spans="1:6" s="255" customFormat="1" x14ac:dyDescent="0.25">
      <c r="A48" s="285">
        <v>41</v>
      </c>
      <c r="B48" s="279" t="s">
        <v>309</v>
      </c>
      <c r="C48" s="278">
        <v>0</v>
      </c>
      <c r="F48" s="289"/>
    </row>
    <row r="49" spans="1:6" s="255" customFormat="1" x14ac:dyDescent="0.25">
      <c r="A49" s="285">
        <v>42</v>
      </c>
      <c r="B49" s="280" t="s">
        <v>310</v>
      </c>
      <c r="C49" s="278">
        <v>0</v>
      </c>
      <c r="F49" s="289"/>
    </row>
    <row r="50" spans="1:6" s="255" customFormat="1" ht="25.5" x14ac:dyDescent="0.25">
      <c r="A50" s="285">
        <v>43</v>
      </c>
      <c r="B50" s="279" t="s">
        <v>311</v>
      </c>
      <c r="C50" s="278">
        <v>0</v>
      </c>
      <c r="F50" s="289"/>
    </row>
    <row r="51" spans="1:6" s="255" customFormat="1" ht="25.5" x14ac:dyDescent="0.25">
      <c r="A51" s="285">
        <v>44</v>
      </c>
      <c r="B51" s="279" t="s">
        <v>289</v>
      </c>
      <c r="C51" s="278">
        <v>0</v>
      </c>
      <c r="F51" s="289"/>
    </row>
    <row r="52" spans="1:6" s="255" customFormat="1" ht="15.75" thickBot="1" x14ac:dyDescent="0.3">
      <c r="A52" s="292">
        <v>45</v>
      </c>
      <c r="B52" s="293" t="s">
        <v>312</v>
      </c>
      <c r="C52" s="294">
        <f>C43-C47</f>
        <v>57988959.163737513</v>
      </c>
      <c r="F52" s="289"/>
    </row>
    <row r="53" spans="1:6" x14ac:dyDescent="0.25">
      <c r="F53" s="289"/>
    </row>
    <row r="54" spans="1:6" x14ac:dyDescent="0.25">
      <c r="F54" s="289"/>
    </row>
    <row r="55" spans="1:6" x14ac:dyDescent="0.25">
      <c r="B55" s="22" t="s">
        <v>313</v>
      </c>
      <c r="F55" s="289"/>
    </row>
    <row r="56" spans="1:6" x14ac:dyDescent="0.25">
      <c r="F56" s="289"/>
    </row>
    <row r="57" spans="1:6" x14ac:dyDescent="0.25">
      <c r="F57" s="289"/>
    </row>
    <row r="58" spans="1:6" x14ac:dyDescent="0.25">
      <c r="F58" s="289"/>
    </row>
    <row r="59" spans="1:6" x14ac:dyDescent="0.25">
      <c r="F59" s="289"/>
    </row>
    <row r="60" spans="1:6" x14ac:dyDescent="0.25">
      <c r="F60" s="289"/>
    </row>
    <row r="61" spans="1:6" x14ac:dyDescent="0.25">
      <c r="F61" s="289"/>
    </row>
    <row r="62" spans="1:6" x14ac:dyDescent="0.25">
      <c r="F62" s="289"/>
    </row>
    <row r="63" spans="1:6" x14ac:dyDescent="0.25">
      <c r="F63" s="289"/>
    </row>
    <row r="64" spans="1:6" x14ac:dyDescent="0.25">
      <c r="F64" s="289"/>
    </row>
    <row r="65" spans="6:6" x14ac:dyDescent="0.25">
      <c r="F65" s="289"/>
    </row>
    <row r="66" spans="6:6" x14ac:dyDescent="0.25">
      <c r="F66" s="289"/>
    </row>
    <row r="67" spans="6:6" x14ac:dyDescent="0.25">
      <c r="F67" s="289"/>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2" tint="-0.249977111117893"/>
  </sheetPr>
  <dimension ref="A1:F23"/>
  <sheetViews>
    <sheetView zoomScaleNormal="100" workbookViewId="0">
      <selection activeCell="XEJ1048571" sqref="XEJ1048571"/>
    </sheetView>
  </sheetViews>
  <sheetFormatPr defaultColWidth="9.140625" defaultRowHeight="12.75" x14ac:dyDescent="0.2"/>
  <cols>
    <col min="1" max="1" width="10.85546875" style="22" bestFit="1" customWidth="1"/>
    <col min="2" max="2" width="54.140625" style="22" customWidth="1"/>
    <col min="3" max="3" width="16.7109375" style="22" bestFit="1" customWidth="1"/>
    <col min="4" max="4" width="14.5703125" style="22" bestFit="1" customWidth="1"/>
    <col min="5" max="16384" width="9.140625" style="22"/>
  </cols>
  <sheetData>
    <row r="1" spans="1:4" ht="15" x14ac:dyDescent="0.3">
      <c r="A1" s="23" t="s">
        <v>29</v>
      </c>
      <c r="B1" s="22" t="str">
        <f>'1. key ratios'!B1</f>
        <v>სს ტერაბანკი</v>
      </c>
    </row>
    <row r="2" spans="1:4" s="211" customFormat="1" ht="15.75" customHeight="1" x14ac:dyDescent="0.3">
      <c r="A2" s="211" t="s">
        <v>31</v>
      </c>
      <c r="B2" s="82">
        <v>44196</v>
      </c>
    </row>
    <row r="3" spans="1:4" s="211" customFormat="1" ht="15.75" customHeight="1" x14ac:dyDescent="0.3"/>
    <row r="4" spans="1:4" ht="13.5" thickBot="1" x14ac:dyDescent="0.25">
      <c r="A4" s="20" t="s">
        <v>314</v>
      </c>
      <c r="B4" s="295" t="s">
        <v>21</v>
      </c>
    </row>
    <row r="5" spans="1:4" s="298" customFormat="1" x14ac:dyDescent="0.25">
      <c r="A5" s="592" t="s">
        <v>315</v>
      </c>
      <c r="B5" s="593"/>
      <c r="C5" s="296" t="s">
        <v>316</v>
      </c>
      <c r="D5" s="297" t="s">
        <v>317</v>
      </c>
    </row>
    <row r="6" spans="1:4" s="302" customFormat="1" x14ac:dyDescent="0.25">
      <c r="A6" s="299">
        <v>1</v>
      </c>
      <c r="B6" s="300" t="s">
        <v>318</v>
      </c>
      <c r="C6" s="300"/>
      <c r="D6" s="301"/>
    </row>
    <row r="7" spans="1:4" s="302" customFormat="1" x14ac:dyDescent="0.25">
      <c r="A7" s="303" t="s">
        <v>319</v>
      </c>
      <c r="B7" s="304" t="s">
        <v>320</v>
      </c>
      <c r="C7" s="305">
        <v>4.4999999999999998E-2</v>
      </c>
      <c r="D7" s="306">
        <f>C7*'5. RWA'!$C$13</f>
        <v>47698938.722655028</v>
      </c>
    </row>
    <row r="8" spans="1:4" s="302" customFormat="1" x14ac:dyDescent="0.25">
      <c r="A8" s="303" t="s">
        <v>321</v>
      </c>
      <c r="B8" s="304" t="s">
        <v>322</v>
      </c>
      <c r="C8" s="307">
        <v>0.06</v>
      </c>
      <c r="D8" s="306">
        <f>C8*'5. RWA'!$C$13</f>
        <v>63598584.96354004</v>
      </c>
    </row>
    <row r="9" spans="1:4" s="302" customFormat="1" x14ac:dyDescent="0.25">
      <c r="A9" s="303" t="s">
        <v>323</v>
      </c>
      <c r="B9" s="304" t="s">
        <v>324</v>
      </c>
      <c r="C9" s="307">
        <v>0.08</v>
      </c>
      <c r="D9" s="306">
        <f>C9*'5. RWA'!$C$13</f>
        <v>84798113.284720063</v>
      </c>
    </row>
    <row r="10" spans="1:4" s="302" customFormat="1" x14ac:dyDescent="0.25">
      <c r="A10" s="299" t="s">
        <v>325</v>
      </c>
      <c r="B10" s="300" t="s">
        <v>326</v>
      </c>
      <c r="C10" s="300"/>
      <c r="D10" s="308"/>
    </row>
    <row r="11" spans="1:4" s="313" customFormat="1" x14ac:dyDescent="0.25">
      <c r="A11" s="309" t="s">
        <v>327</v>
      </c>
      <c r="B11" s="310" t="s">
        <v>328</v>
      </c>
      <c r="C11" s="311">
        <v>0</v>
      </c>
      <c r="D11" s="312">
        <f>C11*'5. RWA'!$C$13</f>
        <v>0</v>
      </c>
    </row>
    <row r="12" spans="1:4" s="313" customFormat="1" x14ac:dyDescent="0.25">
      <c r="A12" s="309" t="s">
        <v>329</v>
      </c>
      <c r="B12" s="310" t="s">
        <v>330</v>
      </c>
      <c r="C12" s="311">
        <v>0</v>
      </c>
      <c r="D12" s="312">
        <f>C12*'5. RWA'!$C$13</f>
        <v>0</v>
      </c>
    </row>
    <row r="13" spans="1:4" s="313" customFormat="1" x14ac:dyDescent="0.25">
      <c r="A13" s="309" t="s">
        <v>331</v>
      </c>
      <c r="B13" s="310" t="s">
        <v>332</v>
      </c>
      <c r="C13" s="311">
        <v>0</v>
      </c>
      <c r="D13" s="312">
        <f>C13*'5. RWA'!$C$13</f>
        <v>0</v>
      </c>
    </row>
    <row r="14" spans="1:4" s="302" customFormat="1" x14ac:dyDescent="0.25">
      <c r="A14" s="299" t="s">
        <v>333</v>
      </c>
      <c r="B14" s="300" t="s">
        <v>334</v>
      </c>
      <c r="C14" s="314"/>
      <c r="D14" s="308"/>
    </row>
    <row r="15" spans="1:4" s="302" customFormat="1" x14ac:dyDescent="0.25">
      <c r="A15" s="315" t="s">
        <v>335</v>
      </c>
      <c r="B15" s="310" t="s">
        <v>336</v>
      </c>
      <c r="C15" s="311">
        <v>1.0988133789585425E-2</v>
      </c>
      <c r="D15" s="312">
        <f>C15*'5. RWA'!$C$13</f>
        <v>11647162.673461566</v>
      </c>
    </row>
    <row r="16" spans="1:4" s="302" customFormat="1" x14ac:dyDescent="0.25">
      <c r="A16" s="315" t="s">
        <v>337</v>
      </c>
      <c r="B16" s="310" t="s">
        <v>338</v>
      </c>
      <c r="C16" s="316">
        <v>1.4682775768555978E-2</v>
      </c>
      <c r="D16" s="312">
        <f>C16*'5. RWA'!$C$13</f>
        <v>15563396.036951905</v>
      </c>
    </row>
    <row r="17" spans="1:6" s="302" customFormat="1" x14ac:dyDescent="0.25">
      <c r="A17" s="315" t="s">
        <v>339</v>
      </c>
      <c r="B17" s="310" t="s">
        <v>340</v>
      </c>
      <c r="C17" s="316">
        <v>4.7071038328066403E-2</v>
      </c>
      <c r="D17" s="312">
        <f>C17*'5. RWA'!$C$13</f>
        <v>49894190.50715968</v>
      </c>
    </row>
    <row r="18" spans="1:6" s="298" customFormat="1" x14ac:dyDescent="0.25">
      <c r="A18" s="594" t="s">
        <v>341</v>
      </c>
      <c r="B18" s="595"/>
      <c r="C18" s="317" t="s">
        <v>316</v>
      </c>
      <c r="D18" s="318" t="s">
        <v>317</v>
      </c>
    </row>
    <row r="19" spans="1:6" s="302" customFormat="1" x14ac:dyDescent="0.25">
      <c r="A19" s="319">
        <v>4</v>
      </c>
      <c r="B19" s="310" t="s">
        <v>36</v>
      </c>
      <c r="C19" s="311">
        <f>C7+C11+C12+C13+C15</f>
        <v>5.598813378958542E-2</v>
      </c>
      <c r="D19" s="306">
        <f>C19*'5. RWA'!$C$13</f>
        <v>59346101.396116592</v>
      </c>
    </row>
    <row r="20" spans="1:6" s="302" customFormat="1" x14ac:dyDescent="0.25">
      <c r="A20" s="319">
        <v>5</v>
      </c>
      <c r="B20" s="310" t="s">
        <v>37</v>
      </c>
      <c r="C20" s="311">
        <f>C8+C11+C12+C13+C16</f>
        <v>7.4682775768555976E-2</v>
      </c>
      <c r="D20" s="306">
        <f>C20*'5. RWA'!$C$13</f>
        <v>79161981.000491947</v>
      </c>
    </row>
    <row r="21" spans="1:6" s="302" customFormat="1" ht="13.5" thickBot="1" x14ac:dyDescent="0.3">
      <c r="A21" s="320" t="s">
        <v>342</v>
      </c>
      <c r="B21" s="321" t="s">
        <v>20</v>
      </c>
      <c r="C21" s="322">
        <f>C9+C11+C12+C13+C17</f>
        <v>0.1270710383280664</v>
      </c>
      <c r="D21" s="323">
        <f>C21*'5. RWA'!$C$13</f>
        <v>134692303.79187974</v>
      </c>
    </row>
    <row r="22" spans="1:6" x14ac:dyDescent="0.2">
      <c r="F22" s="20"/>
    </row>
    <row r="23" spans="1:6" ht="63.75" x14ac:dyDescent="0.2">
      <c r="B23" s="79" t="s">
        <v>63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pageSetUpPr fitToPage="1"/>
  </sheetPr>
  <dimension ref="A1:F45"/>
  <sheetViews>
    <sheetView tabSelected="1" zoomScaleNormal="100" workbookViewId="0">
      <pane xSplit="1" ySplit="5" topLeftCell="B6" activePane="bottomRight" state="frozen"/>
      <selection activeCell="XEJ1048571" sqref="XEJ1048571"/>
      <selection pane="topRight" activeCell="XEJ1048571" sqref="XEJ1048571"/>
      <selection pane="bottomLeft" activeCell="XEJ1048571" sqref="XEJ1048571"/>
      <selection pane="bottomRight" activeCell="C14" sqref="C14"/>
    </sheetView>
  </sheetViews>
  <sheetFormatPr defaultRowHeight="15.75" x14ac:dyDescent="0.3"/>
  <cols>
    <col min="1" max="1" width="10.7109375" style="184" customWidth="1"/>
    <col min="2" max="2" width="91.85546875" style="184" customWidth="1"/>
    <col min="3" max="3" width="53.140625" style="184" customWidth="1"/>
    <col min="4" max="4" width="32.28515625" style="184" customWidth="1"/>
    <col min="5" max="5" width="12.5703125" bestFit="1" customWidth="1"/>
  </cols>
  <sheetData>
    <row r="1" spans="1:6" x14ac:dyDescent="0.3">
      <c r="A1" s="324" t="s">
        <v>29</v>
      </c>
      <c r="B1" s="22" t="str">
        <f>'1. key ratios'!B1</f>
        <v>სს ტერაბანკი</v>
      </c>
      <c r="E1" s="22"/>
      <c r="F1" s="22"/>
    </row>
    <row r="2" spans="1:6" s="211" customFormat="1" ht="15.75" customHeight="1" x14ac:dyDescent="0.3">
      <c r="A2" s="325" t="s">
        <v>31</v>
      </c>
      <c r="B2" s="82">
        <v>44196</v>
      </c>
    </row>
    <row r="3" spans="1:6" s="211" customFormat="1" ht="15.75" customHeight="1" x14ac:dyDescent="0.3">
      <c r="A3" s="325"/>
    </row>
    <row r="4" spans="1:6" s="211" customFormat="1" ht="15.75" customHeight="1" thickBot="1" x14ac:dyDescent="0.35">
      <c r="A4" s="211" t="s">
        <v>343</v>
      </c>
      <c r="B4" s="326" t="s">
        <v>22</v>
      </c>
      <c r="D4" s="327" t="s">
        <v>67</v>
      </c>
    </row>
    <row r="5" spans="1:6" ht="38.25" x14ac:dyDescent="0.25">
      <c r="A5" s="328" t="s">
        <v>33</v>
      </c>
      <c r="B5" s="329" t="s">
        <v>251</v>
      </c>
      <c r="C5" s="330" t="s">
        <v>344</v>
      </c>
      <c r="D5" s="331" t="s">
        <v>345</v>
      </c>
    </row>
    <row r="6" spans="1:6" x14ac:dyDescent="0.3">
      <c r="A6" s="332">
        <v>1</v>
      </c>
      <c r="B6" s="333" t="s">
        <v>74</v>
      </c>
      <c r="C6" s="334">
        <f>'2. RC'!E7</f>
        <v>43772972.150000006</v>
      </c>
      <c r="D6" s="335"/>
      <c r="E6" s="336"/>
    </row>
    <row r="7" spans="1:6" x14ac:dyDescent="0.3">
      <c r="A7" s="332">
        <v>2</v>
      </c>
      <c r="B7" s="337" t="s">
        <v>75</v>
      </c>
      <c r="C7" s="334">
        <f>'2. RC'!E8</f>
        <v>167630282.37</v>
      </c>
      <c r="D7" s="338"/>
      <c r="E7" s="336"/>
    </row>
    <row r="8" spans="1:6" x14ac:dyDescent="0.3">
      <c r="A8" s="332">
        <v>3</v>
      </c>
      <c r="B8" s="337" t="s">
        <v>76</v>
      </c>
      <c r="C8" s="334">
        <f>'2. RC'!E9</f>
        <v>25717316.330000002</v>
      </c>
      <c r="D8" s="338"/>
      <c r="E8" s="336"/>
    </row>
    <row r="9" spans="1:6" x14ac:dyDescent="0.3">
      <c r="A9" s="332">
        <v>4</v>
      </c>
      <c r="B9" s="337" t="s">
        <v>77</v>
      </c>
      <c r="C9" s="334">
        <f>'2. RC'!E10</f>
        <v>0</v>
      </c>
      <c r="D9" s="338"/>
      <c r="E9" s="336"/>
    </row>
    <row r="10" spans="1:6" x14ac:dyDescent="0.3">
      <c r="A10" s="332">
        <v>5</v>
      </c>
      <c r="B10" s="337" t="s">
        <v>78</v>
      </c>
      <c r="C10" s="334">
        <f>'2. RC'!E11</f>
        <v>86034475.840000004</v>
      </c>
      <c r="D10" s="338"/>
      <c r="E10" s="336"/>
    </row>
    <row r="11" spans="1:6" x14ac:dyDescent="0.3">
      <c r="A11" s="332">
        <v>6.1</v>
      </c>
      <c r="B11" s="337" t="s">
        <v>79</v>
      </c>
      <c r="C11" s="339">
        <f>'2. RC'!E12</f>
        <v>927340972.31000209</v>
      </c>
      <c r="D11" s="340"/>
      <c r="E11" s="341"/>
    </row>
    <row r="12" spans="1:6" x14ac:dyDescent="0.3">
      <c r="A12" s="332">
        <v>6.2</v>
      </c>
      <c r="B12" s="342" t="s">
        <v>80</v>
      </c>
      <c r="C12" s="339">
        <f>'2. RC'!E13</f>
        <v>-54819486.380000547</v>
      </c>
      <c r="D12" s="340"/>
      <c r="E12" s="341"/>
    </row>
    <row r="13" spans="1:6" x14ac:dyDescent="0.3">
      <c r="A13" s="332" t="s">
        <v>346</v>
      </c>
      <c r="B13" s="343" t="s">
        <v>347</v>
      </c>
      <c r="C13" s="344">
        <v>-14110771.21000004</v>
      </c>
      <c r="D13" s="340"/>
      <c r="E13" s="341"/>
    </row>
    <row r="14" spans="1:6" x14ac:dyDescent="0.3">
      <c r="A14" s="332" t="s">
        <v>348</v>
      </c>
      <c r="B14" s="343" t="s">
        <v>349</v>
      </c>
      <c r="C14" s="344">
        <v>-1260982.71</v>
      </c>
      <c r="D14" s="340"/>
      <c r="E14" s="341"/>
    </row>
    <row r="15" spans="1:6" x14ac:dyDescent="0.3">
      <c r="A15" s="332">
        <v>6</v>
      </c>
      <c r="B15" s="337" t="s">
        <v>81</v>
      </c>
      <c r="C15" s="345">
        <f>C11+C12</f>
        <v>872521485.9300015</v>
      </c>
      <c r="D15" s="340"/>
      <c r="E15" s="336"/>
    </row>
    <row r="16" spans="1:6" x14ac:dyDescent="0.3">
      <c r="A16" s="332">
        <v>7</v>
      </c>
      <c r="B16" s="337" t="s">
        <v>82</v>
      </c>
      <c r="C16" s="346">
        <f>'2. RC'!E15</f>
        <v>11654488.269999994</v>
      </c>
      <c r="D16" s="338"/>
      <c r="E16" s="336"/>
    </row>
    <row r="17" spans="1:5" x14ac:dyDescent="0.3">
      <c r="A17" s="332">
        <v>8</v>
      </c>
      <c r="B17" s="337" t="s">
        <v>83</v>
      </c>
      <c r="C17" s="346">
        <f>'2. RC'!E16</f>
        <v>2925491.7600000296</v>
      </c>
      <c r="D17" s="338"/>
      <c r="E17" s="336"/>
    </row>
    <row r="18" spans="1:5" x14ac:dyDescent="0.3">
      <c r="A18" s="332">
        <v>9</v>
      </c>
      <c r="B18" s="337" t="s">
        <v>84</v>
      </c>
      <c r="C18" s="346">
        <f>'2. RC'!E17</f>
        <v>0</v>
      </c>
      <c r="D18" s="338"/>
      <c r="E18" s="336"/>
    </row>
    <row r="19" spans="1:5" x14ac:dyDescent="0.3">
      <c r="A19" s="332">
        <v>9.1</v>
      </c>
      <c r="B19" s="343" t="s">
        <v>350</v>
      </c>
      <c r="C19" s="346">
        <v>0</v>
      </c>
      <c r="D19" s="338"/>
      <c r="E19" s="336"/>
    </row>
    <row r="20" spans="1:5" x14ac:dyDescent="0.3">
      <c r="A20" s="332">
        <v>9.1999999999999993</v>
      </c>
      <c r="B20" s="343" t="s">
        <v>351</v>
      </c>
      <c r="C20" s="346">
        <v>0</v>
      </c>
      <c r="D20" s="338"/>
      <c r="E20" s="336"/>
    </row>
    <row r="21" spans="1:5" x14ac:dyDescent="0.3">
      <c r="A21" s="332">
        <v>9.3000000000000007</v>
      </c>
      <c r="B21" s="343" t="s">
        <v>352</v>
      </c>
      <c r="C21" s="346">
        <v>0</v>
      </c>
      <c r="D21" s="338"/>
      <c r="E21" s="336"/>
    </row>
    <row r="22" spans="1:5" x14ac:dyDescent="0.3">
      <c r="A22" s="332">
        <v>10</v>
      </c>
      <c r="B22" s="337" t="s">
        <v>85</v>
      </c>
      <c r="C22" s="346">
        <f>'2. RC'!E18</f>
        <v>46763488.780000001</v>
      </c>
      <c r="D22" s="338"/>
      <c r="E22" s="336"/>
    </row>
    <row r="23" spans="1:5" x14ac:dyDescent="0.3">
      <c r="A23" s="332">
        <v>10.1</v>
      </c>
      <c r="B23" s="343" t="s">
        <v>353</v>
      </c>
      <c r="C23" s="346">
        <f>'9. Capital'!C15</f>
        <v>22952848</v>
      </c>
      <c r="D23" s="347" t="s">
        <v>354</v>
      </c>
      <c r="E23" s="336"/>
    </row>
    <row r="24" spans="1:5" x14ac:dyDescent="0.3">
      <c r="A24" s="332">
        <v>11</v>
      </c>
      <c r="B24" s="348" t="s">
        <v>86</v>
      </c>
      <c r="C24" s="349">
        <f>'2. RC'!E19</f>
        <v>6701337.0199999996</v>
      </c>
      <c r="D24" s="338"/>
      <c r="E24" s="336"/>
    </row>
    <row r="25" spans="1:5" x14ac:dyDescent="0.3">
      <c r="A25" s="332">
        <v>12</v>
      </c>
      <c r="B25" s="350" t="s">
        <v>87</v>
      </c>
      <c r="C25" s="351">
        <f>SUM(C6:C10,C15:C18,C22,C24)</f>
        <v>1263721338.4500015</v>
      </c>
      <c r="D25" s="352"/>
      <c r="E25" s="353"/>
    </row>
    <row r="26" spans="1:5" x14ac:dyDescent="0.3">
      <c r="A26" s="332">
        <v>13</v>
      </c>
      <c r="B26" s="337" t="s">
        <v>89</v>
      </c>
      <c r="C26" s="354">
        <f>'2. RC'!E22</f>
        <v>10928869.77</v>
      </c>
      <c r="D26" s="355"/>
      <c r="E26" s="336"/>
    </row>
    <row r="27" spans="1:5" x14ac:dyDescent="0.3">
      <c r="A27" s="332">
        <v>14</v>
      </c>
      <c r="B27" s="337" t="s">
        <v>90</v>
      </c>
      <c r="C27" s="354">
        <f>'2. RC'!E23</f>
        <v>221797468.66999671</v>
      </c>
      <c r="D27" s="338"/>
      <c r="E27" s="336"/>
    </row>
    <row r="28" spans="1:5" x14ac:dyDescent="0.3">
      <c r="A28" s="332">
        <v>15</v>
      </c>
      <c r="B28" s="337" t="s">
        <v>91</v>
      </c>
      <c r="C28" s="354">
        <f>'2. RC'!E24</f>
        <v>242803385.60999995</v>
      </c>
      <c r="D28" s="338"/>
      <c r="E28" s="336"/>
    </row>
    <row r="29" spans="1:5" x14ac:dyDescent="0.3">
      <c r="A29" s="332">
        <v>16</v>
      </c>
      <c r="B29" s="337" t="s">
        <v>92</v>
      </c>
      <c r="C29" s="354">
        <f>'2. RC'!E25</f>
        <v>394342029.49999994</v>
      </c>
      <c r="D29" s="338"/>
      <c r="E29" s="336"/>
    </row>
    <row r="30" spans="1:5" x14ac:dyDescent="0.3">
      <c r="A30" s="332">
        <v>17</v>
      </c>
      <c r="B30" s="337" t="s">
        <v>93</v>
      </c>
      <c r="C30" s="354">
        <f>'2. RC'!E26</f>
        <v>0</v>
      </c>
      <c r="D30" s="338"/>
      <c r="E30" s="336"/>
    </row>
    <row r="31" spans="1:5" x14ac:dyDescent="0.3">
      <c r="A31" s="332">
        <v>18</v>
      </c>
      <c r="B31" s="337" t="s">
        <v>94</v>
      </c>
      <c r="C31" s="354">
        <f>'2. RC'!E27</f>
        <v>178416060</v>
      </c>
      <c r="D31" s="338"/>
      <c r="E31" s="336"/>
    </row>
    <row r="32" spans="1:5" x14ac:dyDescent="0.3">
      <c r="A32" s="332">
        <v>19</v>
      </c>
      <c r="B32" s="337" t="s">
        <v>95</v>
      </c>
      <c r="C32" s="354">
        <f>'2. RC'!E28</f>
        <v>5802515.9399999939</v>
      </c>
      <c r="D32" s="338"/>
      <c r="E32" s="336"/>
    </row>
    <row r="33" spans="1:5" x14ac:dyDescent="0.3">
      <c r="A33" s="332">
        <v>20</v>
      </c>
      <c r="B33" s="337" t="s">
        <v>96</v>
      </c>
      <c r="C33" s="354">
        <f>'2. RC'!E29</f>
        <v>22902862.150000002</v>
      </c>
      <c r="D33" s="338"/>
      <c r="E33" s="336"/>
    </row>
    <row r="34" spans="1:5" x14ac:dyDescent="0.3">
      <c r="A34" s="332">
        <v>20.100000000000001</v>
      </c>
      <c r="B34" s="356" t="s">
        <v>355</v>
      </c>
      <c r="C34" s="357">
        <v>719802.47</v>
      </c>
      <c r="D34" s="338"/>
      <c r="E34" s="336"/>
    </row>
    <row r="35" spans="1:5" x14ac:dyDescent="0.3">
      <c r="A35" s="332">
        <v>21</v>
      </c>
      <c r="B35" s="348" t="s">
        <v>97</v>
      </c>
      <c r="C35" s="354">
        <f>'2. RC'!E30</f>
        <v>61233508.149999999</v>
      </c>
      <c r="D35" s="338"/>
      <c r="E35" s="336"/>
    </row>
    <row r="36" spans="1:5" x14ac:dyDescent="0.3">
      <c r="A36" s="332">
        <v>21.1</v>
      </c>
      <c r="B36" s="356" t="s">
        <v>356</v>
      </c>
      <c r="C36" s="354">
        <v>46288616.869999997</v>
      </c>
      <c r="D36" s="338"/>
      <c r="E36" s="336"/>
    </row>
    <row r="37" spans="1:5" x14ac:dyDescent="0.3">
      <c r="A37" s="332">
        <v>22</v>
      </c>
      <c r="B37" s="350" t="s">
        <v>98</v>
      </c>
      <c r="C37" s="351">
        <f>SUM(C26:C33)+C35</f>
        <v>1138226699.7899966</v>
      </c>
      <c r="D37" s="352"/>
      <c r="E37" s="353"/>
    </row>
    <row r="38" spans="1:5" x14ac:dyDescent="0.3">
      <c r="A38" s="332">
        <v>23</v>
      </c>
      <c r="B38" s="348" t="s">
        <v>100</v>
      </c>
      <c r="C38" s="346">
        <f>'2. RC'!E33</f>
        <v>121372000</v>
      </c>
      <c r="D38" s="338"/>
      <c r="E38" s="336"/>
    </row>
    <row r="39" spans="1:5" x14ac:dyDescent="0.3">
      <c r="A39" s="332">
        <v>24</v>
      </c>
      <c r="B39" s="348" t="s">
        <v>101</v>
      </c>
      <c r="C39" s="358">
        <f>'2. RC'!E34</f>
        <v>0</v>
      </c>
      <c r="D39" s="338"/>
      <c r="E39" s="336"/>
    </row>
    <row r="40" spans="1:5" x14ac:dyDescent="0.3">
      <c r="A40" s="332">
        <v>25</v>
      </c>
      <c r="B40" s="348" t="s">
        <v>357</v>
      </c>
      <c r="C40" s="358">
        <f>'2. RC'!E35</f>
        <v>0</v>
      </c>
      <c r="D40" s="338"/>
      <c r="E40" s="336"/>
    </row>
    <row r="41" spans="1:5" x14ac:dyDescent="0.3">
      <c r="A41" s="332">
        <v>26</v>
      </c>
      <c r="B41" s="348" t="s">
        <v>103</v>
      </c>
      <c r="C41" s="358">
        <f>'2. RC'!E36</f>
        <v>0</v>
      </c>
      <c r="D41" s="338"/>
      <c r="E41" s="336"/>
    </row>
    <row r="42" spans="1:5" x14ac:dyDescent="0.3">
      <c r="A42" s="332">
        <v>27</v>
      </c>
      <c r="B42" s="348" t="s">
        <v>104</v>
      </c>
      <c r="C42" s="358">
        <f>'2. RC'!E37</f>
        <v>0</v>
      </c>
      <c r="D42" s="338"/>
      <c r="E42" s="336"/>
    </row>
    <row r="43" spans="1:5" x14ac:dyDescent="0.3">
      <c r="A43" s="332">
        <v>28</v>
      </c>
      <c r="B43" s="348" t="s">
        <v>105</v>
      </c>
      <c r="C43" s="359">
        <f>'2. RC'!E38</f>
        <v>4122637.9500000095</v>
      </c>
      <c r="D43" s="338"/>
      <c r="E43" s="336"/>
    </row>
    <row r="44" spans="1:5" x14ac:dyDescent="0.3">
      <c r="A44" s="332">
        <v>29</v>
      </c>
      <c r="B44" s="348" t="s">
        <v>278</v>
      </c>
      <c r="C44" s="358">
        <f>'2. RC'!E39</f>
        <v>0</v>
      </c>
      <c r="D44" s="338"/>
      <c r="E44" s="336"/>
    </row>
    <row r="45" spans="1:5" ht="16.5" thickBot="1" x14ac:dyDescent="0.35">
      <c r="A45" s="360">
        <v>30</v>
      </c>
      <c r="B45" s="361" t="s">
        <v>107</v>
      </c>
      <c r="C45" s="362">
        <f>SUM(C38:C44)</f>
        <v>125494637.95</v>
      </c>
      <c r="D45" s="363"/>
      <c r="E45" s="353"/>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2" tint="-0.249977111117893"/>
    <pageSetUpPr fitToPage="1"/>
  </sheetPr>
  <dimension ref="A1:U25"/>
  <sheetViews>
    <sheetView zoomScale="71" zoomScaleNormal="71" workbookViewId="0">
      <pane xSplit="2" ySplit="7" topLeftCell="J8"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ColWidth="9.140625" defaultRowHeight="12.75" x14ac:dyDescent="0.2"/>
  <cols>
    <col min="1" max="1" width="10.5703125" style="22" bestFit="1" customWidth="1"/>
    <col min="2" max="2" width="105.140625" style="22" bestFit="1" customWidth="1"/>
    <col min="3" max="3" width="16.28515625" style="22" bestFit="1" customWidth="1"/>
    <col min="4" max="4" width="13.42578125" style="22" bestFit="1" customWidth="1"/>
    <col min="5" max="5" width="16.140625" style="22" bestFit="1" customWidth="1"/>
    <col min="6" max="6" width="13.42578125" style="22" bestFit="1" customWidth="1"/>
    <col min="7" max="7" width="12.5703125" style="22" customWidth="1"/>
    <col min="8" max="8" width="13.42578125" style="22" bestFit="1" customWidth="1"/>
    <col min="9" max="9" width="15.5703125" style="22" bestFit="1" customWidth="1"/>
    <col min="10" max="10" width="13.42578125" style="22" bestFit="1" customWidth="1"/>
    <col min="11" max="11" width="17" style="22" bestFit="1" customWidth="1"/>
    <col min="12" max="12" width="14.7109375" style="22" bestFit="1" customWidth="1"/>
    <col min="13" max="13" width="17.28515625" style="22" bestFit="1" customWidth="1"/>
    <col min="14" max="14" width="16.28515625" style="22" bestFit="1" customWidth="1"/>
    <col min="15" max="15" width="15.140625" style="22" bestFit="1" customWidth="1"/>
    <col min="16" max="16" width="13.42578125" style="22" bestFit="1" customWidth="1"/>
    <col min="17" max="17" width="9.5703125" style="22" bestFit="1" customWidth="1"/>
    <col min="18" max="18" width="13.42578125" style="22" bestFit="1" customWidth="1"/>
    <col min="19" max="19" width="33.140625" style="22" bestFit="1" customWidth="1"/>
    <col min="20" max="20" width="12.5703125" style="123" bestFit="1" customWidth="1"/>
    <col min="21" max="21" width="11.7109375" style="123" bestFit="1" customWidth="1"/>
    <col min="22" max="16384" width="9.140625" style="123"/>
  </cols>
  <sheetData>
    <row r="1" spans="1:21" x14ac:dyDescent="0.2">
      <c r="A1" s="22" t="s">
        <v>29</v>
      </c>
      <c r="B1" s="22" t="str">
        <f>'1. key ratios'!B1</f>
        <v>სს ტერაბანკი</v>
      </c>
    </row>
    <row r="2" spans="1:21" x14ac:dyDescent="0.2">
      <c r="A2" s="22" t="s">
        <v>31</v>
      </c>
      <c r="B2" s="82">
        <v>44196</v>
      </c>
    </row>
    <row r="4" spans="1:21" ht="26.25" thickBot="1" x14ac:dyDescent="0.25">
      <c r="A4" s="364" t="s">
        <v>358</v>
      </c>
      <c r="B4" s="365" t="s">
        <v>359</v>
      </c>
    </row>
    <row r="5" spans="1:21" x14ac:dyDescent="0.2">
      <c r="A5" s="366"/>
      <c r="B5" s="367"/>
      <c r="C5" s="368" t="s">
        <v>248</v>
      </c>
      <c r="D5" s="368" t="s">
        <v>249</v>
      </c>
      <c r="E5" s="368" t="s">
        <v>250</v>
      </c>
      <c r="F5" s="368" t="s">
        <v>360</v>
      </c>
      <c r="G5" s="368" t="s">
        <v>361</v>
      </c>
      <c r="H5" s="368" t="s">
        <v>362</v>
      </c>
      <c r="I5" s="368" t="s">
        <v>363</v>
      </c>
      <c r="J5" s="368" t="s">
        <v>364</v>
      </c>
      <c r="K5" s="368" t="s">
        <v>365</v>
      </c>
      <c r="L5" s="368" t="s">
        <v>366</v>
      </c>
      <c r="M5" s="368" t="s">
        <v>367</v>
      </c>
      <c r="N5" s="368" t="s">
        <v>368</v>
      </c>
      <c r="O5" s="368" t="s">
        <v>369</v>
      </c>
      <c r="P5" s="368" t="s">
        <v>370</v>
      </c>
      <c r="Q5" s="368" t="s">
        <v>371</v>
      </c>
      <c r="R5" s="369" t="s">
        <v>372</v>
      </c>
      <c r="S5" s="370" t="s">
        <v>373</v>
      </c>
    </row>
    <row r="6" spans="1:21" ht="46.5" customHeight="1" x14ac:dyDescent="0.2">
      <c r="A6" s="371"/>
      <c r="B6" s="600" t="s">
        <v>374</v>
      </c>
      <c r="C6" s="596">
        <v>0</v>
      </c>
      <c r="D6" s="597"/>
      <c r="E6" s="596">
        <v>0.2</v>
      </c>
      <c r="F6" s="597"/>
      <c r="G6" s="596">
        <v>0.35</v>
      </c>
      <c r="H6" s="597"/>
      <c r="I6" s="596">
        <v>0.5</v>
      </c>
      <c r="J6" s="597"/>
      <c r="K6" s="596">
        <v>0.75</v>
      </c>
      <c r="L6" s="597"/>
      <c r="M6" s="596">
        <v>1</v>
      </c>
      <c r="N6" s="597"/>
      <c r="O6" s="596">
        <v>1.5</v>
      </c>
      <c r="P6" s="597"/>
      <c r="Q6" s="596">
        <v>2.5</v>
      </c>
      <c r="R6" s="597"/>
      <c r="S6" s="598" t="s">
        <v>375</v>
      </c>
    </row>
    <row r="7" spans="1:21" x14ac:dyDescent="0.2">
      <c r="A7" s="371"/>
      <c r="B7" s="601"/>
      <c r="C7" s="372" t="s">
        <v>376</v>
      </c>
      <c r="D7" s="372" t="s">
        <v>377</v>
      </c>
      <c r="E7" s="372" t="s">
        <v>376</v>
      </c>
      <c r="F7" s="372" t="s">
        <v>377</v>
      </c>
      <c r="G7" s="372" t="s">
        <v>376</v>
      </c>
      <c r="H7" s="372" t="s">
        <v>377</v>
      </c>
      <c r="I7" s="372" t="s">
        <v>376</v>
      </c>
      <c r="J7" s="372" t="s">
        <v>377</v>
      </c>
      <c r="K7" s="372" t="s">
        <v>376</v>
      </c>
      <c r="L7" s="372" t="s">
        <v>377</v>
      </c>
      <c r="M7" s="372" t="s">
        <v>376</v>
      </c>
      <c r="N7" s="372" t="s">
        <v>377</v>
      </c>
      <c r="O7" s="372" t="s">
        <v>376</v>
      </c>
      <c r="P7" s="372" t="s">
        <v>377</v>
      </c>
      <c r="Q7" s="372" t="s">
        <v>376</v>
      </c>
      <c r="R7" s="372" t="s">
        <v>377</v>
      </c>
      <c r="S7" s="599"/>
    </row>
    <row r="8" spans="1:21" s="379" customFormat="1" x14ac:dyDescent="0.2">
      <c r="A8" s="373">
        <v>1</v>
      </c>
      <c r="B8" s="374" t="s">
        <v>378</v>
      </c>
      <c r="C8" s="375">
        <v>101613408.92999999</v>
      </c>
      <c r="D8" s="375"/>
      <c r="E8" s="375">
        <v>0</v>
      </c>
      <c r="F8" s="376"/>
      <c r="G8" s="375">
        <v>0</v>
      </c>
      <c r="H8" s="375"/>
      <c r="I8" s="375">
        <v>0</v>
      </c>
      <c r="J8" s="375"/>
      <c r="K8" s="375">
        <v>0</v>
      </c>
      <c r="L8" s="375"/>
      <c r="M8" s="375">
        <v>150957345.62</v>
      </c>
      <c r="N8" s="375"/>
      <c r="O8" s="375">
        <v>0</v>
      </c>
      <c r="P8" s="375"/>
      <c r="Q8" s="375">
        <v>0</v>
      </c>
      <c r="R8" s="376"/>
      <c r="S8" s="377">
        <f>$C$6*SUM(C8:D8)+$E$6*SUM(E8:F8)+$G$6*SUM(G8:H8)+$I$6*SUM(I8:J8)+$K$6*SUM(K8:L8)+$M$6*SUM(M8:N8)+$O$6*SUM(O8:P8)+$Q$6*SUM(Q8:R8)</f>
        <v>150957345.62</v>
      </c>
      <c r="T8" s="378"/>
      <c r="U8" s="378"/>
    </row>
    <row r="9" spans="1:21" s="379" customFormat="1" x14ac:dyDescent="0.2">
      <c r="A9" s="373">
        <v>2</v>
      </c>
      <c r="B9" s="374" t="s">
        <v>379</v>
      </c>
      <c r="C9" s="375">
        <v>0</v>
      </c>
      <c r="D9" s="375"/>
      <c r="E9" s="375">
        <v>0</v>
      </c>
      <c r="F9" s="375"/>
      <c r="G9" s="375">
        <v>0</v>
      </c>
      <c r="H9" s="375"/>
      <c r="I9" s="375">
        <v>0</v>
      </c>
      <c r="J9" s="375"/>
      <c r="K9" s="375">
        <v>0</v>
      </c>
      <c r="L9" s="375"/>
      <c r="M9" s="375">
        <v>0</v>
      </c>
      <c r="N9" s="375"/>
      <c r="O9" s="375">
        <v>0</v>
      </c>
      <c r="P9" s="375"/>
      <c r="Q9" s="375">
        <v>0</v>
      </c>
      <c r="R9" s="376"/>
      <c r="S9" s="380">
        <f t="shared" ref="S9:S21" si="0">$C$6*SUM(C9:D9)+$E$6*SUM(E9:F9)+$G$6*SUM(G9:H9)+$I$6*SUM(I9:J9)+$K$6*SUM(K9:L9)+$M$6*SUM(M9:N9)+$O$6*SUM(O9:P9)+$Q$6*SUM(Q9:R9)</f>
        <v>0</v>
      </c>
      <c r="T9" s="378"/>
      <c r="U9" s="378"/>
    </row>
    <row r="10" spans="1:21" s="379" customFormat="1" x14ac:dyDescent="0.2">
      <c r="A10" s="373">
        <v>3</v>
      </c>
      <c r="B10" s="374" t="s">
        <v>380</v>
      </c>
      <c r="C10" s="375">
        <v>0</v>
      </c>
      <c r="D10" s="375"/>
      <c r="E10" s="375">
        <v>0</v>
      </c>
      <c r="F10" s="375"/>
      <c r="G10" s="375">
        <v>0</v>
      </c>
      <c r="H10" s="375"/>
      <c r="I10" s="375">
        <v>0</v>
      </c>
      <c r="J10" s="375"/>
      <c r="K10" s="375">
        <v>0</v>
      </c>
      <c r="L10" s="375"/>
      <c r="M10" s="375">
        <v>0</v>
      </c>
      <c r="N10" s="375"/>
      <c r="O10" s="375">
        <v>0</v>
      </c>
      <c r="P10" s="375"/>
      <c r="Q10" s="375">
        <v>0</v>
      </c>
      <c r="R10" s="376"/>
      <c r="S10" s="380">
        <f t="shared" si="0"/>
        <v>0</v>
      </c>
      <c r="T10" s="378"/>
      <c r="U10" s="378"/>
    </row>
    <row r="11" spans="1:21" s="379" customFormat="1" x14ac:dyDescent="0.2">
      <c r="A11" s="373">
        <v>4</v>
      </c>
      <c r="B11" s="374" t="s">
        <v>381</v>
      </c>
      <c r="C11" s="375">
        <v>0</v>
      </c>
      <c r="D11" s="375"/>
      <c r="E11" s="375">
        <v>0</v>
      </c>
      <c r="F11" s="375"/>
      <c r="G11" s="375">
        <v>0</v>
      </c>
      <c r="H11" s="375"/>
      <c r="I11" s="375">
        <v>0</v>
      </c>
      <c r="J11" s="375"/>
      <c r="K11" s="375">
        <v>0</v>
      </c>
      <c r="L11" s="375"/>
      <c r="M11" s="375">
        <v>0</v>
      </c>
      <c r="N11" s="375"/>
      <c r="O11" s="375">
        <v>0</v>
      </c>
      <c r="P11" s="375"/>
      <c r="Q11" s="375">
        <v>0</v>
      </c>
      <c r="R11" s="376"/>
      <c r="S11" s="380">
        <f t="shared" si="0"/>
        <v>0</v>
      </c>
      <c r="T11" s="378"/>
      <c r="U11" s="378"/>
    </row>
    <row r="12" spans="1:21" s="379" customFormat="1" x14ac:dyDescent="0.2">
      <c r="A12" s="373">
        <v>5</v>
      </c>
      <c r="B12" s="374" t="s">
        <v>382</v>
      </c>
      <c r="C12" s="375">
        <v>0</v>
      </c>
      <c r="D12" s="375"/>
      <c r="E12" s="375">
        <v>0</v>
      </c>
      <c r="F12" s="375"/>
      <c r="G12" s="375">
        <v>0</v>
      </c>
      <c r="H12" s="375"/>
      <c r="I12" s="375">
        <v>0</v>
      </c>
      <c r="J12" s="375"/>
      <c r="K12" s="375">
        <v>0</v>
      </c>
      <c r="L12" s="375"/>
      <c r="M12" s="375">
        <v>0</v>
      </c>
      <c r="N12" s="375"/>
      <c r="O12" s="375">
        <v>0</v>
      </c>
      <c r="P12" s="375"/>
      <c r="Q12" s="375">
        <v>0</v>
      </c>
      <c r="R12" s="376"/>
      <c r="S12" s="380">
        <f t="shared" si="0"/>
        <v>0</v>
      </c>
      <c r="T12" s="378"/>
      <c r="U12" s="378"/>
    </row>
    <row r="13" spans="1:21" s="379" customFormat="1" x14ac:dyDescent="0.2">
      <c r="A13" s="373">
        <v>6</v>
      </c>
      <c r="B13" s="374" t="s">
        <v>383</v>
      </c>
      <c r="C13" s="375">
        <v>0</v>
      </c>
      <c r="D13" s="375"/>
      <c r="E13" s="375">
        <v>19793834.440000001</v>
      </c>
      <c r="F13" s="375"/>
      <c r="G13" s="375">
        <v>0</v>
      </c>
      <c r="H13" s="375"/>
      <c r="I13" s="375">
        <v>2572014.5899999994</v>
      </c>
      <c r="J13" s="375"/>
      <c r="K13" s="375">
        <v>0</v>
      </c>
      <c r="L13" s="375"/>
      <c r="M13" s="375">
        <v>3351467.3000000003</v>
      </c>
      <c r="N13" s="375"/>
      <c r="O13" s="375">
        <v>0</v>
      </c>
      <c r="P13" s="375"/>
      <c r="Q13" s="375">
        <v>0</v>
      </c>
      <c r="R13" s="376"/>
      <c r="S13" s="380">
        <f t="shared" si="0"/>
        <v>8596241.4830000009</v>
      </c>
      <c r="T13" s="378"/>
      <c r="U13" s="378"/>
    </row>
    <row r="14" spans="1:21" s="379" customFormat="1" x14ac:dyDescent="0.2">
      <c r="A14" s="373">
        <v>7</v>
      </c>
      <c r="B14" s="374" t="s">
        <v>384</v>
      </c>
      <c r="C14" s="375">
        <v>0</v>
      </c>
      <c r="D14" s="375"/>
      <c r="E14" s="375">
        <v>0</v>
      </c>
      <c r="F14" s="375"/>
      <c r="G14" s="375">
        <v>0</v>
      </c>
      <c r="H14" s="375"/>
      <c r="I14" s="375">
        <v>0</v>
      </c>
      <c r="J14" s="375"/>
      <c r="K14" s="375">
        <v>0</v>
      </c>
      <c r="L14" s="375"/>
      <c r="M14" s="375">
        <v>453818561.23000157</v>
      </c>
      <c r="N14" s="375">
        <v>28768113.194999993</v>
      </c>
      <c r="O14" s="375">
        <v>0</v>
      </c>
      <c r="P14" s="375"/>
      <c r="Q14" s="375">
        <v>0</v>
      </c>
      <c r="R14" s="376"/>
      <c r="S14" s="380">
        <f t="shared" si="0"/>
        <v>482586674.42500156</v>
      </c>
      <c r="T14" s="378"/>
      <c r="U14" s="378"/>
    </row>
    <row r="15" spans="1:21" s="379" customFormat="1" x14ac:dyDescent="0.2">
      <c r="A15" s="373">
        <v>8</v>
      </c>
      <c r="B15" s="374" t="s">
        <v>385</v>
      </c>
      <c r="C15" s="375">
        <v>0</v>
      </c>
      <c r="D15" s="375"/>
      <c r="E15" s="375">
        <v>0</v>
      </c>
      <c r="F15" s="375"/>
      <c r="G15" s="375">
        <v>0</v>
      </c>
      <c r="H15" s="375"/>
      <c r="I15" s="375">
        <v>0</v>
      </c>
      <c r="J15" s="375"/>
      <c r="K15" s="375">
        <v>272727893.78999937</v>
      </c>
      <c r="L15" s="375">
        <v>7203906.1569999969</v>
      </c>
      <c r="M15" s="375">
        <v>0</v>
      </c>
      <c r="N15" s="375"/>
      <c r="O15" s="375">
        <v>0</v>
      </c>
      <c r="P15" s="375"/>
      <c r="Q15" s="375">
        <v>0</v>
      </c>
      <c r="R15" s="376"/>
      <c r="S15" s="380">
        <f t="shared" si="0"/>
        <v>209948849.96024954</v>
      </c>
      <c r="T15" s="378"/>
      <c r="U15" s="378"/>
    </row>
    <row r="16" spans="1:21" s="379" customFormat="1" x14ac:dyDescent="0.2">
      <c r="A16" s="373">
        <v>9</v>
      </c>
      <c r="B16" s="374" t="s">
        <v>386</v>
      </c>
      <c r="C16" s="375">
        <v>0</v>
      </c>
      <c r="D16" s="375"/>
      <c r="E16" s="375">
        <v>0</v>
      </c>
      <c r="F16" s="375"/>
      <c r="G16" s="375">
        <v>122765557.20000011</v>
      </c>
      <c r="H16" s="375">
        <v>829258.96</v>
      </c>
      <c r="I16" s="375">
        <v>0</v>
      </c>
      <c r="J16" s="375"/>
      <c r="K16" s="375">
        <v>0</v>
      </c>
      <c r="L16" s="375"/>
      <c r="M16" s="375">
        <v>0</v>
      </c>
      <c r="N16" s="375"/>
      <c r="O16" s="375">
        <v>0</v>
      </c>
      <c r="P16" s="375"/>
      <c r="Q16" s="375">
        <v>0</v>
      </c>
      <c r="R16" s="376"/>
      <c r="S16" s="380">
        <f t="shared" si="0"/>
        <v>43258185.656000033</v>
      </c>
      <c r="T16" s="378"/>
      <c r="U16" s="378"/>
    </row>
    <row r="17" spans="1:21" s="379" customFormat="1" x14ac:dyDescent="0.2">
      <c r="A17" s="373">
        <v>10</v>
      </c>
      <c r="B17" s="374" t="s">
        <v>387</v>
      </c>
      <c r="C17" s="375">
        <v>0</v>
      </c>
      <c r="D17" s="375"/>
      <c r="E17" s="375">
        <v>0</v>
      </c>
      <c r="F17" s="375"/>
      <c r="G17" s="375">
        <v>0</v>
      </c>
      <c r="H17" s="375"/>
      <c r="I17" s="375">
        <v>2956663.209999999</v>
      </c>
      <c r="J17" s="375"/>
      <c r="K17" s="375">
        <v>0</v>
      </c>
      <c r="L17" s="375"/>
      <c r="M17" s="375">
        <v>6122968.1699999925</v>
      </c>
      <c r="N17" s="375"/>
      <c r="O17" s="375">
        <v>61088.109999999993</v>
      </c>
      <c r="P17" s="375"/>
      <c r="Q17" s="375">
        <v>0</v>
      </c>
      <c r="R17" s="376"/>
      <c r="S17" s="380">
        <f t="shared" si="0"/>
        <v>7692931.939999992</v>
      </c>
      <c r="T17" s="378"/>
      <c r="U17" s="378"/>
    </row>
    <row r="18" spans="1:21" s="379" customFormat="1" x14ac:dyDescent="0.2">
      <c r="A18" s="373">
        <v>11</v>
      </c>
      <c r="B18" s="374" t="s">
        <v>388</v>
      </c>
      <c r="C18" s="375">
        <v>0</v>
      </c>
      <c r="D18" s="375"/>
      <c r="E18" s="375">
        <v>0</v>
      </c>
      <c r="F18" s="375"/>
      <c r="G18" s="375">
        <v>0</v>
      </c>
      <c r="H18" s="375"/>
      <c r="I18" s="375">
        <v>0</v>
      </c>
      <c r="J18" s="375"/>
      <c r="K18" s="375">
        <v>0</v>
      </c>
      <c r="L18" s="375"/>
      <c r="M18" s="375">
        <v>37462488.98999998</v>
      </c>
      <c r="N18" s="375"/>
      <c r="O18" s="375">
        <v>8652552.2700000778</v>
      </c>
      <c r="P18" s="375"/>
      <c r="Q18" s="375">
        <v>0</v>
      </c>
      <c r="R18" s="376"/>
      <c r="S18" s="380">
        <f t="shared" si="0"/>
        <v>50441317.3950001</v>
      </c>
      <c r="T18" s="378"/>
      <c r="U18" s="378"/>
    </row>
    <row r="19" spans="1:21" s="379" customFormat="1" x14ac:dyDescent="0.2">
      <c r="A19" s="373">
        <v>12</v>
      </c>
      <c r="B19" s="374" t="s">
        <v>389</v>
      </c>
      <c r="C19" s="375">
        <v>0</v>
      </c>
      <c r="D19" s="375"/>
      <c r="E19" s="375">
        <v>0</v>
      </c>
      <c r="F19" s="375"/>
      <c r="G19" s="375">
        <v>0</v>
      </c>
      <c r="H19" s="375"/>
      <c r="I19" s="375">
        <v>0</v>
      </c>
      <c r="J19" s="375"/>
      <c r="K19" s="375">
        <v>0</v>
      </c>
      <c r="L19" s="375"/>
      <c r="M19" s="375">
        <v>0</v>
      </c>
      <c r="N19" s="375"/>
      <c r="O19" s="375">
        <v>0</v>
      </c>
      <c r="P19" s="375"/>
      <c r="Q19" s="375">
        <v>0</v>
      </c>
      <c r="R19" s="376"/>
      <c r="S19" s="380">
        <f t="shared" si="0"/>
        <v>0</v>
      </c>
      <c r="T19" s="378"/>
      <c r="U19" s="378"/>
    </row>
    <row r="20" spans="1:21" s="379" customFormat="1" x14ac:dyDescent="0.2">
      <c r="A20" s="373">
        <v>13</v>
      </c>
      <c r="B20" s="374" t="s">
        <v>390</v>
      </c>
      <c r="C20" s="375">
        <v>0</v>
      </c>
      <c r="D20" s="375"/>
      <c r="E20" s="375">
        <v>0</v>
      </c>
      <c r="F20" s="375"/>
      <c r="G20" s="375">
        <v>0</v>
      </c>
      <c r="H20" s="375"/>
      <c r="I20" s="375">
        <v>0</v>
      </c>
      <c r="J20" s="375"/>
      <c r="K20" s="375">
        <v>0</v>
      </c>
      <c r="L20" s="375"/>
      <c r="M20" s="375">
        <v>0</v>
      </c>
      <c r="N20" s="375"/>
      <c r="O20" s="375">
        <v>0</v>
      </c>
      <c r="P20" s="375"/>
      <c r="Q20" s="375">
        <v>0</v>
      </c>
      <c r="R20" s="376"/>
      <c r="S20" s="380">
        <f t="shared" si="0"/>
        <v>0</v>
      </c>
      <c r="T20" s="378"/>
      <c r="U20" s="378"/>
    </row>
    <row r="21" spans="1:21" s="379" customFormat="1" x14ac:dyDescent="0.2">
      <c r="A21" s="373">
        <v>14</v>
      </c>
      <c r="B21" s="374" t="s">
        <v>391</v>
      </c>
      <c r="C21" s="375">
        <v>43580224.990000002</v>
      </c>
      <c r="D21" s="375"/>
      <c r="E21" s="375">
        <v>192747.15999999997</v>
      </c>
      <c r="F21" s="375"/>
      <c r="G21" s="375">
        <v>0</v>
      </c>
      <c r="H21" s="375"/>
      <c r="I21" s="375">
        <v>0</v>
      </c>
      <c r="J21" s="375">
        <v>0</v>
      </c>
      <c r="K21" s="375">
        <v>0</v>
      </c>
      <c r="L21" s="375"/>
      <c r="M21" s="375">
        <v>30910530.60999997</v>
      </c>
      <c r="N21" s="375">
        <v>0</v>
      </c>
      <c r="O21" s="375">
        <v>0</v>
      </c>
      <c r="P21" s="375"/>
      <c r="Q21" s="375">
        <v>0</v>
      </c>
      <c r="R21" s="376"/>
      <c r="S21" s="380">
        <f t="shared" si="0"/>
        <v>30949080.04199997</v>
      </c>
      <c r="T21" s="378"/>
      <c r="U21" s="378"/>
    </row>
    <row r="22" spans="1:21" ht="13.5" thickBot="1" x14ac:dyDescent="0.25">
      <c r="A22" s="381"/>
      <c r="B22" s="382" t="s">
        <v>73</v>
      </c>
      <c r="C22" s="383">
        <f>SUM(C8:C21)</f>
        <v>145193633.91999999</v>
      </c>
      <c r="D22" s="383">
        <f t="shared" ref="D22:S22" si="1">SUM(D8:D21)</f>
        <v>0</v>
      </c>
      <c r="E22" s="383">
        <f t="shared" si="1"/>
        <v>19986581.600000001</v>
      </c>
      <c r="F22" s="383">
        <f t="shared" si="1"/>
        <v>0</v>
      </c>
      <c r="G22" s="383">
        <f t="shared" si="1"/>
        <v>122765557.20000011</v>
      </c>
      <c r="H22" s="383">
        <f t="shared" si="1"/>
        <v>829258.96</v>
      </c>
      <c r="I22" s="383">
        <f>SUM(I8:I21)</f>
        <v>5528677.7999999989</v>
      </c>
      <c r="J22" s="383">
        <f t="shared" si="1"/>
        <v>0</v>
      </c>
      <c r="K22" s="383">
        <f t="shared" si="1"/>
        <v>272727893.78999937</v>
      </c>
      <c r="L22" s="383">
        <f t="shared" si="1"/>
        <v>7203906.1569999969</v>
      </c>
      <c r="M22" s="383">
        <f t="shared" si="1"/>
        <v>682623361.92000151</v>
      </c>
      <c r="N22" s="383">
        <f>SUM(N8:N21)</f>
        <v>28768113.194999993</v>
      </c>
      <c r="O22" s="383">
        <f t="shared" si="1"/>
        <v>8713640.3800000772</v>
      </c>
      <c r="P22" s="383">
        <f t="shared" si="1"/>
        <v>0</v>
      </c>
      <c r="Q22" s="383">
        <f t="shared" si="1"/>
        <v>0</v>
      </c>
      <c r="R22" s="383">
        <f t="shared" si="1"/>
        <v>0</v>
      </c>
      <c r="S22" s="384">
        <f t="shared" si="1"/>
        <v>984430626.52125108</v>
      </c>
      <c r="T22" s="385"/>
      <c r="U22" s="385"/>
    </row>
    <row r="23" spans="1:21" x14ac:dyDescent="0.2">
      <c r="T23" s="385"/>
      <c r="U23" s="385"/>
    </row>
    <row r="24" spans="1:21" x14ac:dyDescent="0.2">
      <c r="S24" s="183"/>
      <c r="T24" s="385"/>
      <c r="U24" s="385"/>
    </row>
    <row r="25" spans="1:21" x14ac:dyDescent="0.2">
      <c r="N25" s="240"/>
      <c r="S25" s="183"/>
      <c r="T25" s="385"/>
      <c r="U25" s="385"/>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2" tint="-0.249977111117893"/>
    <pageSetUpPr fitToPage="1"/>
  </sheetPr>
  <dimension ref="A1:V28"/>
  <sheetViews>
    <sheetView zoomScale="70" zoomScaleNormal="70" workbookViewId="0">
      <pane xSplit="2" ySplit="6" topLeftCell="P7"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ColWidth="9.140625" defaultRowHeight="12.75" x14ac:dyDescent="0.2"/>
  <cols>
    <col min="1" max="1" width="10.5703125" style="22" bestFit="1" customWidth="1"/>
    <col min="2" max="2" width="74.5703125" style="22" customWidth="1"/>
    <col min="3" max="3" width="19" style="22" customWidth="1"/>
    <col min="4" max="4" width="19.5703125" style="22" customWidth="1"/>
    <col min="5" max="5" width="31.140625" style="22" customWidth="1"/>
    <col min="6" max="6" width="29.140625" style="22" customWidth="1"/>
    <col min="7" max="7" width="28.5703125" style="22" customWidth="1"/>
    <col min="8" max="8" width="26.42578125" style="22" customWidth="1"/>
    <col min="9" max="9" width="23.7109375" style="22" customWidth="1"/>
    <col min="10" max="10" width="21.5703125" style="22" customWidth="1"/>
    <col min="11" max="11" width="15.7109375" style="22" customWidth="1"/>
    <col min="12" max="12" width="13.28515625" style="22" customWidth="1"/>
    <col min="13" max="13" width="20.85546875" style="22" customWidth="1"/>
    <col min="14" max="14" width="19.28515625" style="22" customWidth="1"/>
    <col min="15" max="15" width="18.42578125" style="22" customWidth="1"/>
    <col min="16" max="16" width="19" style="22" customWidth="1"/>
    <col min="17" max="17" width="20.28515625" style="22" customWidth="1"/>
    <col min="18" max="18" width="18" style="22" customWidth="1"/>
    <col min="19" max="19" width="36" style="22" customWidth="1"/>
    <col min="20" max="20" width="19.42578125" style="22" customWidth="1"/>
    <col min="21" max="21" width="19.140625" style="22" customWidth="1"/>
    <col min="22" max="22" width="20" style="22" customWidth="1"/>
    <col min="23" max="16384" width="9.140625" style="123"/>
  </cols>
  <sheetData>
    <row r="1" spans="1:22" x14ac:dyDescent="0.2">
      <c r="A1" s="22" t="s">
        <v>29</v>
      </c>
      <c r="B1" s="22" t="str">
        <f>'1. key ratios'!B1</f>
        <v>სს ტერაბანკი</v>
      </c>
    </row>
    <row r="2" spans="1:22" x14ac:dyDescent="0.2">
      <c r="A2" s="22" t="s">
        <v>31</v>
      </c>
      <c r="B2" s="82">
        <v>44196</v>
      </c>
    </row>
    <row r="4" spans="1:22" ht="27.75" thickBot="1" x14ac:dyDescent="0.35">
      <c r="A4" s="22" t="s">
        <v>392</v>
      </c>
      <c r="B4" s="386" t="s">
        <v>393</v>
      </c>
      <c r="V4" s="327" t="s">
        <v>67</v>
      </c>
    </row>
    <row r="5" spans="1:22" x14ac:dyDescent="0.2">
      <c r="A5" s="387"/>
      <c r="B5" s="388"/>
      <c r="C5" s="602" t="s">
        <v>394</v>
      </c>
      <c r="D5" s="603"/>
      <c r="E5" s="603"/>
      <c r="F5" s="603"/>
      <c r="G5" s="603"/>
      <c r="H5" s="603"/>
      <c r="I5" s="603"/>
      <c r="J5" s="603"/>
      <c r="K5" s="603"/>
      <c r="L5" s="604"/>
      <c r="M5" s="602" t="s">
        <v>395</v>
      </c>
      <c r="N5" s="603"/>
      <c r="O5" s="603"/>
      <c r="P5" s="603"/>
      <c r="Q5" s="603"/>
      <c r="R5" s="603"/>
      <c r="S5" s="604"/>
      <c r="T5" s="605" t="s">
        <v>396</v>
      </c>
      <c r="U5" s="605" t="s">
        <v>397</v>
      </c>
      <c r="V5" s="607" t="s">
        <v>398</v>
      </c>
    </row>
    <row r="6" spans="1:22" s="364" customFormat="1" ht="140.25" x14ac:dyDescent="0.25">
      <c r="A6" s="249"/>
      <c r="B6" s="389"/>
      <c r="C6" s="390" t="s">
        <v>399</v>
      </c>
      <c r="D6" s="391" t="s">
        <v>400</v>
      </c>
      <c r="E6" s="392" t="s">
        <v>401</v>
      </c>
      <c r="F6" s="393" t="s">
        <v>402</v>
      </c>
      <c r="G6" s="391" t="s">
        <v>403</v>
      </c>
      <c r="H6" s="391" t="s">
        <v>404</v>
      </c>
      <c r="I6" s="391" t="s">
        <v>405</v>
      </c>
      <c r="J6" s="391" t="s">
        <v>406</v>
      </c>
      <c r="K6" s="391" t="s">
        <v>407</v>
      </c>
      <c r="L6" s="394" t="s">
        <v>408</v>
      </c>
      <c r="M6" s="390" t="s">
        <v>409</v>
      </c>
      <c r="N6" s="391" t="s">
        <v>410</v>
      </c>
      <c r="O6" s="391" t="s">
        <v>411</v>
      </c>
      <c r="P6" s="391" t="s">
        <v>412</v>
      </c>
      <c r="Q6" s="391" t="s">
        <v>413</v>
      </c>
      <c r="R6" s="391" t="s">
        <v>414</v>
      </c>
      <c r="S6" s="394" t="s">
        <v>415</v>
      </c>
      <c r="T6" s="606"/>
      <c r="U6" s="606"/>
      <c r="V6" s="608"/>
    </row>
    <row r="7" spans="1:22" s="379" customFormat="1" x14ac:dyDescent="0.2">
      <c r="A7" s="395">
        <v>1</v>
      </c>
      <c r="B7" s="396" t="s">
        <v>378</v>
      </c>
      <c r="C7" s="397">
        <v>0</v>
      </c>
      <c r="D7" s="375">
        <f t="shared" ref="D7:D19" si="0">U7+T7</f>
        <v>0</v>
      </c>
      <c r="E7" s="375">
        <v>0</v>
      </c>
      <c r="F7" s="375">
        <v>0</v>
      </c>
      <c r="G7" s="375">
        <v>0</v>
      </c>
      <c r="H7" s="375">
        <v>0</v>
      </c>
      <c r="I7" s="375">
        <v>0</v>
      </c>
      <c r="J7" s="375">
        <v>0</v>
      </c>
      <c r="K7" s="375">
        <v>0</v>
      </c>
      <c r="L7" s="375">
        <v>0</v>
      </c>
      <c r="M7" s="398"/>
      <c r="N7" s="399"/>
      <c r="O7" s="399"/>
      <c r="P7" s="399"/>
      <c r="Q7" s="399"/>
      <c r="R7" s="399"/>
      <c r="S7" s="400"/>
      <c r="T7" s="401">
        <v>0</v>
      </c>
      <c r="U7" s="402"/>
      <c r="V7" s="403">
        <f>SUM(C7:S7)</f>
        <v>0</v>
      </c>
    </row>
    <row r="8" spans="1:22" s="379" customFormat="1" x14ac:dyDescent="0.2">
      <c r="A8" s="395">
        <v>2</v>
      </c>
      <c r="B8" s="396" t="s">
        <v>379</v>
      </c>
      <c r="C8" s="397">
        <v>0</v>
      </c>
      <c r="D8" s="375">
        <f t="shared" si="0"/>
        <v>0</v>
      </c>
      <c r="E8" s="375">
        <v>0</v>
      </c>
      <c r="F8" s="375">
        <v>0</v>
      </c>
      <c r="G8" s="375">
        <v>0</v>
      </c>
      <c r="H8" s="375">
        <v>0</v>
      </c>
      <c r="I8" s="375">
        <v>0</v>
      </c>
      <c r="J8" s="375">
        <v>0</v>
      </c>
      <c r="K8" s="375">
        <v>0</v>
      </c>
      <c r="L8" s="375">
        <v>0</v>
      </c>
      <c r="M8" s="398"/>
      <c r="N8" s="399"/>
      <c r="O8" s="399"/>
      <c r="P8" s="399"/>
      <c r="Q8" s="399"/>
      <c r="R8" s="399"/>
      <c r="S8" s="400"/>
      <c r="T8" s="401">
        <v>0</v>
      </c>
      <c r="U8" s="402"/>
      <c r="V8" s="403">
        <f t="shared" ref="V8:V20" si="1">SUM(C8:S8)</f>
        <v>0</v>
      </c>
    </row>
    <row r="9" spans="1:22" s="379" customFormat="1" x14ac:dyDescent="0.2">
      <c r="A9" s="395">
        <v>3</v>
      </c>
      <c r="B9" s="396" t="s">
        <v>380</v>
      </c>
      <c r="C9" s="397">
        <v>0</v>
      </c>
      <c r="D9" s="375">
        <f t="shared" si="0"/>
        <v>0</v>
      </c>
      <c r="E9" s="375">
        <v>0</v>
      </c>
      <c r="F9" s="375">
        <v>0</v>
      </c>
      <c r="G9" s="375">
        <v>0</v>
      </c>
      <c r="H9" s="375">
        <v>0</v>
      </c>
      <c r="I9" s="375">
        <v>0</v>
      </c>
      <c r="J9" s="375">
        <v>0</v>
      </c>
      <c r="K9" s="375">
        <v>0</v>
      </c>
      <c r="L9" s="375">
        <v>0</v>
      </c>
      <c r="M9" s="398"/>
      <c r="N9" s="399"/>
      <c r="O9" s="399"/>
      <c r="P9" s="399"/>
      <c r="Q9" s="399"/>
      <c r="R9" s="399"/>
      <c r="S9" s="400"/>
      <c r="T9" s="401">
        <v>0</v>
      </c>
      <c r="U9" s="402"/>
      <c r="V9" s="403">
        <f>SUM(C9:S9)</f>
        <v>0</v>
      </c>
    </row>
    <row r="10" spans="1:22" s="379" customFormat="1" x14ac:dyDescent="0.2">
      <c r="A10" s="395">
        <v>4</v>
      </c>
      <c r="B10" s="396" t="s">
        <v>381</v>
      </c>
      <c r="C10" s="397">
        <v>0</v>
      </c>
      <c r="D10" s="375">
        <f t="shared" si="0"/>
        <v>0</v>
      </c>
      <c r="E10" s="375">
        <v>0</v>
      </c>
      <c r="F10" s="375">
        <v>0</v>
      </c>
      <c r="G10" s="375">
        <v>0</v>
      </c>
      <c r="H10" s="375">
        <v>0</v>
      </c>
      <c r="I10" s="375">
        <v>0</v>
      </c>
      <c r="J10" s="375">
        <v>0</v>
      </c>
      <c r="K10" s="375">
        <v>0</v>
      </c>
      <c r="L10" s="375">
        <v>0</v>
      </c>
      <c r="M10" s="398"/>
      <c r="N10" s="399"/>
      <c r="O10" s="399"/>
      <c r="P10" s="399"/>
      <c r="Q10" s="399"/>
      <c r="R10" s="399"/>
      <c r="S10" s="400"/>
      <c r="T10" s="401">
        <v>0</v>
      </c>
      <c r="U10" s="402"/>
      <c r="V10" s="403">
        <f t="shared" si="1"/>
        <v>0</v>
      </c>
    </row>
    <row r="11" spans="1:22" s="379" customFormat="1" x14ac:dyDescent="0.2">
      <c r="A11" s="395">
        <v>5</v>
      </c>
      <c r="B11" s="396" t="s">
        <v>382</v>
      </c>
      <c r="C11" s="397">
        <v>0</v>
      </c>
      <c r="D11" s="375">
        <f t="shared" si="0"/>
        <v>0</v>
      </c>
      <c r="E11" s="375">
        <v>0</v>
      </c>
      <c r="F11" s="375">
        <v>0</v>
      </c>
      <c r="G11" s="375">
        <v>0</v>
      </c>
      <c r="H11" s="375">
        <v>0</v>
      </c>
      <c r="I11" s="375">
        <v>0</v>
      </c>
      <c r="J11" s="375">
        <v>0</v>
      </c>
      <c r="K11" s="375">
        <v>0</v>
      </c>
      <c r="L11" s="375">
        <v>0</v>
      </c>
      <c r="M11" s="398"/>
      <c r="N11" s="399"/>
      <c r="O11" s="399"/>
      <c r="P11" s="399"/>
      <c r="Q11" s="399"/>
      <c r="R11" s="399"/>
      <c r="S11" s="400"/>
      <c r="T11" s="401">
        <v>0</v>
      </c>
      <c r="U11" s="402"/>
      <c r="V11" s="403">
        <f t="shared" si="1"/>
        <v>0</v>
      </c>
    </row>
    <row r="12" spans="1:22" s="379" customFormat="1" x14ac:dyDescent="0.2">
      <c r="A12" s="395">
        <v>6</v>
      </c>
      <c r="B12" s="396" t="s">
        <v>383</v>
      </c>
      <c r="C12" s="397">
        <v>0</v>
      </c>
      <c r="D12" s="375">
        <f t="shared" si="0"/>
        <v>0</v>
      </c>
      <c r="E12" s="375">
        <v>0</v>
      </c>
      <c r="F12" s="375">
        <v>0</v>
      </c>
      <c r="G12" s="375">
        <v>0</v>
      </c>
      <c r="H12" s="375">
        <v>0</v>
      </c>
      <c r="I12" s="375">
        <v>0</v>
      </c>
      <c r="J12" s="375">
        <v>0</v>
      </c>
      <c r="K12" s="375">
        <v>0</v>
      </c>
      <c r="L12" s="375">
        <v>0</v>
      </c>
      <c r="M12" s="398"/>
      <c r="N12" s="399"/>
      <c r="O12" s="399"/>
      <c r="P12" s="399"/>
      <c r="Q12" s="399"/>
      <c r="R12" s="399"/>
      <c r="S12" s="400"/>
      <c r="T12" s="401">
        <v>0</v>
      </c>
      <c r="U12" s="402"/>
      <c r="V12" s="403">
        <f t="shared" si="1"/>
        <v>0</v>
      </c>
    </row>
    <row r="13" spans="1:22" s="379" customFormat="1" x14ac:dyDescent="0.2">
      <c r="A13" s="395">
        <v>7</v>
      </c>
      <c r="B13" s="396" t="s">
        <v>384</v>
      </c>
      <c r="C13" s="397">
        <v>0</v>
      </c>
      <c r="D13" s="375">
        <f t="shared" si="0"/>
        <v>43061983.945000008</v>
      </c>
      <c r="E13" s="375">
        <v>0</v>
      </c>
      <c r="F13" s="375">
        <v>0</v>
      </c>
      <c r="G13" s="375">
        <v>0</v>
      </c>
      <c r="H13" s="375">
        <v>0</v>
      </c>
      <c r="I13" s="375">
        <v>0</v>
      </c>
      <c r="J13" s="375">
        <v>0</v>
      </c>
      <c r="K13" s="375">
        <v>0</v>
      </c>
      <c r="L13" s="375">
        <v>0</v>
      </c>
      <c r="M13" s="398"/>
      <c r="N13" s="399"/>
      <c r="O13" s="399"/>
      <c r="P13" s="399"/>
      <c r="Q13" s="399"/>
      <c r="R13" s="399"/>
      <c r="S13" s="400"/>
      <c r="T13" s="401">
        <v>32790625.460000005</v>
      </c>
      <c r="U13" s="402">
        <v>10271358.485000001</v>
      </c>
      <c r="V13" s="403">
        <f t="shared" si="1"/>
        <v>43061983.945000008</v>
      </c>
    </row>
    <row r="14" spans="1:22" s="379" customFormat="1" x14ac:dyDescent="0.2">
      <c r="A14" s="395">
        <v>8</v>
      </c>
      <c r="B14" s="396" t="s">
        <v>385</v>
      </c>
      <c r="C14" s="397">
        <v>0</v>
      </c>
      <c r="D14" s="375">
        <f t="shared" si="0"/>
        <v>4031155.0852500014</v>
      </c>
      <c r="E14" s="375">
        <v>0</v>
      </c>
      <c r="F14" s="375">
        <v>0</v>
      </c>
      <c r="G14" s="375">
        <v>0</v>
      </c>
      <c r="H14" s="375">
        <v>0</v>
      </c>
      <c r="I14" s="375">
        <v>0</v>
      </c>
      <c r="J14" s="375">
        <v>0</v>
      </c>
      <c r="K14" s="375">
        <v>0</v>
      </c>
      <c r="L14" s="375">
        <v>0</v>
      </c>
      <c r="M14" s="398"/>
      <c r="N14" s="399"/>
      <c r="O14" s="399"/>
      <c r="P14" s="399"/>
      <c r="Q14" s="399"/>
      <c r="R14" s="399"/>
      <c r="S14" s="400"/>
      <c r="T14" s="401">
        <v>2693709.8550000014</v>
      </c>
      <c r="U14" s="402">
        <v>1337445.23025</v>
      </c>
      <c r="V14" s="403">
        <f t="shared" si="1"/>
        <v>4031155.0852500014</v>
      </c>
    </row>
    <row r="15" spans="1:22" s="379" customFormat="1" x14ac:dyDescent="0.2">
      <c r="A15" s="395">
        <v>9</v>
      </c>
      <c r="B15" s="396" t="s">
        <v>386</v>
      </c>
      <c r="C15" s="397">
        <v>0</v>
      </c>
      <c r="D15" s="375">
        <f t="shared" si="0"/>
        <v>0</v>
      </c>
      <c r="E15" s="375">
        <v>0</v>
      </c>
      <c r="F15" s="375">
        <v>0</v>
      </c>
      <c r="G15" s="375">
        <v>0</v>
      </c>
      <c r="H15" s="375">
        <v>0</v>
      </c>
      <c r="I15" s="375">
        <v>0</v>
      </c>
      <c r="J15" s="375">
        <v>0</v>
      </c>
      <c r="K15" s="375">
        <v>0</v>
      </c>
      <c r="L15" s="375">
        <v>0</v>
      </c>
      <c r="M15" s="398"/>
      <c r="N15" s="399"/>
      <c r="O15" s="399"/>
      <c r="P15" s="399"/>
      <c r="Q15" s="399"/>
      <c r="R15" s="399"/>
      <c r="S15" s="400"/>
      <c r="T15" s="401">
        <v>0</v>
      </c>
      <c r="U15" s="402">
        <v>0</v>
      </c>
      <c r="V15" s="403">
        <f t="shared" si="1"/>
        <v>0</v>
      </c>
    </row>
    <row r="16" spans="1:22" s="379" customFormat="1" x14ac:dyDescent="0.2">
      <c r="A16" s="395">
        <v>10</v>
      </c>
      <c r="B16" s="396" t="s">
        <v>387</v>
      </c>
      <c r="C16" s="397">
        <v>0</v>
      </c>
      <c r="D16" s="375">
        <f t="shared" si="0"/>
        <v>10</v>
      </c>
      <c r="E16" s="375">
        <v>0</v>
      </c>
      <c r="F16" s="375">
        <v>0</v>
      </c>
      <c r="G16" s="375">
        <v>0</v>
      </c>
      <c r="H16" s="375">
        <v>0</v>
      </c>
      <c r="I16" s="375">
        <v>0</v>
      </c>
      <c r="J16" s="375">
        <v>0</v>
      </c>
      <c r="K16" s="375">
        <v>0</v>
      </c>
      <c r="L16" s="375">
        <v>0</v>
      </c>
      <c r="M16" s="398"/>
      <c r="N16" s="399"/>
      <c r="O16" s="399"/>
      <c r="P16" s="399"/>
      <c r="Q16" s="399"/>
      <c r="R16" s="399"/>
      <c r="S16" s="400"/>
      <c r="T16" s="401">
        <v>10</v>
      </c>
      <c r="U16" s="402">
        <v>0</v>
      </c>
      <c r="V16" s="403">
        <f t="shared" si="1"/>
        <v>10</v>
      </c>
    </row>
    <row r="17" spans="1:22" s="379" customFormat="1" x14ac:dyDescent="0.2">
      <c r="A17" s="395">
        <v>11</v>
      </c>
      <c r="B17" s="396" t="s">
        <v>388</v>
      </c>
      <c r="C17" s="397">
        <v>0</v>
      </c>
      <c r="D17" s="375">
        <f t="shared" si="0"/>
        <v>310926.67000000004</v>
      </c>
      <c r="E17" s="375">
        <v>0</v>
      </c>
      <c r="F17" s="375">
        <v>0</v>
      </c>
      <c r="G17" s="375">
        <v>0</v>
      </c>
      <c r="H17" s="375">
        <v>0</v>
      </c>
      <c r="I17" s="375">
        <v>0</v>
      </c>
      <c r="J17" s="375">
        <v>0</v>
      </c>
      <c r="K17" s="375">
        <v>0</v>
      </c>
      <c r="L17" s="375">
        <v>0</v>
      </c>
      <c r="M17" s="398"/>
      <c r="N17" s="399"/>
      <c r="O17" s="399"/>
      <c r="P17" s="399"/>
      <c r="Q17" s="399"/>
      <c r="R17" s="399"/>
      <c r="S17" s="400"/>
      <c r="T17" s="401">
        <v>310926.67000000004</v>
      </c>
      <c r="U17" s="402"/>
      <c r="V17" s="403">
        <f t="shared" si="1"/>
        <v>310926.67000000004</v>
      </c>
    </row>
    <row r="18" spans="1:22" s="379" customFormat="1" x14ac:dyDescent="0.2">
      <c r="A18" s="395">
        <v>12</v>
      </c>
      <c r="B18" s="396" t="s">
        <v>389</v>
      </c>
      <c r="C18" s="397">
        <v>0</v>
      </c>
      <c r="D18" s="375">
        <f t="shared" si="0"/>
        <v>0</v>
      </c>
      <c r="E18" s="375">
        <v>0</v>
      </c>
      <c r="F18" s="375">
        <v>0</v>
      </c>
      <c r="G18" s="375">
        <v>0</v>
      </c>
      <c r="H18" s="375">
        <v>0</v>
      </c>
      <c r="I18" s="375">
        <v>0</v>
      </c>
      <c r="J18" s="375">
        <v>0</v>
      </c>
      <c r="K18" s="375">
        <v>0</v>
      </c>
      <c r="L18" s="375">
        <v>0</v>
      </c>
      <c r="M18" s="398"/>
      <c r="N18" s="399"/>
      <c r="O18" s="399"/>
      <c r="P18" s="399"/>
      <c r="Q18" s="399"/>
      <c r="R18" s="399"/>
      <c r="S18" s="400"/>
      <c r="T18" s="401">
        <v>0</v>
      </c>
      <c r="U18" s="402"/>
      <c r="V18" s="403">
        <f t="shared" si="1"/>
        <v>0</v>
      </c>
    </row>
    <row r="19" spans="1:22" s="379" customFormat="1" x14ac:dyDescent="0.2">
      <c r="A19" s="395">
        <v>13</v>
      </c>
      <c r="B19" s="396" t="s">
        <v>390</v>
      </c>
      <c r="C19" s="397">
        <v>0</v>
      </c>
      <c r="D19" s="375">
        <f t="shared" si="0"/>
        <v>0</v>
      </c>
      <c r="E19" s="375">
        <v>0</v>
      </c>
      <c r="F19" s="375">
        <v>0</v>
      </c>
      <c r="G19" s="375">
        <v>0</v>
      </c>
      <c r="H19" s="375">
        <v>0</v>
      </c>
      <c r="I19" s="375">
        <v>0</v>
      </c>
      <c r="J19" s="375">
        <v>0</v>
      </c>
      <c r="K19" s="375">
        <v>0</v>
      </c>
      <c r="L19" s="375">
        <v>0</v>
      </c>
      <c r="M19" s="398"/>
      <c r="N19" s="399"/>
      <c r="O19" s="399"/>
      <c r="P19" s="399"/>
      <c r="Q19" s="399"/>
      <c r="R19" s="399"/>
      <c r="S19" s="400"/>
      <c r="T19" s="401">
        <v>0</v>
      </c>
      <c r="U19" s="402"/>
      <c r="V19" s="403">
        <f t="shared" si="1"/>
        <v>0</v>
      </c>
    </row>
    <row r="20" spans="1:22" s="379" customFormat="1" x14ac:dyDescent="0.2">
      <c r="A20" s="395">
        <v>14</v>
      </c>
      <c r="B20" s="396" t="s">
        <v>391</v>
      </c>
      <c r="C20" s="397">
        <v>0</v>
      </c>
      <c r="D20" s="375">
        <f>U20+T20</f>
        <v>0</v>
      </c>
      <c r="E20" s="375">
        <v>0</v>
      </c>
      <c r="F20" s="375">
        <v>0</v>
      </c>
      <c r="G20" s="375">
        <v>0</v>
      </c>
      <c r="H20" s="375">
        <v>0</v>
      </c>
      <c r="I20" s="375">
        <v>0</v>
      </c>
      <c r="J20" s="375">
        <v>0</v>
      </c>
      <c r="K20" s="375">
        <v>0</v>
      </c>
      <c r="L20" s="375">
        <v>0</v>
      </c>
      <c r="M20" s="398"/>
      <c r="N20" s="399"/>
      <c r="O20" s="399"/>
      <c r="P20" s="399"/>
      <c r="Q20" s="399"/>
      <c r="R20" s="399"/>
      <c r="S20" s="400"/>
      <c r="T20" s="401">
        <v>0</v>
      </c>
      <c r="U20" s="402">
        <v>0</v>
      </c>
      <c r="V20" s="403">
        <f t="shared" si="1"/>
        <v>0</v>
      </c>
    </row>
    <row r="21" spans="1:22" ht="13.5" thickBot="1" x14ac:dyDescent="0.25">
      <c r="A21" s="381"/>
      <c r="B21" s="404" t="s">
        <v>73</v>
      </c>
      <c r="C21" s="405">
        <f>SUM(C7:C20)</f>
        <v>0</v>
      </c>
      <c r="D21" s="406">
        <f t="shared" ref="D21:V21" si="2">SUM(D7:D20)</f>
        <v>47404075.700250015</v>
      </c>
      <c r="E21" s="406">
        <f t="shared" si="2"/>
        <v>0</v>
      </c>
      <c r="F21" s="406">
        <f t="shared" si="2"/>
        <v>0</v>
      </c>
      <c r="G21" s="406">
        <f t="shared" si="2"/>
        <v>0</v>
      </c>
      <c r="H21" s="406">
        <f t="shared" si="2"/>
        <v>0</v>
      </c>
      <c r="I21" s="406">
        <f t="shared" si="2"/>
        <v>0</v>
      </c>
      <c r="J21" s="406">
        <f t="shared" si="2"/>
        <v>0</v>
      </c>
      <c r="K21" s="406">
        <f t="shared" si="2"/>
        <v>0</v>
      </c>
      <c r="L21" s="407">
        <f t="shared" si="2"/>
        <v>0</v>
      </c>
      <c r="M21" s="405">
        <f t="shared" si="2"/>
        <v>0</v>
      </c>
      <c r="N21" s="406">
        <f t="shared" si="2"/>
        <v>0</v>
      </c>
      <c r="O21" s="406">
        <f t="shared" si="2"/>
        <v>0</v>
      </c>
      <c r="P21" s="406">
        <f t="shared" si="2"/>
        <v>0</v>
      </c>
      <c r="Q21" s="406">
        <f t="shared" si="2"/>
        <v>0</v>
      </c>
      <c r="R21" s="406">
        <f t="shared" si="2"/>
        <v>0</v>
      </c>
      <c r="S21" s="407">
        <f t="shared" si="2"/>
        <v>0</v>
      </c>
      <c r="T21" s="407">
        <f>SUM(T7:T20)</f>
        <v>35795271.985000007</v>
      </c>
      <c r="U21" s="407">
        <f t="shared" si="2"/>
        <v>11608803.71525</v>
      </c>
      <c r="V21" s="408">
        <f t="shared" si="2"/>
        <v>47404075.700250015</v>
      </c>
    </row>
    <row r="24" spans="1:22" x14ac:dyDescent="0.2">
      <c r="A24" s="27"/>
      <c r="B24" s="27"/>
      <c r="C24" s="409"/>
      <c r="D24" s="409"/>
      <c r="E24" s="409"/>
      <c r="V24" s="183"/>
    </row>
    <row r="25" spans="1:22" x14ac:dyDescent="0.2">
      <c r="A25" s="410"/>
      <c r="B25" s="410"/>
      <c r="C25" s="27"/>
      <c r="D25" s="409"/>
      <c r="E25" s="409"/>
      <c r="V25" s="242"/>
    </row>
    <row r="26" spans="1:22" x14ac:dyDescent="0.2">
      <c r="A26" s="410"/>
      <c r="B26" s="411"/>
      <c r="C26" s="27"/>
      <c r="D26" s="409"/>
      <c r="E26" s="409"/>
    </row>
    <row r="27" spans="1:22" x14ac:dyDescent="0.2">
      <c r="A27" s="410"/>
      <c r="B27" s="410"/>
      <c r="C27" s="27"/>
      <c r="D27" s="409"/>
      <c r="E27" s="409"/>
    </row>
    <row r="28" spans="1:22" x14ac:dyDescent="0.2">
      <c r="A28" s="410"/>
      <c r="B28" s="411"/>
      <c r="C28" s="27"/>
      <c r="D28" s="409"/>
      <c r="E28" s="409"/>
    </row>
  </sheetData>
  <mergeCells count="5">
    <mergeCell ref="C5:L5"/>
    <mergeCell ref="M5:S5"/>
    <mergeCell ref="T5:T6"/>
    <mergeCell ref="U5:U6"/>
    <mergeCell ref="V5:V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2" tint="-0.249977111117893"/>
    <pageSetUpPr fitToPage="1"/>
  </sheetPr>
  <dimension ref="A1:I28"/>
  <sheetViews>
    <sheetView zoomScaleNormal="100" workbookViewId="0">
      <pane xSplit="1" ySplit="7" topLeftCell="B14"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ColWidth="9.140625" defaultRowHeight="12.75" x14ac:dyDescent="0.2"/>
  <cols>
    <col min="1" max="1" width="10.5703125" style="22" bestFit="1" customWidth="1"/>
    <col min="2" max="2" width="101.85546875" style="22" customWidth="1"/>
    <col min="3" max="3" width="13.7109375" style="22" customWidth="1"/>
    <col min="4" max="4" width="14.85546875" style="22" bestFit="1" customWidth="1"/>
    <col min="5" max="5" width="17.7109375" style="22" customWidth="1"/>
    <col min="6" max="6" width="15.85546875" style="22" customWidth="1"/>
    <col min="7" max="7" width="17.42578125" style="22" customWidth="1"/>
    <col min="8" max="8" width="15.28515625" style="22" customWidth="1"/>
    <col min="9" max="16384" width="9.140625" style="123"/>
  </cols>
  <sheetData>
    <row r="1" spans="1:9" x14ac:dyDescent="0.2">
      <c r="A1" s="22" t="s">
        <v>29</v>
      </c>
      <c r="B1" s="22" t="str">
        <f>'1. key ratios'!B1</f>
        <v>სს ტერაბანკი</v>
      </c>
    </row>
    <row r="2" spans="1:9" x14ac:dyDescent="0.2">
      <c r="A2" s="22" t="s">
        <v>31</v>
      </c>
      <c r="B2" s="82">
        <v>44196</v>
      </c>
    </row>
    <row r="4" spans="1:9" ht="13.5" thickBot="1" x14ac:dyDescent="0.25">
      <c r="A4" s="22" t="s">
        <v>416</v>
      </c>
      <c r="B4" s="412" t="s">
        <v>417</v>
      </c>
    </row>
    <row r="5" spans="1:9" x14ac:dyDescent="0.2">
      <c r="A5" s="387"/>
      <c r="B5" s="413"/>
      <c r="C5" s="414" t="s">
        <v>248</v>
      </c>
      <c r="D5" s="414" t="s">
        <v>249</v>
      </c>
      <c r="E5" s="414" t="s">
        <v>250</v>
      </c>
      <c r="F5" s="414" t="s">
        <v>360</v>
      </c>
      <c r="G5" s="415" t="s">
        <v>361</v>
      </c>
      <c r="H5" s="416" t="s">
        <v>362</v>
      </c>
      <c r="I5" s="417"/>
    </row>
    <row r="6" spans="1:9" ht="15" customHeight="1" x14ac:dyDescent="0.2">
      <c r="A6" s="371"/>
      <c r="B6" s="418"/>
      <c r="C6" s="609" t="s">
        <v>418</v>
      </c>
      <c r="D6" s="611" t="s">
        <v>419</v>
      </c>
      <c r="E6" s="612"/>
      <c r="F6" s="609" t="s">
        <v>420</v>
      </c>
      <c r="G6" s="609" t="s">
        <v>421</v>
      </c>
      <c r="H6" s="613" t="s">
        <v>422</v>
      </c>
      <c r="I6" s="417"/>
    </row>
    <row r="7" spans="1:9" ht="76.5" x14ac:dyDescent="0.2">
      <c r="A7" s="371"/>
      <c r="B7" s="418"/>
      <c r="C7" s="610"/>
      <c r="D7" s="419" t="s">
        <v>423</v>
      </c>
      <c r="E7" s="419" t="s">
        <v>424</v>
      </c>
      <c r="F7" s="610"/>
      <c r="G7" s="610"/>
      <c r="H7" s="614"/>
      <c r="I7" s="417"/>
    </row>
    <row r="8" spans="1:9" x14ac:dyDescent="0.2">
      <c r="A8" s="420">
        <v>1</v>
      </c>
      <c r="B8" s="279" t="s">
        <v>378</v>
      </c>
      <c r="C8" s="421">
        <v>252570754.55000001</v>
      </c>
      <c r="D8" s="422">
        <v>0</v>
      </c>
      <c r="E8" s="421">
        <v>0</v>
      </c>
      <c r="F8" s="421">
        <f>'11. CRWA'!S8</f>
        <v>150957345.62</v>
      </c>
      <c r="G8" s="423">
        <f>'11. CRWA'!S8-'12. CRM'!V7</f>
        <v>150957345.62</v>
      </c>
      <c r="H8" s="424">
        <f>IFERROR(G8/(C8+E8),"")</f>
        <v>0.5976833932691753</v>
      </c>
    </row>
    <row r="9" spans="1:9" ht="15" customHeight="1" x14ac:dyDescent="0.2">
      <c r="A9" s="420">
        <v>2</v>
      </c>
      <c r="B9" s="279" t="s">
        <v>379</v>
      </c>
      <c r="C9" s="421">
        <v>0</v>
      </c>
      <c r="D9" s="422">
        <v>0</v>
      </c>
      <c r="E9" s="421">
        <v>0</v>
      </c>
      <c r="F9" s="421">
        <f>'11. CRWA'!S9</f>
        <v>0</v>
      </c>
      <c r="G9" s="423">
        <f>'11. CRWA'!S9-'12. CRM'!V8</f>
        <v>0</v>
      </c>
      <c r="H9" s="424" t="str">
        <f t="shared" ref="H9:H22" si="0">IFERROR(G9/(C9+E9),"")</f>
        <v/>
      </c>
    </row>
    <row r="10" spans="1:9" x14ac:dyDescent="0.2">
      <c r="A10" s="420">
        <v>3</v>
      </c>
      <c r="B10" s="279" t="s">
        <v>380</v>
      </c>
      <c r="C10" s="421">
        <v>0</v>
      </c>
      <c r="D10" s="422">
        <v>0</v>
      </c>
      <c r="E10" s="421">
        <v>0</v>
      </c>
      <c r="F10" s="421">
        <f>'11. CRWA'!S10</f>
        <v>0</v>
      </c>
      <c r="G10" s="423">
        <f>'11. CRWA'!S10-'12. CRM'!V9</f>
        <v>0</v>
      </c>
      <c r="H10" s="424" t="str">
        <f t="shared" si="0"/>
        <v/>
      </c>
    </row>
    <row r="11" spans="1:9" x14ac:dyDescent="0.2">
      <c r="A11" s="420">
        <v>4</v>
      </c>
      <c r="B11" s="279" t="s">
        <v>381</v>
      </c>
      <c r="C11" s="421">
        <v>0</v>
      </c>
      <c r="D11" s="422">
        <v>0</v>
      </c>
      <c r="E11" s="421">
        <v>0</v>
      </c>
      <c r="F11" s="421">
        <f>'11. CRWA'!S11</f>
        <v>0</v>
      </c>
      <c r="G11" s="423">
        <f>'11. CRWA'!S11-'12. CRM'!V10</f>
        <v>0</v>
      </c>
      <c r="H11" s="424" t="str">
        <f t="shared" si="0"/>
        <v/>
      </c>
    </row>
    <row r="12" spans="1:9" x14ac:dyDescent="0.2">
      <c r="A12" s="420">
        <v>5</v>
      </c>
      <c r="B12" s="279" t="s">
        <v>382</v>
      </c>
      <c r="C12" s="421">
        <v>0</v>
      </c>
      <c r="D12" s="422">
        <v>0</v>
      </c>
      <c r="E12" s="421">
        <v>0</v>
      </c>
      <c r="F12" s="421">
        <f>'11. CRWA'!S12</f>
        <v>0</v>
      </c>
      <c r="G12" s="423">
        <f>'11. CRWA'!S12-'12. CRM'!V11</f>
        <v>0</v>
      </c>
      <c r="H12" s="424" t="str">
        <f t="shared" si="0"/>
        <v/>
      </c>
    </row>
    <row r="13" spans="1:9" x14ac:dyDescent="0.2">
      <c r="A13" s="420">
        <v>6</v>
      </c>
      <c r="B13" s="279" t="s">
        <v>383</v>
      </c>
      <c r="C13" s="421">
        <v>25717316.330000002</v>
      </c>
      <c r="D13" s="422">
        <v>0</v>
      </c>
      <c r="E13" s="421">
        <v>0</v>
      </c>
      <c r="F13" s="421">
        <f>'11. CRWA'!S13</f>
        <v>8596241.4830000009</v>
      </c>
      <c r="G13" s="423">
        <f>'11. CRWA'!S13-'12. CRM'!V12</f>
        <v>8596241.4830000009</v>
      </c>
      <c r="H13" s="424">
        <f t="shared" si="0"/>
        <v>0.33425888505217916</v>
      </c>
    </row>
    <row r="14" spans="1:9" x14ac:dyDescent="0.2">
      <c r="A14" s="420">
        <v>7</v>
      </c>
      <c r="B14" s="279" t="s">
        <v>384</v>
      </c>
      <c r="C14" s="421">
        <v>453818561.23000157</v>
      </c>
      <c r="D14" s="422">
        <v>53407714.550000004</v>
      </c>
      <c r="E14" s="421">
        <v>28768113.194999993</v>
      </c>
      <c r="F14" s="421">
        <f>'11. CRWA'!S14</f>
        <v>482586674.42500156</v>
      </c>
      <c r="G14" s="423">
        <f>'11. CRWA'!S14-'12. CRM'!V13</f>
        <v>439524690.48000157</v>
      </c>
      <c r="H14" s="424">
        <f t="shared" si="0"/>
        <v>0.91076839409975829</v>
      </c>
    </row>
    <row r="15" spans="1:9" x14ac:dyDescent="0.2">
      <c r="A15" s="420">
        <v>8</v>
      </c>
      <c r="B15" s="279" t="s">
        <v>385</v>
      </c>
      <c r="C15" s="421">
        <v>272727893.78999937</v>
      </c>
      <c r="D15" s="422">
        <v>15003805.090000005</v>
      </c>
      <c r="E15" s="421">
        <v>7203906.1569999969</v>
      </c>
      <c r="F15" s="421">
        <f>'11. CRWA'!S15</f>
        <v>209948849.96024954</v>
      </c>
      <c r="G15" s="423">
        <f>'11. CRWA'!S15-'12. CRM'!V14</f>
        <v>205917694.87499955</v>
      </c>
      <c r="H15" s="424">
        <f t="shared" si="0"/>
        <v>0.73559951000203183</v>
      </c>
    </row>
    <row r="16" spans="1:9" x14ac:dyDescent="0.2">
      <c r="A16" s="420">
        <v>9</v>
      </c>
      <c r="B16" s="279" t="s">
        <v>386</v>
      </c>
      <c r="C16" s="421">
        <v>122765557.20000011</v>
      </c>
      <c r="D16" s="422">
        <v>1439955.59</v>
      </c>
      <c r="E16" s="421">
        <v>829258.96</v>
      </c>
      <c r="F16" s="421">
        <f>'11. CRWA'!S16</f>
        <v>43258185.656000033</v>
      </c>
      <c r="G16" s="423">
        <f>'11. CRWA'!S16-'12. CRM'!V15</f>
        <v>43258185.656000033</v>
      </c>
      <c r="H16" s="424">
        <f t="shared" si="0"/>
        <v>0.35</v>
      </c>
    </row>
    <row r="17" spans="1:8" x14ac:dyDescent="0.2">
      <c r="A17" s="420">
        <v>10</v>
      </c>
      <c r="B17" s="279" t="s">
        <v>387</v>
      </c>
      <c r="C17" s="421">
        <v>9140719.4899999909</v>
      </c>
      <c r="D17" s="422">
        <v>0</v>
      </c>
      <c r="E17" s="421">
        <v>0</v>
      </c>
      <c r="F17" s="421">
        <f>'11. CRWA'!S17</f>
        <v>7692931.939999992</v>
      </c>
      <c r="G17" s="423">
        <f>'11. CRWA'!S17-'12. CRM'!V16</f>
        <v>7692921.939999992</v>
      </c>
      <c r="H17" s="424">
        <f t="shared" si="0"/>
        <v>0.8416101104968926</v>
      </c>
    </row>
    <row r="18" spans="1:8" x14ac:dyDescent="0.2">
      <c r="A18" s="420">
        <v>11</v>
      </c>
      <c r="B18" s="279" t="s">
        <v>388</v>
      </c>
      <c r="C18" s="421">
        <v>46115041.260000058</v>
      </c>
      <c r="D18" s="422">
        <v>0</v>
      </c>
      <c r="E18" s="421">
        <v>0</v>
      </c>
      <c r="F18" s="421">
        <f>'11. CRWA'!S18</f>
        <v>50441317.3950001</v>
      </c>
      <c r="G18" s="423">
        <f>'11. CRWA'!S18-'12. CRM'!V17</f>
        <v>50130390.725000098</v>
      </c>
      <c r="H18" s="424">
        <f t="shared" si="0"/>
        <v>1.0870724465443107</v>
      </c>
    </row>
    <row r="19" spans="1:8" x14ac:dyDescent="0.2">
      <c r="A19" s="420">
        <v>12</v>
      </c>
      <c r="B19" s="279" t="s">
        <v>389</v>
      </c>
      <c r="C19" s="421">
        <v>0</v>
      </c>
      <c r="D19" s="422">
        <v>0</v>
      </c>
      <c r="E19" s="421">
        <v>0</v>
      </c>
      <c r="F19" s="421">
        <f>'11. CRWA'!S19</f>
        <v>0</v>
      </c>
      <c r="G19" s="423">
        <f>'11. CRWA'!S19-'12. CRM'!V18</f>
        <v>0</v>
      </c>
      <c r="H19" s="424" t="str">
        <f t="shared" si="0"/>
        <v/>
      </c>
    </row>
    <row r="20" spans="1:8" x14ac:dyDescent="0.2">
      <c r="A20" s="420">
        <v>13</v>
      </c>
      <c r="B20" s="279" t="s">
        <v>390</v>
      </c>
      <c r="C20" s="421">
        <v>0</v>
      </c>
      <c r="D20" s="422">
        <v>0</v>
      </c>
      <c r="E20" s="421">
        <v>0</v>
      </c>
      <c r="F20" s="421">
        <f>'11. CRWA'!S20</f>
        <v>0</v>
      </c>
      <c r="G20" s="423">
        <f>'11. CRWA'!S20-'12. CRM'!V19</f>
        <v>0</v>
      </c>
      <c r="H20" s="424" t="str">
        <f t="shared" si="0"/>
        <v/>
      </c>
    </row>
    <row r="21" spans="1:8" x14ac:dyDescent="0.2">
      <c r="A21" s="420">
        <v>14</v>
      </c>
      <c r="B21" s="279" t="s">
        <v>391</v>
      </c>
      <c r="C21" s="421">
        <v>74683502.759999961</v>
      </c>
      <c r="D21" s="422">
        <v>0</v>
      </c>
      <c r="E21" s="421">
        <v>0</v>
      </c>
      <c r="F21" s="421">
        <f>'11. CRWA'!S21</f>
        <v>30949080.04199997</v>
      </c>
      <c r="G21" s="423">
        <f>'11. CRWA'!S21-'12. CRM'!V20</f>
        <v>30949080.04199997</v>
      </c>
      <c r="H21" s="424">
        <f t="shared" si="0"/>
        <v>0.41440316667332472</v>
      </c>
    </row>
    <row r="22" spans="1:8" ht="13.5" thickBot="1" x14ac:dyDescent="0.25">
      <c r="A22" s="425"/>
      <c r="B22" s="426" t="s">
        <v>73</v>
      </c>
      <c r="C22" s="383">
        <f>SUM(C8:C21)</f>
        <v>1257539346.6100011</v>
      </c>
      <c r="D22" s="383">
        <f>SUM(D8:D21)</f>
        <v>69851475.230000019</v>
      </c>
      <c r="E22" s="383">
        <f>SUM(E8:E21)</f>
        <v>36801278.311999992</v>
      </c>
      <c r="F22" s="383">
        <f>SUM(F8:F21)</f>
        <v>984430626.52125108</v>
      </c>
      <c r="G22" s="383">
        <f>SUM(G8:G21)</f>
        <v>937026550.82100117</v>
      </c>
      <c r="H22" s="427">
        <f t="shared" si="0"/>
        <v>0.72394123523509724</v>
      </c>
    </row>
    <row r="24" spans="1:8" x14ac:dyDescent="0.2">
      <c r="C24" s="183"/>
      <c r="D24" s="183"/>
      <c r="E24" s="183"/>
      <c r="F24" s="183"/>
      <c r="G24" s="183"/>
    </row>
    <row r="25" spans="1:8" x14ac:dyDescent="0.2">
      <c r="C25" s="104"/>
      <c r="D25" s="104"/>
      <c r="E25" s="428"/>
      <c r="F25" s="428"/>
      <c r="G25" s="428"/>
    </row>
    <row r="28" spans="1:8" ht="10.5" customHeight="1" x14ac:dyDescent="0.2"/>
  </sheetData>
  <mergeCells count="5">
    <mergeCell ref="C6:C7"/>
    <mergeCell ref="D6:E6"/>
    <mergeCell ref="F6:F7"/>
    <mergeCell ref="G6:G7"/>
    <mergeCell ref="H6:H7"/>
  </mergeCells>
  <pageMargins left="0.7" right="0.7" top="0.75" bottom="0.75" header="0.3" footer="0.3"/>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2" tint="-0.249977111117893"/>
    <pageSetUpPr fitToPage="1"/>
  </sheetPr>
  <dimension ref="A1:K32"/>
  <sheetViews>
    <sheetView zoomScale="90" zoomScaleNormal="90" workbookViewId="0">
      <pane xSplit="2" ySplit="6" topLeftCell="E7"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ColWidth="9.140625" defaultRowHeight="12.75" x14ac:dyDescent="0.2"/>
  <cols>
    <col min="1" max="1" width="10.5703125" style="22" bestFit="1" customWidth="1"/>
    <col min="2" max="2" width="104.140625" style="22" customWidth="1"/>
    <col min="3" max="3" width="12.7109375" style="22" customWidth="1"/>
    <col min="4" max="4" width="14.5703125" style="22" bestFit="1" customWidth="1"/>
    <col min="5" max="11" width="12.7109375" style="22" customWidth="1"/>
    <col min="12" max="16384" width="9.140625" style="22"/>
  </cols>
  <sheetData>
    <row r="1" spans="1:11" x14ac:dyDescent="0.2">
      <c r="A1" s="22" t="s">
        <v>29</v>
      </c>
    </row>
    <row r="2" spans="1:11" x14ac:dyDescent="0.2">
      <c r="A2" s="22" t="s">
        <v>31</v>
      </c>
      <c r="B2" s="82">
        <v>44196</v>
      </c>
      <c r="C2" s="20"/>
      <c r="D2" s="20"/>
    </row>
    <row r="3" spans="1:11" x14ac:dyDescent="0.2">
      <c r="B3" s="20"/>
      <c r="C3" s="20"/>
      <c r="D3" s="20"/>
    </row>
    <row r="4" spans="1:11" ht="13.5" thickBot="1" x14ac:dyDescent="0.25">
      <c r="A4" s="22" t="s">
        <v>425</v>
      </c>
      <c r="B4" s="412" t="s">
        <v>26</v>
      </c>
      <c r="C4" s="20"/>
      <c r="D4" s="20"/>
    </row>
    <row r="5" spans="1:11" ht="30" customHeight="1" x14ac:dyDescent="0.2">
      <c r="A5" s="615"/>
      <c r="B5" s="616"/>
      <c r="C5" s="617" t="s">
        <v>426</v>
      </c>
      <c r="D5" s="617"/>
      <c r="E5" s="617"/>
      <c r="F5" s="617" t="s">
        <v>427</v>
      </c>
      <c r="G5" s="617"/>
      <c r="H5" s="617"/>
      <c r="I5" s="617" t="s">
        <v>428</v>
      </c>
      <c r="J5" s="617"/>
      <c r="K5" s="618"/>
    </row>
    <row r="6" spans="1:11" x14ac:dyDescent="0.2">
      <c r="A6" s="429"/>
      <c r="B6" s="430"/>
      <c r="C6" s="419" t="s">
        <v>71</v>
      </c>
      <c r="D6" s="419" t="s">
        <v>111</v>
      </c>
      <c r="E6" s="419" t="s">
        <v>73</v>
      </c>
      <c r="F6" s="419" t="s">
        <v>71</v>
      </c>
      <c r="G6" s="419" t="s">
        <v>111</v>
      </c>
      <c r="H6" s="419" t="s">
        <v>73</v>
      </c>
      <c r="I6" s="419" t="s">
        <v>71</v>
      </c>
      <c r="J6" s="419" t="s">
        <v>111</v>
      </c>
      <c r="K6" s="431" t="s">
        <v>73</v>
      </c>
    </row>
    <row r="7" spans="1:11" x14ac:dyDescent="0.2">
      <c r="A7" s="432" t="s">
        <v>429</v>
      </c>
      <c r="B7" s="433"/>
      <c r="C7" s="433"/>
      <c r="D7" s="433"/>
      <c r="E7" s="433"/>
      <c r="F7" s="433"/>
      <c r="G7" s="433"/>
      <c r="H7" s="433"/>
      <c r="I7" s="433"/>
      <c r="J7" s="433"/>
      <c r="K7" s="434"/>
    </row>
    <row r="8" spans="1:11" x14ac:dyDescent="0.2">
      <c r="A8" s="435">
        <v>1</v>
      </c>
      <c r="B8" s="436" t="s">
        <v>429</v>
      </c>
      <c r="C8" s="40"/>
      <c r="D8" s="40"/>
      <c r="E8" s="40"/>
      <c r="F8" s="437">
        <v>67226440.462681264</v>
      </c>
      <c r="G8" s="437">
        <v>197657829.97617581</v>
      </c>
      <c r="H8" s="437">
        <v>264884270.43885708</v>
      </c>
      <c r="I8" s="437">
        <v>64536189.235318631</v>
      </c>
      <c r="J8" s="437">
        <v>169213385.32635936</v>
      </c>
      <c r="K8" s="438">
        <v>233749574.56167799</v>
      </c>
    </row>
    <row r="9" spans="1:11" x14ac:dyDescent="0.2">
      <c r="A9" s="432" t="s">
        <v>430</v>
      </c>
      <c r="B9" s="433"/>
      <c r="C9" s="433"/>
      <c r="D9" s="433"/>
      <c r="E9" s="433"/>
      <c r="F9" s="433"/>
      <c r="G9" s="433"/>
      <c r="H9" s="433"/>
      <c r="I9" s="433"/>
      <c r="J9" s="433"/>
      <c r="K9" s="434"/>
    </row>
    <row r="10" spans="1:11" x14ac:dyDescent="0.2">
      <c r="A10" s="139">
        <v>2</v>
      </c>
      <c r="B10" s="439" t="s">
        <v>431</v>
      </c>
      <c r="C10" s="440">
        <v>83629302.983512893</v>
      </c>
      <c r="D10" s="441">
        <v>295128052.63718742</v>
      </c>
      <c r="E10" s="441">
        <f>SUM(C10:D10)</f>
        <v>378757355.6207003</v>
      </c>
      <c r="F10" s="441">
        <v>13380316.886198565</v>
      </c>
      <c r="G10" s="441">
        <v>56879064.873813592</v>
      </c>
      <c r="H10" s="441">
        <f>SUM(F10:G10)</f>
        <v>70259381.76001215</v>
      </c>
      <c r="I10" s="441">
        <v>3410761.7610614249</v>
      </c>
      <c r="J10" s="441">
        <v>12250299.587769957</v>
      </c>
      <c r="K10" s="442">
        <f>SUM(I10:J10)</f>
        <v>15661061.348831382</v>
      </c>
    </row>
    <row r="11" spans="1:11" x14ac:dyDescent="0.2">
      <c r="A11" s="139">
        <v>3</v>
      </c>
      <c r="B11" s="439" t="s">
        <v>432</v>
      </c>
      <c r="C11" s="440">
        <v>172632339.61498898</v>
      </c>
      <c r="D11" s="443">
        <v>404762446.46252364</v>
      </c>
      <c r="E11" s="441">
        <f t="shared" ref="E11:E21" si="0">SUM(C11:D11)</f>
        <v>577394786.07751262</v>
      </c>
      <c r="F11" s="441">
        <v>45473878.953745507</v>
      </c>
      <c r="G11" s="441">
        <v>108888311.42520902</v>
      </c>
      <c r="H11" s="441">
        <f t="shared" ref="H11:H21" si="1">SUM(F11:G11)</f>
        <v>154362190.37895453</v>
      </c>
      <c r="I11" s="441">
        <v>42117295.261701323</v>
      </c>
      <c r="J11" s="441">
        <v>90977196.468496054</v>
      </c>
      <c r="K11" s="442">
        <f t="shared" ref="K11:K16" si="2">SUM(I11:J11)</f>
        <v>133094491.73019737</v>
      </c>
    </row>
    <row r="12" spans="1:11" x14ac:dyDescent="0.2">
      <c r="A12" s="139">
        <v>4</v>
      </c>
      <c r="B12" s="439" t="s">
        <v>433</v>
      </c>
      <c r="C12" s="440">
        <v>89610989.01098901</v>
      </c>
      <c r="D12" s="441">
        <v>0</v>
      </c>
      <c r="E12" s="441">
        <f t="shared" si="0"/>
        <v>89610989.01098901</v>
      </c>
      <c r="F12" s="441">
        <v>0</v>
      </c>
      <c r="G12" s="441">
        <v>0</v>
      </c>
      <c r="H12" s="441">
        <f t="shared" si="1"/>
        <v>0</v>
      </c>
      <c r="I12" s="441">
        <v>0</v>
      </c>
      <c r="J12" s="441">
        <v>0</v>
      </c>
      <c r="K12" s="442">
        <f t="shared" si="2"/>
        <v>0</v>
      </c>
    </row>
    <row r="13" spans="1:11" x14ac:dyDescent="0.2">
      <c r="A13" s="139">
        <v>5</v>
      </c>
      <c r="B13" s="439" t="s">
        <v>434</v>
      </c>
      <c r="C13" s="440">
        <v>31657403.995824184</v>
      </c>
      <c r="D13" s="441">
        <v>41296813.663120881</v>
      </c>
      <c r="E13" s="441">
        <f t="shared" si="0"/>
        <v>72954217.658945069</v>
      </c>
      <c r="F13" s="441">
        <v>5058824.5701714298</v>
      </c>
      <c r="G13" s="441">
        <v>7864755.2208328033</v>
      </c>
      <c r="H13" s="441">
        <f t="shared" si="1"/>
        <v>12923579.791004233</v>
      </c>
      <c r="I13" s="441">
        <v>1929912.7948351654</v>
      </c>
      <c r="J13" s="441">
        <v>2462196.3637486263</v>
      </c>
      <c r="K13" s="442">
        <f t="shared" si="2"/>
        <v>4392109.1585837919</v>
      </c>
    </row>
    <row r="14" spans="1:11" x14ac:dyDescent="0.2">
      <c r="A14" s="139">
        <v>6</v>
      </c>
      <c r="B14" s="439" t="s">
        <v>435</v>
      </c>
      <c r="C14" s="440">
        <v>3902320.7314285724</v>
      </c>
      <c r="D14" s="441">
        <v>14681435.724267032</v>
      </c>
      <c r="E14" s="441">
        <f t="shared" si="0"/>
        <v>18583756.455695603</v>
      </c>
      <c r="F14" s="441">
        <v>0</v>
      </c>
      <c r="G14" s="441">
        <v>0</v>
      </c>
      <c r="H14" s="441">
        <f t="shared" si="1"/>
        <v>0</v>
      </c>
      <c r="I14" s="441">
        <v>0</v>
      </c>
      <c r="J14" s="441">
        <v>0</v>
      </c>
      <c r="K14" s="442">
        <f t="shared" si="2"/>
        <v>0</v>
      </c>
    </row>
    <row r="15" spans="1:11" x14ac:dyDescent="0.2">
      <c r="A15" s="139">
        <v>7</v>
      </c>
      <c r="B15" s="439" t="s">
        <v>436</v>
      </c>
      <c r="C15" s="440">
        <v>6865035.4259340661</v>
      </c>
      <c r="D15" s="441">
        <v>4842857.7916384619</v>
      </c>
      <c r="E15" s="441">
        <f t="shared" si="0"/>
        <v>11707893.217572529</v>
      </c>
      <c r="F15" s="441">
        <v>2610579.6115384614</v>
      </c>
      <c r="G15" s="441">
        <v>1649363.3223439567</v>
      </c>
      <c r="H15" s="441">
        <f t="shared" si="1"/>
        <v>4259942.9338824181</v>
      </c>
      <c r="I15" s="441">
        <v>2610579.6115384614</v>
      </c>
      <c r="J15" s="441">
        <v>1649363.3223439567</v>
      </c>
      <c r="K15" s="442">
        <f t="shared" si="2"/>
        <v>4259942.9338824181</v>
      </c>
    </row>
    <row r="16" spans="1:11" x14ac:dyDescent="0.2">
      <c r="A16" s="139">
        <v>8</v>
      </c>
      <c r="B16" s="444" t="s">
        <v>437</v>
      </c>
      <c r="C16" s="440">
        <f>SUM(C10:C15)</f>
        <v>388297391.76267767</v>
      </c>
      <c r="D16" s="441">
        <f>SUM(D10:D15)</f>
        <v>760711606.27873743</v>
      </c>
      <c r="E16" s="441">
        <f t="shared" si="0"/>
        <v>1149008998.0414152</v>
      </c>
      <c r="F16" s="441">
        <f>SUM(F10:F15)</f>
        <v>66523600.021653965</v>
      </c>
      <c r="G16" s="441">
        <f>SUM(G10:G15)</f>
        <v>175281494.84219936</v>
      </c>
      <c r="H16" s="441">
        <f t="shared" si="1"/>
        <v>241805094.86385334</v>
      </c>
      <c r="I16" s="441">
        <f>SUM(I10:I15)</f>
        <v>50068549.429136373</v>
      </c>
      <c r="J16" s="441">
        <f>SUM(J10:J15)</f>
        <v>107339055.7423586</v>
      </c>
      <c r="K16" s="442">
        <f t="shared" si="2"/>
        <v>157407605.17149496</v>
      </c>
    </row>
    <row r="17" spans="1:11" x14ac:dyDescent="0.2">
      <c r="A17" s="432" t="s">
        <v>438</v>
      </c>
      <c r="B17" s="433"/>
      <c r="C17" s="445"/>
      <c r="D17" s="445"/>
      <c r="E17" s="445"/>
      <c r="F17" s="445"/>
      <c r="G17" s="445"/>
      <c r="H17" s="445"/>
      <c r="I17" s="445"/>
      <c r="J17" s="445"/>
      <c r="K17" s="446"/>
    </row>
    <row r="18" spans="1:11" x14ac:dyDescent="0.2">
      <c r="A18" s="139">
        <v>9</v>
      </c>
      <c r="B18" s="439" t="s">
        <v>439</v>
      </c>
      <c r="C18" s="440">
        <v>0</v>
      </c>
      <c r="D18" s="441">
        <v>0</v>
      </c>
      <c r="E18" s="441">
        <f t="shared" si="0"/>
        <v>0</v>
      </c>
      <c r="F18" s="441">
        <v>0</v>
      </c>
      <c r="G18" s="441">
        <v>0</v>
      </c>
      <c r="H18" s="441">
        <f t="shared" si="1"/>
        <v>0</v>
      </c>
      <c r="I18" s="441">
        <v>0</v>
      </c>
      <c r="J18" s="441">
        <v>0</v>
      </c>
      <c r="K18" s="442">
        <f>SUM(I18:J18)</f>
        <v>0</v>
      </c>
    </row>
    <row r="19" spans="1:11" x14ac:dyDescent="0.2">
      <c r="A19" s="139">
        <v>10</v>
      </c>
      <c r="B19" s="439" t="s">
        <v>440</v>
      </c>
      <c r="C19" s="440">
        <v>241451499.18032932</v>
      </c>
      <c r="D19" s="441">
        <v>447250170.11150223</v>
      </c>
      <c r="E19" s="441">
        <f t="shared" si="0"/>
        <v>688701669.29183149</v>
      </c>
      <c r="F19" s="441">
        <v>6269970.1207692316</v>
      </c>
      <c r="G19" s="441">
        <v>8310044.1212087916</v>
      </c>
      <c r="H19" s="441">
        <f t="shared" si="1"/>
        <v>14580014.241978023</v>
      </c>
      <c r="I19" s="441">
        <v>8960221.348131869</v>
      </c>
      <c r="J19" s="441">
        <v>38419815.235348344</v>
      </c>
      <c r="K19" s="442">
        <f>SUM(I19:J19)</f>
        <v>47380036.583480209</v>
      </c>
    </row>
    <row r="20" spans="1:11" x14ac:dyDescent="0.2">
      <c r="A20" s="139">
        <v>11</v>
      </c>
      <c r="B20" s="439" t="s">
        <v>441</v>
      </c>
      <c r="C20" s="440">
        <v>5262810.6658901097</v>
      </c>
      <c r="D20" s="441">
        <v>832881.09814725281</v>
      </c>
      <c r="E20" s="441">
        <f t="shared" si="0"/>
        <v>6095691.7640373623</v>
      </c>
      <c r="F20" s="441">
        <v>4462974.3027032968</v>
      </c>
      <c r="G20" s="441">
        <v>810041.54036703298</v>
      </c>
      <c r="H20" s="441">
        <f t="shared" si="1"/>
        <v>5273015.8430703301</v>
      </c>
      <c r="I20" s="441">
        <v>4462974.3027032968</v>
      </c>
      <c r="J20" s="441">
        <v>810041.54036703298</v>
      </c>
      <c r="K20" s="442">
        <f>SUM(I20:J20)</f>
        <v>5273015.8430703301</v>
      </c>
    </row>
    <row r="21" spans="1:11" ht="13.5" thickBot="1" x14ac:dyDescent="0.25">
      <c r="A21" s="148">
        <v>12</v>
      </c>
      <c r="B21" s="447" t="s">
        <v>442</v>
      </c>
      <c r="C21" s="448">
        <f>SUM(C18:C20)</f>
        <v>246714309.84621942</v>
      </c>
      <c r="D21" s="448">
        <f>SUM(D18:D20)</f>
        <v>448083051.2096495</v>
      </c>
      <c r="E21" s="448">
        <f t="shared" si="0"/>
        <v>694797361.05586886</v>
      </c>
      <c r="F21" s="449">
        <f>SUM(F18:F20)</f>
        <v>10732944.423472527</v>
      </c>
      <c r="G21" s="449">
        <f>SUM(G18:G20)</f>
        <v>9120085.661575824</v>
      </c>
      <c r="H21" s="441">
        <f t="shared" si="1"/>
        <v>19853030.085048351</v>
      </c>
      <c r="I21" s="449">
        <f>SUM(I18:I20)</f>
        <v>13423195.650835166</v>
      </c>
      <c r="J21" s="449">
        <f>SUM(J18:J20)</f>
        <v>39229856.775715373</v>
      </c>
      <c r="K21" s="442">
        <f>SUM(I21:J21)</f>
        <v>52653052.426550537</v>
      </c>
    </row>
    <row r="22" spans="1:11" ht="38.25" customHeight="1" thickBot="1" x14ac:dyDescent="0.25">
      <c r="A22" s="450"/>
      <c r="B22" s="451"/>
      <c r="C22" s="451"/>
      <c r="D22" s="451"/>
      <c r="E22" s="451"/>
      <c r="F22" s="619" t="s">
        <v>443</v>
      </c>
      <c r="G22" s="617"/>
      <c r="H22" s="617"/>
      <c r="I22" s="619" t="s">
        <v>444</v>
      </c>
      <c r="J22" s="617"/>
      <c r="K22" s="618"/>
    </row>
    <row r="23" spans="1:11" x14ac:dyDescent="0.2">
      <c r="A23" s="452">
        <v>13</v>
      </c>
      <c r="B23" s="453" t="s">
        <v>429</v>
      </c>
      <c r="C23" s="454"/>
      <c r="D23" s="454"/>
      <c r="E23" s="454"/>
      <c r="F23" s="455">
        <f t="shared" ref="F23:K23" si="3">F8</f>
        <v>67226440.462681264</v>
      </c>
      <c r="G23" s="455">
        <f t="shared" si="3"/>
        <v>197657829.97617581</v>
      </c>
      <c r="H23" s="455">
        <f t="shared" si="3"/>
        <v>264884270.43885708</v>
      </c>
      <c r="I23" s="455">
        <f t="shared" si="3"/>
        <v>64536189.235318631</v>
      </c>
      <c r="J23" s="455">
        <f t="shared" si="3"/>
        <v>169213385.32635936</v>
      </c>
      <c r="K23" s="456">
        <f t="shared" si="3"/>
        <v>233749574.56167799</v>
      </c>
    </row>
    <row r="24" spans="1:11" ht="13.5" thickBot="1" x14ac:dyDescent="0.25">
      <c r="A24" s="457">
        <v>14</v>
      </c>
      <c r="B24" s="458" t="s">
        <v>445</v>
      </c>
      <c r="C24" s="459"/>
      <c r="D24" s="460"/>
      <c r="E24" s="461"/>
      <c r="F24" s="462">
        <f t="shared" ref="F24:K24" si="4">MAX(F16-F21,F16*0.25)</f>
        <v>55790655.598181441</v>
      </c>
      <c r="G24" s="462">
        <f t="shared" si="4"/>
        <v>166161409.18062353</v>
      </c>
      <c r="H24" s="462">
        <f t="shared" si="4"/>
        <v>221952064.77880499</v>
      </c>
      <c r="I24" s="462">
        <f t="shared" si="4"/>
        <v>36645353.778301209</v>
      </c>
      <c r="J24" s="462">
        <f t="shared" si="4"/>
        <v>68109198.966643214</v>
      </c>
      <c r="K24" s="463">
        <f t="shared" si="4"/>
        <v>104754552.74494442</v>
      </c>
    </row>
    <row r="25" spans="1:11" ht="13.5" thickBot="1" x14ac:dyDescent="0.25">
      <c r="A25" s="464">
        <v>15</v>
      </c>
      <c r="B25" s="465" t="s">
        <v>62</v>
      </c>
      <c r="C25" s="466"/>
      <c r="D25" s="466"/>
      <c r="E25" s="466"/>
      <c r="F25" s="467">
        <f t="shared" ref="F25:K25" si="5">F23/F24</f>
        <v>1.2049767069751478</v>
      </c>
      <c r="G25" s="467">
        <f t="shared" si="5"/>
        <v>1.1895531637030987</v>
      </c>
      <c r="H25" s="467">
        <f t="shared" si="5"/>
        <v>1.1934300800618272</v>
      </c>
      <c r="I25" s="468">
        <f t="shared" si="5"/>
        <v>1.7611015471634608</v>
      </c>
      <c r="J25" s="468">
        <f t="shared" si="5"/>
        <v>2.4844424526154296</v>
      </c>
      <c r="K25" s="469">
        <f t="shared" si="5"/>
        <v>2.2314025351319065</v>
      </c>
    </row>
    <row r="27" spans="1:11" ht="15" x14ac:dyDescent="0.25">
      <c r="F27" s="470"/>
      <c r="G27" s="470"/>
      <c r="H27" s="470"/>
      <c r="I27" s="428"/>
    </row>
    <row r="28" spans="1:11" ht="39" x14ac:dyDescent="0.25">
      <c r="B28" s="79" t="s">
        <v>446</v>
      </c>
      <c r="F28" s="470"/>
      <c r="G28" s="470"/>
      <c r="H28" s="470"/>
      <c r="I28" s="428"/>
    </row>
    <row r="29" spans="1:11" ht="15" x14ac:dyDescent="0.25">
      <c r="F29" s="470"/>
      <c r="G29" s="470"/>
      <c r="H29" s="470"/>
      <c r="I29" s="428"/>
    </row>
    <row r="30" spans="1:11" ht="15" x14ac:dyDescent="0.25">
      <c r="F30" s="470"/>
      <c r="G30" s="470"/>
      <c r="H30" s="470"/>
      <c r="I30" s="428"/>
    </row>
    <row r="31" spans="1:11" ht="15" x14ac:dyDescent="0.25">
      <c r="F31" s="470"/>
      <c r="G31" s="470"/>
      <c r="H31" s="470"/>
      <c r="I31" s="428"/>
    </row>
    <row r="32" spans="1:11" ht="15" x14ac:dyDescent="0.25">
      <c r="F32" s="470"/>
      <c r="G32" s="470"/>
      <c r="H32" s="470"/>
      <c r="I32" s="428"/>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0.249977111117893"/>
    <pageSetUpPr fitToPage="1"/>
  </sheetPr>
  <dimension ref="A1:O24"/>
  <sheetViews>
    <sheetView zoomScaleNormal="100" workbookViewId="0">
      <pane xSplit="1" ySplit="5" topLeftCell="B6"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ColWidth="9.140625" defaultRowHeight="15" x14ac:dyDescent="0.3"/>
  <cols>
    <col min="1" max="1" width="10.5703125" style="184" bestFit="1" customWidth="1"/>
    <col min="2" max="2" width="95" style="184" customWidth="1"/>
    <col min="3" max="3" width="14.7109375" style="184" bestFit="1" customWidth="1"/>
    <col min="4" max="4" width="10" style="184" bestFit="1" customWidth="1"/>
    <col min="5" max="5" width="18.28515625" style="184" bestFit="1" customWidth="1"/>
    <col min="6" max="10" width="4.85546875" style="184" bestFit="1" customWidth="1"/>
    <col min="11" max="11" width="10" style="184" bestFit="1" customWidth="1"/>
    <col min="12" max="13" width="5.7109375" style="184" bestFit="1" customWidth="1"/>
    <col min="14" max="14" width="31" style="184" bestFit="1" customWidth="1"/>
    <col min="15" max="16384" width="9.140625" style="123"/>
  </cols>
  <sheetData>
    <row r="1" spans="1:15" x14ac:dyDescent="0.3">
      <c r="A1" s="184" t="s">
        <v>447</v>
      </c>
      <c r="B1" s="22" t="str">
        <f>'1. key ratios'!B1</f>
        <v>სს ტერაბანკი</v>
      </c>
    </row>
    <row r="2" spans="1:15" ht="14.25" customHeight="1" x14ac:dyDescent="0.3">
      <c r="A2" s="184" t="s">
        <v>31</v>
      </c>
      <c r="B2" s="82">
        <v>44196</v>
      </c>
    </row>
    <row r="3" spans="1:15" ht="14.25" customHeight="1" x14ac:dyDescent="0.3"/>
    <row r="4" spans="1:15" ht="15.75" thickBot="1" x14ac:dyDescent="0.35">
      <c r="A4" s="22" t="s">
        <v>448</v>
      </c>
      <c r="B4" s="471" t="s">
        <v>27</v>
      </c>
    </row>
    <row r="5" spans="1:15" s="476" customFormat="1" ht="12.75" x14ac:dyDescent="0.2">
      <c r="A5" s="472"/>
      <c r="B5" s="473"/>
      <c r="C5" s="474" t="s">
        <v>248</v>
      </c>
      <c r="D5" s="474" t="s">
        <v>249</v>
      </c>
      <c r="E5" s="474" t="s">
        <v>250</v>
      </c>
      <c r="F5" s="474" t="s">
        <v>360</v>
      </c>
      <c r="G5" s="474" t="s">
        <v>361</v>
      </c>
      <c r="H5" s="474" t="s">
        <v>362</v>
      </c>
      <c r="I5" s="474" t="s">
        <v>363</v>
      </c>
      <c r="J5" s="474" t="s">
        <v>364</v>
      </c>
      <c r="K5" s="474" t="s">
        <v>365</v>
      </c>
      <c r="L5" s="474" t="s">
        <v>366</v>
      </c>
      <c r="M5" s="474" t="s">
        <v>367</v>
      </c>
      <c r="N5" s="475" t="s">
        <v>368</v>
      </c>
    </row>
    <row r="6" spans="1:15" ht="45" x14ac:dyDescent="0.3">
      <c r="A6" s="477"/>
      <c r="B6" s="478"/>
      <c r="C6" s="479" t="s">
        <v>449</v>
      </c>
      <c r="D6" s="480" t="s">
        <v>450</v>
      </c>
      <c r="E6" s="481" t="s">
        <v>451</v>
      </c>
      <c r="F6" s="482">
        <v>0</v>
      </c>
      <c r="G6" s="482">
        <v>0.2</v>
      </c>
      <c r="H6" s="482">
        <v>0.35</v>
      </c>
      <c r="I6" s="482">
        <v>0.5</v>
      </c>
      <c r="J6" s="482">
        <v>0.75</v>
      </c>
      <c r="K6" s="482">
        <v>1</v>
      </c>
      <c r="L6" s="482">
        <v>1.5</v>
      </c>
      <c r="M6" s="482">
        <v>2.5</v>
      </c>
      <c r="N6" s="483" t="s">
        <v>27</v>
      </c>
    </row>
    <row r="7" spans="1:15" x14ac:dyDescent="0.3">
      <c r="A7" s="484">
        <v>1</v>
      </c>
      <c r="B7" s="485" t="s">
        <v>452</v>
      </c>
      <c r="C7" s="486">
        <f>SUM(C8:C13)</f>
        <v>78045869.400000006</v>
      </c>
      <c r="D7" s="487"/>
      <c r="E7" s="488">
        <f>SUM(E8:E12)</f>
        <v>1560917.388</v>
      </c>
      <c r="F7" s="489">
        <v>0</v>
      </c>
      <c r="G7" s="489">
        <v>0</v>
      </c>
      <c r="H7" s="489">
        <v>0</v>
      </c>
      <c r="I7" s="489">
        <v>0</v>
      </c>
      <c r="J7" s="489">
        <v>0</v>
      </c>
      <c r="K7" s="489">
        <v>1560917.388</v>
      </c>
      <c r="L7" s="489">
        <v>0</v>
      </c>
      <c r="M7" s="489">
        <v>0</v>
      </c>
      <c r="N7" s="490">
        <v>1560917.388</v>
      </c>
      <c r="O7" s="491"/>
    </row>
    <row r="8" spans="1:15" x14ac:dyDescent="0.3">
      <c r="A8" s="484">
        <v>1.1000000000000001</v>
      </c>
      <c r="B8" s="492" t="s">
        <v>453</v>
      </c>
      <c r="C8" s="489">
        <v>78045869.400000006</v>
      </c>
      <c r="D8" s="493">
        <v>0.02</v>
      </c>
      <c r="E8" s="488">
        <f>C8*D8</f>
        <v>1560917.388</v>
      </c>
      <c r="F8" s="489">
        <v>0</v>
      </c>
      <c r="G8" s="489">
        <v>0</v>
      </c>
      <c r="H8" s="489">
        <v>0</v>
      </c>
      <c r="I8" s="489">
        <v>0</v>
      </c>
      <c r="J8" s="489">
        <v>0</v>
      </c>
      <c r="K8" s="489">
        <v>1560917.388</v>
      </c>
      <c r="L8" s="489">
        <v>0</v>
      </c>
      <c r="M8" s="489">
        <v>0</v>
      </c>
      <c r="N8" s="490">
        <v>1560917.388</v>
      </c>
      <c r="O8" s="491"/>
    </row>
    <row r="9" spans="1:15" x14ac:dyDescent="0.3">
      <c r="A9" s="484">
        <v>1.2</v>
      </c>
      <c r="B9" s="492" t="s">
        <v>454</v>
      </c>
      <c r="C9" s="489">
        <v>0</v>
      </c>
      <c r="D9" s="493">
        <v>0.05</v>
      </c>
      <c r="E9" s="488">
        <f>C9*D9</f>
        <v>0</v>
      </c>
      <c r="F9" s="489">
        <v>0</v>
      </c>
      <c r="G9" s="489">
        <v>0</v>
      </c>
      <c r="H9" s="489">
        <v>0</v>
      </c>
      <c r="I9" s="489">
        <v>0</v>
      </c>
      <c r="J9" s="489">
        <v>0</v>
      </c>
      <c r="K9" s="489">
        <v>0</v>
      </c>
      <c r="L9" s="489">
        <v>0</v>
      </c>
      <c r="M9" s="489">
        <v>0</v>
      </c>
      <c r="N9" s="490">
        <v>0</v>
      </c>
      <c r="O9" s="491"/>
    </row>
    <row r="10" spans="1:15" x14ac:dyDescent="0.3">
      <c r="A10" s="484">
        <v>1.3</v>
      </c>
      <c r="B10" s="492" t="s">
        <v>455</v>
      </c>
      <c r="C10" s="489">
        <v>0</v>
      </c>
      <c r="D10" s="493">
        <v>0.08</v>
      </c>
      <c r="E10" s="488">
        <f>C10*D10</f>
        <v>0</v>
      </c>
      <c r="F10" s="489">
        <v>0</v>
      </c>
      <c r="G10" s="489">
        <v>0</v>
      </c>
      <c r="H10" s="489">
        <v>0</v>
      </c>
      <c r="I10" s="489">
        <v>0</v>
      </c>
      <c r="J10" s="489">
        <v>0</v>
      </c>
      <c r="K10" s="489">
        <v>0</v>
      </c>
      <c r="L10" s="489">
        <v>0</v>
      </c>
      <c r="M10" s="489">
        <v>0</v>
      </c>
      <c r="N10" s="490">
        <v>0</v>
      </c>
      <c r="O10" s="491"/>
    </row>
    <row r="11" spans="1:15" x14ac:dyDescent="0.3">
      <c r="A11" s="484">
        <v>1.4</v>
      </c>
      <c r="B11" s="492" t="s">
        <v>456</v>
      </c>
      <c r="C11" s="489">
        <v>0</v>
      </c>
      <c r="D11" s="493">
        <v>0.11</v>
      </c>
      <c r="E11" s="488">
        <f>C11*D11</f>
        <v>0</v>
      </c>
      <c r="F11" s="489">
        <v>0</v>
      </c>
      <c r="G11" s="489">
        <v>0</v>
      </c>
      <c r="H11" s="489">
        <v>0</v>
      </c>
      <c r="I11" s="489">
        <v>0</v>
      </c>
      <c r="J11" s="489">
        <v>0</v>
      </c>
      <c r="K11" s="489">
        <v>0</v>
      </c>
      <c r="L11" s="489">
        <v>0</v>
      </c>
      <c r="M11" s="489">
        <v>0</v>
      </c>
      <c r="N11" s="490">
        <v>0</v>
      </c>
      <c r="O11" s="491"/>
    </row>
    <row r="12" spans="1:15" x14ac:dyDescent="0.3">
      <c r="A12" s="484">
        <v>1.5</v>
      </c>
      <c r="B12" s="492" t="s">
        <v>457</v>
      </c>
      <c r="C12" s="489">
        <v>0</v>
      </c>
      <c r="D12" s="493">
        <v>0.14000000000000001</v>
      </c>
      <c r="E12" s="488">
        <f>C12*D12</f>
        <v>0</v>
      </c>
      <c r="F12" s="489">
        <v>0</v>
      </c>
      <c r="G12" s="489">
        <v>0</v>
      </c>
      <c r="H12" s="489">
        <v>0</v>
      </c>
      <c r="I12" s="489">
        <v>0</v>
      </c>
      <c r="J12" s="489">
        <v>0</v>
      </c>
      <c r="K12" s="489">
        <v>0</v>
      </c>
      <c r="L12" s="489">
        <v>0</v>
      </c>
      <c r="M12" s="489">
        <v>0</v>
      </c>
      <c r="N12" s="490">
        <v>0</v>
      </c>
      <c r="O12" s="491"/>
    </row>
    <row r="13" spans="1:15" x14ac:dyDescent="0.3">
      <c r="A13" s="484">
        <v>1.6</v>
      </c>
      <c r="B13" s="494" t="s">
        <v>458</v>
      </c>
      <c r="C13" s="489">
        <v>0</v>
      </c>
      <c r="D13" s="495"/>
      <c r="E13" s="489"/>
      <c r="F13" s="489">
        <v>0</v>
      </c>
      <c r="G13" s="489">
        <v>0</v>
      </c>
      <c r="H13" s="489">
        <v>0</v>
      </c>
      <c r="I13" s="489">
        <v>0</v>
      </c>
      <c r="J13" s="489">
        <v>0</v>
      </c>
      <c r="K13" s="489">
        <v>0</v>
      </c>
      <c r="L13" s="489">
        <v>0</v>
      </c>
      <c r="M13" s="489">
        <v>0</v>
      </c>
      <c r="N13" s="490">
        <v>0</v>
      </c>
      <c r="O13" s="491"/>
    </row>
    <row r="14" spans="1:15" x14ac:dyDescent="0.3">
      <c r="A14" s="484">
        <v>2</v>
      </c>
      <c r="B14" s="496" t="s">
        <v>459</v>
      </c>
      <c r="C14" s="486">
        <f>SUM(C15:C20)</f>
        <v>0</v>
      </c>
      <c r="D14" s="487"/>
      <c r="E14" s="488">
        <f>SUM(E15:E19)</f>
        <v>0</v>
      </c>
      <c r="F14" s="489">
        <v>0</v>
      </c>
      <c r="G14" s="489">
        <v>0</v>
      </c>
      <c r="H14" s="489">
        <v>0</v>
      </c>
      <c r="I14" s="489">
        <v>0</v>
      </c>
      <c r="J14" s="489">
        <v>0</v>
      </c>
      <c r="K14" s="489">
        <v>0</v>
      </c>
      <c r="L14" s="489">
        <v>0</v>
      </c>
      <c r="M14" s="489">
        <v>0</v>
      </c>
      <c r="N14" s="490">
        <v>0</v>
      </c>
      <c r="O14" s="491"/>
    </row>
    <row r="15" spans="1:15" x14ac:dyDescent="0.3">
      <c r="A15" s="484">
        <v>2.1</v>
      </c>
      <c r="B15" s="494" t="s">
        <v>453</v>
      </c>
      <c r="C15" s="489">
        <v>0</v>
      </c>
      <c r="D15" s="493">
        <v>5.0000000000000001E-3</v>
      </c>
      <c r="E15" s="488">
        <f>D15*C15</f>
        <v>0</v>
      </c>
      <c r="F15" s="489">
        <v>0</v>
      </c>
      <c r="G15" s="489">
        <v>0</v>
      </c>
      <c r="H15" s="489">
        <v>0</v>
      </c>
      <c r="I15" s="489">
        <v>0</v>
      </c>
      <c r="J15" s="489">
        <v>0</v>
      </c>
      <c r="K15" s="489">
        <v>0</v>
      </c>
      <c r="L15" s="489">
        <v>0</v>
      </c>
      <c r="M15" s="489">
        <v>0</v>
      </c>
      <c r="N15" s="490">
        <v>0</v>
      </c>
      <c r="O15" s="491"/>
    </row>
    <row r="16" spans="1:15" x14ac:dyDescent="0.3">
      <c r="A16" s="484">
        <v>2.2000000000000002</v>
      </c>
      <c r="B16" s="494" t="s">
        <v>454</v>
      </c>
      <c r="C16" s="489">
        <v>0</v>
      </c>
      <c r="D16" s="493">
        <v>0.01</v>
      </c>
      <c r="E16" s="488">
        <f>D16*C16</f>
        <v>0</v>
      </c>
      <c r="F16" s="489">
        <v>0</v>
      </c>
      <c r="G16" s="489">
        <v>0</v>
      </c>
      <c r="H16" s="489">
        <v>0</v>
      </c>
      <c r="I16" s="489">
        <v>0</v>
      </c>
      <c r="J16" s="489">
        <v>0</v>
      </c>
      <c r="K16" s="489">
        <v>0</v>
      </c>
      <c r="L16" s="489">
        <v>0</v>
      </c>
      <c r="M16" s="489">
        <v>0</v>
      </c>
      <c r="N16" s="490">
        <v>0</v>
      </c>
      <c r="O16" s="491"/>
    </row>
    <row r="17" spans="1:15" x14ac:dyDescent="0.3">
      <c r="A17" s="484">
        <v>2.2999999999999998</v>
      </c>
      <c r="B17" s="494" t="s">
        <v>455</v>
      </c>
      <c r="C17" s="489">
        <v>0</v>
      </c>
      <c r="D17" s="493">
        <v>0.02</v>
      </c>
      <c r="E17" s="488">
        <f>D17*C17</f>
        <v>0</v>
      </c>
      <c r="F17" s="489">
        <v>0</v>
      </c>
      <c r="G17" s="489">
        <v>0</v>
      </c>
      <c r="H17" s="489">
        <v>0</v>
      </c>
      <c r="I17" s="489">
        <v>0</v>
      </c>
      <c r="J17" s="489">
        <v>0</v>
      </c>
      <c r="K17" s="489">
        <v>0</v>
      </c>
      <c r="L17" s="489">
        <v>0</v>
      </c>
      <c r="M17" s="489">
        <v>0</v>
      </c>
      <c r="N17" s="490">
        <v>0</v>
      </c>
      <c r="O17" s="491"/>
    </row>
    <row r="18" spans="1:15" x14ac:dyDescent="0.3">
      <c r="A18" s="484">
        <v>2.4</v>
      </c>
      <c r="B18" s="494" t="s">
        <v>456</v>
      </c>
      <c r="C18" s="489">
        <v>0</v>
      </c>
      <c r="D18" s="493">
        <v>0.03</v>
      </c>
      <c r="E18" s="488">
        <f>D18*C18</f>
        <v>0</v>
      </c>
      <c r="F18" s="489">
        <v>0</v>
      </c>
      <c r="G18" s="489">
        <v>0</v>
      </c>
      <c r="H18" s="489">
        <v>0</v>
      </c>
      <c r="I18" s="489">
        <v>0</v>
      </c>
      <c r="J18" s="489">
        <v>0</v>
      </c>
      <c r="K18" s="489">
        <v>0</v>
      </c>
      <c r="L18" s="489">
        <v>0</v>
      </c>
      <c r="M18" s="489">
        <v>0</v>
      </c>
      <c r="N18" s="490">
        <v>0</v>
      </c>
      <c r="O18" s="491"/>
    </row>
    <row r="19" spans="1:15" x14ac:dyDescent="0.3">
      <c r="A19" s="484">
        <v>2.5</v>
      </c>
      <c r="B19" s="494" t="s">
        <v>457</v>
      </c>
      <c r="C19" s="489">
        <v>0</v>
      </c>
      <c r="D19" s="493">
        <v>0.04</v>
      </c>
      <c r="E19" s="488">
        <f>D19*C19</f>
        <v>0</v>
      </c>
      <c r="F19" s="489">
        <v>0</v>
      </c>
      <c r="G19" s="489">
        <v>0</v>
      </c>
      <c r="H19" s="489">
        <v>0</v>
      </c>
      <c r="I19" s="489">
        <v>0</v>
      </c>
      <c r="J19" s="489">
        <v>0</v>
      </c>
      <c r="K19" s="489">
        <v>0</v>
      </c>
      <c r="L19" s="489">
        <v>0</v>
      </c>
      <c r="M19" s="489">
        <v>0</v>
      </c>
      <c r="N19" s="490">
        <v>0</v>
      </c>
      <c r="O19" s="491"/>
    </row>
    <row r="20" spans="1:15" x14ac:dyDescent="0.3">
      <c r="A20" s="484">
        <v>2.6</v>
      </c>
      <c r="B20" s="494" t="s">
        <v>458</v>
      </c>
      <c r="C20" s="489">
        <v>0</v>
      </c>
      <c r="D20" s="495"/>
      <c r="E20" s="497"/>
      <c r="F20" s="489">
        <v>0</v>
      </c>
      <c r="G20" s="489">
        <v>0</v>
      </c>
      <c r="H20" s="489">
        <v>0</v>
      </c>
      <c r="I20" s="489">
        <v>0</v>
      </c>
      <c r="J20" s="489">
        <v>0</v>
      </c>
      <c r="K20" s="489">
        <v>0</v>
      </c>
      <c r="L20" s="489">
        <v>0</v>
      </c>
      <c r="M20" s="489">
        <v>0</v>
      </c>
      <c r="N20" s="490">
        <v>0</v>
      </c>
      <c r="O20" s="491"/>
    </row>
    <row r="21" spans="1:15" ht="15.75" thickBot="1" x14ac:dyDescent="0.35">
      <c r="A21" s="498">
        <v>3</v>
      </c>
      <c r="B21" s="499" t="s">
        <v>73</v>
      </c>
      <c r="C21" s="500">
        <f>C7+C14</f>
        <v>78045869.400000006</v>
      </c>
      <c r="D21" s="501"/>
      <c r="E21" s="502">
        <f>SUM(E7+E14)</f>
        <v>1560917.388</v>
      </c>
      <c r="F21" s="489">
        <v>0</v>
      </c>
      <c r="G21" s="489">
        <v>0</v>
      </c>
      <c r="H21" s="489">
        <v>0</v>
      </c>
      <c r="I21" s="489">
        <v>0</v>
      </c>
      <c r="J21" s="489">
        <v>0</v>
      </c>
      <c r="K21" s="489">
        <v>0</v>
      </c>
      <c r="L21" s="489">
        <v>0</v>
      </c>
      <c r="M21" s="489">
        <v>0</v>
      </c>
      <c r="N21" s="490">
        <v>1560917.388</v>
      </c>
      <c r="O21" s="491"/>
    </row>
    <row r="22" spans="1:15" x14ac:dyDescent="0.3">
      <c r="C22" s="503"/>
      <c r="D22" s="503"/>
      <c r="E22" s="504"/>
      <c r="F22" s="504"/>
      <c r="G22" s="504"/>
      <c r="H22" s="504"/>
      <c r="I22" s="504"/>
      <c r="J22" s="504"/>
      <c r="K22" s="504"/>
      <c r="L22" s="504"/>
      <c r="M22" s="504"/>
      <c r="N22" s="503"/>
      <c r="O22" s="491"/>
    </row>
    <row r="23" spans="1:15" x14ac:dyDescent="0.3">
      <c r="C23" s="503"/>
      <c r="D23" s="503"/>
      <c r="E23" s="503"/>
      <c r="F23" s="503"/>
      <c r="G23" s="503"/>
      <c r="H23" s="503"/>
      <c r="I23" s="503"/>
      <c r="J23" s="503"/>
      <c r="K23" s="503"/>
      <c r="L23" s="503"/>
      <c r="M23" s="503"/>
      <c r="N23" s="503"/>
      <c r="O23" s="491"/>
    </row>
    <row r="24" spans="1:15" x14ac:dyDescent="0.3">
      <c r="C24" s="503"/>
      <c r="D24" s="503"/>
      <c r="E24" s="503"/>
      <c r="F24" s="503"/>
      <c r="G24" s="503"/>
      <c r="H24" s="503"/>
      <c r="I24" s="503"/>
      <c r="J24" s="503"/>
      <c r="K24" s="503"/>
      <c r="L24" s="503"/>
      <c r="M24" s="503"/>
      <c r="N24" s="503"/>
      <c r="O24" s="49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2" tint="-0.249977111117893"/>
  </sheetPr>
  <dimension ref="A1:D43"/>
  <sheetViews>
    <sheetView topLeftCell="A5" workbookViewId="0">
      <selection activeCell="XEJ1048571" sqref="XEJ1048571"/>
    </sheetView>
  </sheetViews>
  <sheetFormatPr defaultColWidth="9.140625" defaultRowHeight="12.75" x14ac:dyDescent="0.2"/>
  <cols>
    <col min="1" max="1" width="11.7109375" style="505" customWidth="1"/>
    <col min="2" max="2" width="64.28515625" style="506" customWidth="1"/>
    <col min="3" max="3" width="13.5703125" style="505" bestFit="1" customWidth="1"/>
    <col min="4" max="4" width="11.28515625" style="505" bestFit="1" customWidth="1"/>
    <col min="5" max="16384" width="9.140625" style="505"/>
  </cols>
  <sheetData>
    <row r="1" spans="1:4" ht="15" x14ac:dyDescent="0.3">
      <c r="A1" s="184" t="s">
        <v>447</v>
      </c>
      <c r="B1" s="22" t="str">
        <f>'1. key ratios'!B1</f>
        <v>სს ტერაბანკი</v>
      </c>
    </row>
    <row r="2" spans="1:4" ht="15" x14ac:dyDescent="0.3">
      <c r="A2" s="184" t="s">
        <v>31</v>
      </c>
      <c r="B2" s="82">
        <v>44196</v>
      </c>
    </row>
    <row r="3" spans="1:4" ht="15" x14ac:dyDescent="0.3">
      <c r="A3" s="184"/>
    </row>
    <row r="4" spans="1:4" ht="18.75" x14ac:dyDescent="0.3">
      <c r="A4" s="184" t="s">
        <v>460</v>
      </c>
      <c r="B4" s="507" t="s">
        <v>28</v>
      </c>
      <c r="C4" s="508"/>
    </row>
    <row r="5" spans="1:4" x14ac:dyDescent="0.2">
      <c r="A5" s="509"/>
      <c r="B5" s="509" t="s">
        <v>461</v>
      </c>
      <c r="C5" s="510"/>
    </row>
    <row r="6" spans="1:4" x14ac:dyDescent="0.2">
      <c r="A6" s="511">
        <v>1</v>
      </c>
      <c r="B6" s="512" t="s">
        <v>462</v>
      </c>
      <c r="C6" s="513">
        <v>1249510567.430001</v>
      </c>
      <c r="D6" s="514"/>
    </row>
    <row r="7" spans="1:4" x14ac:dyDescent="0.2">
      <c r="A7" s="511">
        <v>2</v>
      </c>
      <c r="B7" s="512" t="s">
        <v>463</v>
      </c>
      <c r="C7" s="513">
        <v>-22952847.949999992</v>
      </c>
    </row>
    <row r="8" spans="1:4" x14ac:dyDescent="0.2">
      <c r="A8" s="515">
        <v>3</v>
      </c>
      <c r="B8" s="516" t="s">
        <v>464</v>
      </c>
      <c r="C8" s="517">
        <f>C6+C7</f>
        <v>1226557719.480001</v>
      </c>
    </row>
    <row r="9" spans="1:4" x14ac:dyDescent="0.2">
      <c r="A9" s="518"/>
      <c r="B9" s="518" t="s">
        <v>465</v>
      </c>
      <c r="C9" s="519"/>
    </row>
    <row r="10" spans="1:4" x14ac:dyDescent="0.2">
      <c r="A10" s="520">
        <v>4</v>
      </c>
      <c r="B10" s="521" t="s">
        <v>466</v>
      </c>
      <c r="C10" s="513"/>
    </row>
    <row r="11" spans="1:4" x14ac:dyDescent="0.2">
      <c r="A11" s="520">
        <v>5</v>
      </c>
      <c r="B11" s="522" t="s">
        <v>467</v>
      </c>
      <c r="C11" s="513"/>
    </row>
    <row r="12" spans="1:4" ht="24" x14ac:dyDescent="0.2">
      <c r="A12" s="520" t="s">
        <v>468</v>
      </c>
      <c r="B12" s="512" t="s">
        <v>469</v>
      </c>
      <c r="C12" s="513">
        <v>1560917.388</v>
      </c>
    </row>
    <row r="13" spans="1:4" ht="24" x14ac:dyDescent="0.2">
      <c r="A13" s="523">
        <v>6</v>
      </c>
      <c r="B13" s="524" t="s">
        <v>470</v>
      </c>
      <c r="C13" s="513"/>
    </row>
    <row r="14" spans="1:4" x14ac:dyDescent="0.2">
      <c r="A14" s="523">
        <v>7</v>
      </c>
      <c r="B14" s="525" t="s">
        <v>471</v>
      </c>
      <c r="C14" s="513"/>
    </row>
    <row r="15" spans="1:4" ht="24" x14ac:dyDescent="0.2">
      <c r="A15" s="526">
        <v>8</v>
      </c>
      <c r="B15" s="512" t="s">
        <v>472</v>
      </c>
      <c r="C15" s="513"/>
    </row>
    <row r="16" spans="1:4" ht="24" x14ac:dyDescent="0.2">
      <c r="A16" s="523">
        <v>9</v>
      </c>
      <c r="B16" s="525" t="s">
        <v>473</v>
      </c>
      <c r="C16" s="513"/>
    </row>
    <row r="17" spans="1:3" x14ac:dyDescent="0.2">
      <c r="A17" s="523">
        <v>10</v>
      </c>
      <c r="B17" s="525" t="s">
        <v>474</v>
      </c>
      <c r="C17" s="513"/>
    </row>
    <row r="18" spans="1:3" x14ac:dyDescent="0.2">
      <c r="A18" s="527">
        <v>11</v>
      </c>
      <c r="B18" s="528" t="s">
        <v>475</v>
      </c>
      <c r="C18" s="529">
        <f>SUM(C10:C17)</f>
        <v>1560917.388</v>
      </c>
    </row>
    <row r="19" spans="1:3" x14ac:dyDescent="0.2">
      <c r="A19" s="518"/>
      <c r="B19" s="518" t="s">
        <v>476</v>
      </c>
      <c r="C19" s="530"/>
    </row>
    <row r="20" spans="1:3" ht="24" x14ac:dyDescent="0.2">
      <c r="A20" s="523">
        <v>12</v>
      </c>
      <c r="B20" s="521" t="s">
        <v>477</v>
      </c>
      <c r="C20" s="513"/>
    </row>
    <row r="21" spans="1:3" x14ac:dyDescent="0.2">
      <c r="A21" s="523">
        <v>13</v>
      </c>
      <c r="B21" s="521" t="s">
        <v>478</v>
      </c>
      <c r="C21" s="513"/>
    </row>
    <row r="22" spans="1:3" ht="24" x14ac:dyDescent="0.2">
      <c r="A22" s="523">
        <v>14</v>
      </c>
      <c r="B22" s="521" t="s">
        <v>479</v>
      </c>
      <c r="C22" s="513"/>
    </row>
    <row r="23" spans="1:3" ht="24" x14ac:dyDescent="0.2">
      <c r="A23" s="523" t="s">
        <v>480</v>
      </c>
      <c r="B23" s="521" t="s">
        <v>481</v>
      </c>
      <c r="C23" s="513"/>
    </row>
    <row r="24" spans="1:3" x14ac:dyDescent="0.2">
      <c r="A24" s="523">
        <v>15</v>
      </c>
      <c r="B24" s="521" t="s">
        <v>482</v>
      </c>
      <c r="C24" s="513"/>
    </row>
    <row r="25" spans="1:3" x14ac:dyDescent="0.2">
      <c r="A25" s="523" t="s">
        <v>483</v>
      </c>
      <c r="B25" s="512" t="s">
        <v>484</v>
      </c>
      <c r="C25" s="513"/>
    </row>
    <row r="26" spans="1:3" x14ac:dyDescent="0.2">
      <c r="A26" s="527">
        <v>16</v>
      </c>
      <c r="B26" s="528" t="s">
        <v>485</v>
      </c>
      <c r="C26" s="529">
        <f>SUM(C20:C25)</f>
        <v>0</v>
      </c>
    </row>
    <row r="27" spans="1:3" x14ac:dyDescent="0.2">
      <c r="A27" s="518"/>
      <c r="B27" s="518" t="s">
        <v>486</v>
      </c>
      <c r="C27" s="519"/>
    </row>
    <row r="28" spans="1:3" x14ac:dyDescent="0.2">
      <c r="A28" s="520">
        <v>17</v>
      </c>
      <c r="B28" s="512" t="s">
        <v>487</v>
      </c>
      <c r="C28" s="513">
        <v>69851475.229999885</v>
      </c>
    </row>
    <row r="29" spans="1:3" x14ac:dyDescent="0.2">
      <c r="A29" s="520">
        <v>18</v>
      </c>
      <c r="B29" s="512" t="s">
        <v>488</v>
      </c>
      <c r="C29" s="513">
        <v>-33050196.917999946</v>
      </c>
    </row>
    <row r="30" spans="1:3" x14ac:dyDescent="0.2">
      <c r="A30" s="527">
        <v>19</v>
      </c>
      <c r="B30" s="528" t="s">
        <v>489</v>
      </c>
      <c r="C30" s="529">
        <f>C28+C29</f>
        <v>36801278.311999939</v>
      </c>
    </row>
    <row r="31" spans="1:3" x14ac:dyDescent="0.2">
      <c r="A31" s="531"/>
      <c r="B31" s="518" t="s">
        <v>490</v>
      </c>
      <c r="C31" s="519"/>
    </row>
    <row r="32" spans="1:3" x14ac:dyDescent="0.2">
      <c r="A32" s="520" t="s">
        <v>491</v>
      </c>
      <c r="B32" s="521" t="s">
        <v>492</v>
      </c>
      <c r="C32" s="532"/>
    </row>
    <row r="33" spans="1:3" ht="24" x14ac:dyDescent="0.2">
      <c r="A33" s="520" t="s">
        <v>493</v>
      </c>
      <c r="B33" s="522" t="s">
        <v>494</v>
      </c>
      <c r="C33" s="532"/>
    </row>
    <row r="34" spans="1:3" x14ac:dyDescent="0.2">
      <c r="A34" s="518"/>
      <c r="B34" s="518" t="s">
        <v>495</v>
      </c>
      <c r="C34" s="519"/>
    </row>
    <row r="35" spans="1:3" x14ac:dyDescent="0.2">
      <c r="A35" s="527">
        <v>20</v>
      </c>
      <c r="B35" s="528" t="s">
        <v>37</v>
      </c>
      <c r="C35" s="513">
        <v>102541789.95999981</v>
      </c>
    </row>
    <row r="36" spans="1:3" ht="24" x14ac:dyDescent="0.2">
      <c r="A36" s="527">
        <v>21</v>
      </c>
      <c r="B36" s="528" t="s">
        <v>496</v>
      </c>
      <c r="C36" s="529">
        <f>C8+C18+C26+C30</f>
        <v>1264919915.180001</v>
      </c>
    </row>
    <row r="37" spans="1:3" x14ac:dyDescent="0.2">
      <c r="A37" s="620" t="s">
        <v>28</v>
      </c>
      <c r="B37" s="621"/>
      <c r="C37" s="519"/>
    </row>
    <row r="38" spans="1:3" x14ac:dyDescent="0.2">
      <c r="A38" s="527">
        <v>22</v>
      </c>
      <c r="B38" s="533" t="s">
        <v>28</v>
      </c>
      <c r="C38" s="534">
        <f>IFERROR(C35/C36,0)</f>
        <v>8.1065835654431831E-2</v>
      </c>
    </row>
    <row r="39" spans="1:3" x14ac:dyDescent="0.2">
      <c r="A39" s="535"/>
      <c r="B39" s="535" t="s">
        <v>497</v>
      </c>
      <c r="C39" s="519"/>
    </row>
    <row r="40" spans="1:3" x14ac:dyDescent="0.2">
      <c r="A40" s="536" t="s">
        <v>498</v>
      </c>
      <c r="B40" s="521" t="s">
        <v>499</v>
      </c>
      <c r="C40" s="532"/>
    </row>
    <row r="41" spans="1:3" ht="24" x14ac:dyDescent="0.2">
      <c r="A41" s="537" t="s">
        <v>500</v>
      </c>
      <c r="B41" s="522" t="s">
        <v>501</v>
      </c>
      <c r="C41" s="532"/>
    </row>
    <row r="43" spans="1:3" x14ac:dyDescent="0.2">
      <c r="B43" s="538" t="s">
        <v>502</v>
      </c>
    </row>
  </sheetData>
  <mergeCells count="1">
    <mergeCell ref="A37:B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pageSetUpPr fitToPage="1"/>
  </sheetPr>
  <dimension ref="A1:L46"/>
  <sheetViews>
    <sheetView showGridLines="0" zoomScaleNormal="100" workbookViewId="0">
      <pane xSplit="1" ySplit="5" topLeftCell="B6"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RowHeight="15.75" x14ac:dyDescent="0.3"/>
  <cols>
    <col min="1" max="1" width="9.5703125" style="80" bestFit="1" customWidth="1"/>
    <col min="2" max="2" width="86" style="24" customWidth="1"/>
    <col min="3" max="3" width="13.7109375" style="24" customWidth="1"/>
    <col min="4" max="4" width="12.7109375" style="22" bestFit="1" customWidth="1"/>
    <col min="5" max="5" width="14" style="22" bestFit="1" customWidth="1"/>
    <col min="6" max="6" width="13.7109375" style="22" bestFit="1" customWidth="1"/>
    <col min="7" max="7" width="13.28515625" style="22" bestFit="1" customWidth="1"/>
    <col min="8" max="8" width="6.7109375" customWidth="1"/>
    <col min="9" max="9" width="11.5703125" customWidth="1"/>
    <col min="10" max="13" width="6.7109375" customWidth="1"/>
  </cols>
  <sheetData>
    <row r="1" spans="1:12" x14ac:dyDescent="0.3">
      <c r="A1" s="23" t="s">
        <v>29</v>
      </c>
      <c r="B1" s="24" t="s">
        <v>30</v>
      </c>
    </row>
    <row r="2" spans="1:12" x14ac:dyDescent="0.3">
      <c r="A2" s="23" t="s">
        <v>31</v>
      </c>
      <c r="B2" s="25">
        <v>44196</v>
      </c>
      <c r="C2" s="26"/>
      <c r="D2" s="27"/>
      <c r="E2" s="27"/>
      <c r="F2" s="27"/>
      <c r="G2" s="27"/>
      <c r="H2" s="28"/>
    </row>
    <row r="3" spans="1:12" x14ac:dyDescent="0.3">
      <c r="A3" s="23"/>
      <c r="C3" s="26"/>
      <c r="D3" s="27"/>
      <c r="E3" s="27"/>
      <c r="F3" s="27"/>
      <c r="G3" s="27"/>
      <c r="H3" s="28"/>
    </row>
    <row r="4" spans="1:12" ht="16.5" thickBot="1" x14ac:dyDescent="0.35">
      <c r="A4" s="29" t="s">
        <v>32</v>
      </c>
      <c r="B4" s="30" t="s">
        <v>12</v>
      </c>
      <c r="C4" s="31"/>
      <c r="D4" s="32"/>
      <c r="E4" s="32"/>
      <c r="F4" s="32"/>
      <c r="G4" s="32"/>
      <c r="H4" s="28"/>
    </row>
    <row r="5" spans="1:12" ht="15" x14ac:dyDescent="0.25">
      <c r="A5" s="33" t="s">
        <v>33</v>
      </c>
      <c r="B5" s="34"/>
      <c r="C5" s="35">
        <v>44196</v>
      </c>
      <c r="D5" s="36">
        <v>44104</v>
      </c>
      <c r="E5" s="36">
        <v>44012</v>
      </c>
      <c r="F5" s="36">
        <v>43921</v>
      </c>
      <c r="G5" s="37">
        <v>43830</v>
      </c>
    </row>
    <row r="6" spans="1:12" ht="15" x14ac:dyDescent="0.25">
      <c r="A6" s="545"/>
      <c r="B6" s="39" t="s">
        <v>34</v>
      </c>
      <c r="C6" s="40"/>
      <c r="D6" s="40"/>
      <c r="E6" s="40"/>
      <c r="F6" s="40"/>
      <c r="G6" s="41"/>
    </row>
    <row r="7" spans="1:12" ht="15" x14ac:dyDescent="0.25">
      <c r="A7" s="546"/>
      <c r="B7" s="42" t="s">
        <v>35</v>
      </c>
      <c r="C7" s="40"/>
      <c r="D7" s="40"/>
      <c r="E7" s="40"/>
      <c r="F7" s="40"/>
      <c r="G7" s="41"/>
    </row>
    <row r="8" spans="1:12" ht="15" x14ac:dyDescent="0.25">
      <c r="A8" s="43">
        <v>1</v>
      </c>
      <c r="B8" s="44" t="s">
        <v>36</v>
      </c>
      <c r="C8" s="45">
        <v>102541789.95999981</v>
      </c>
      <c r="D8" s="46">
        <v>101028332.58999997</v>
      </c>
      <c r="E8" s="46">
        <v>96484633.270000085</v>
      </c>
      <c r="F8" s="46">
        <v>97812466.859999955</v>
      </c>
      <c r="G8" s="47">
        <v>116131509.71000022</v>
      </c>
    </row>
    <row r="9" spans="1:12" ht="15" x14ac:dyDescent="0.25">
      <c r="A9" s="43">
        <v>2</v>
      </c>
      <c r="B9" s="44" t="s">
        <v>37</v>
      </c>
      <c r="C9" s="45">
        <v>102541789.95999981</v>
      </c>
      <c r="D9" s="46">
        <v>101028332.58999997</v>
      </c>
      <c r="E9" s="46">
        <v>96484633.270000085</v>
      </c>
      <c r="F9" s="46">
        <v>97812466.859999955</v>
      </c>
      <c r="G9" s="47">
        <v>116131509.71000022</v>
      </c>
      <c r="I9" s="48"/>
    </row>
    <row r="10" spans="1:12" ht="15" x14ac:dyDescent="0.25">
      <c r="A10" s="43">
        <v>3</v>
      </c>
      <c r="B10" s="44" t="s">
        <v>20</v>
      </c>
      <c r="C10" s="45">
        <v>160530749.12373734</v>
      </c>
      <c r="D10" s="46">
        <v>161137592.89336559</v>
      </c>
      <c r="E10" s="46">
        <v>152741011.19189069</v>
      </c>
      <c r="F10" s="46">
        <v>163125145.89576554</v>
      </c>
      <c r="G10" s="47">
        <v>172988560.74368143</v>
      </c>
    </row>
    <row r="11" spans="1:12" ht="15" x14ac:dyDescent="0.25">
      <c r="A11" s="38"/>
      <c r="B11" s="39" t="s">
        <v>38</v>
      </c>
      <c r="C11" s="49"/>
      <c r="D11" s="49"/>
      <c r="E11" s="49"/>
      <c r="F11" s="49"/>
      <c r="G11" s="50"/>
    </row>
    <row r="12" spans="1:12" ht="15" customHeight="1" x14ac:dyDescent="0.25">
      <c r="A12" s="43">
        <v>4</v>
      </c>
      <c r="B12" s="44" t="s">
        <v>39</v>
      </c>
      <c r="C12" s="51">
        <v>1059976416.0590007</v>
      </c>
      <c r="D12" s="46">
        <v>1054574532.8080001</v>
      </c>
      <c r="E12" s="52">
        <v>945036348.83999848</v>
      </c>
      <c r="F12" s="52">
        <v>962318943.62999654</v>
      </c>
      <c r="G12" s="53">
        <v>898692525.95324779</v>
      </c>
      <c r="I12" s="54"/>
      <c r="J12" s="54"/>
      <c r="K12" s="54"/>
      <c r="L12" s="54"/>
    </row>
    <row r="13" spans="1:12" ht="15" x14ac:dyDescent="0.25">
      <c r="A13" s="38"/>
      <c r="B13" s="39" t="s">
        <v>40</v>
      </c>
      <c r="C13" s="40"/>
      <c r="D13" s="40"/>
      <c r="E13" s="40"/>
      <c r="F13" s="40"/>
      <c r="G13" s="41"/>
    </row>
    <row r="14" spans="1:12" s="21" customFormat="1" ht="15" x14ac:dyDescent="0.25">
      <c r="A14" s="43"/>
      <c r="B14" s="42" t="s">
        <v>41</v>
      </c>
      <c r="C14" s="40"/>
      <c r="D14" s="40"/>
      <c r="E14" s="40"/>
      <c r="F14" s="40"/>
      <c r="G14" s="41"/>
    </row>
    <row r="15" spans="1:12" ht="15" x14ac:dyDescent="0.25">
      <c r="A15" s="55">
        <v>5</v>
      </c>
      <c r="B15" s="56" t="str">
        <f>"ძირითადი პირველადი კაპიტალის კოეფიციენტი &gt;="&amp;ROUND('9.1. Capital Requirements'!$C$19*100,2)&amp;"%"</f>
        <v>ძირითადი პირველადი კაპიტალის კოეფიციენტი &gt;=5.6%</v>
      </c>
      <c r="C15" s="57">
        <v>9.6739690059568367E-2</v>
      </c>
      <c r="D15" s="58">
        <v>9.5800087568010311E-2</v>
      </c>
      <c r="E15" s="58">
        <v>0.10209621395878778</v>
      </c>
      <c r="F15" s="58">
        <v>0.10164246220804733</v>
      </c>
      <c r="G15" s="59">
        <v>0.12922273898608305</v>
      </c>
    </row>
    <row r="16" spans="1:12" ht="15" customHeight="1" x14ac:dyDescent="0.25">
      <c r="A16" s="55">
        <v>6</v>
      </c>
      <c r="B16" s="56" t="str">
        <f>"პირველადი კაპიტალის კოეფიციენტი &gt;="&amp;ROUND('9.1. Capital Requirements'!$C$20*100,2)&amp;"%"</f>
        <v>პირველადი კაპიტალის კოეფიციენტი &gt;=7.47%</v>
      </c>
      <c r="C16" s="57">
        <v>9.6739690059568367E-2</v>
      </c>
      <c r="D16" s="58">
        <v>9.5800087568010311E-2</v>
      </c>
      <c r="E16" s="58">
        <v>0.10209621395878778</v>
      </c>
      <c r="F16" s="58">
        <v>0.10164246220804733</v>
      </c>
      <c r="G16" s="59">
        <v>0.12922273898608305</v>
      </c>
    </row>
    <row r="17" spans="1:9" ht="15" x14ac:dyDescent="0.25">
      <c r="A17" s="55">
        <v>7</v>
      </c>
      <c r="B17" s="56" t="str">
        <f>"საზედამხედველო კაპიტალის კოეფიციენტი &gt;="&amp;ROUND('9.1. Capital Requirements'!$C$21*100,2)&amp;"%"</f>
        <v>საზედამხედველო კაპიტალის კოეფიციენტი &gt;=12.71%</v>
      </c>
      <c r="C17" s="57">
        <v>0.15144747250188048</v>
      </c>
      <c r="D17" s="58">
        <v>0.15279867650919551</v>
      </c>
      <c r="E17" s="58">
        <v>0.1616244828882776</v>
      </c>
      <c r="F17" s="58">
        <v>0.16951255815502866</v>
      </c>
      <c r="G17" s="59">
        <v>0.19248915034671238</v>
      </c>
    </row>
    <row r="18" spans="1:9" ht="15" x14ac:dyDescent="0.25">
      <c r="A18" s="38"/>
      <c r="B18" s="39" t="s">
        <v>42</v>
      </c>
      <c r="C18" s="66"/>
      <c r="D18" s="66"/>
      <c r="E18" s="66"/>
      <c r="F18" s="66"/>
      <c r="G18" s="67"/>
    </row>
    <row r="19" spans="1:9" ht="15" customHeight="1" x14ac:dyDescent="0.25">
      <c r="A19" s="60">
        <v>8</v>
      </c>
      <c r="B19" s="61" t="s">
        <v>43</v>
      </c>
      <c r="C19" s="62">
        <v>7.7817841012045114E-2</v>
      </c>
      <c r="D19" s="63">
        <v>7.7874935162442024E-2</v>
      </c>
      <c r="E19" s="63">
        <v>7.8709926699469496E-2</v>
      </c>
      <c r="F19" s="63">
        <v>8.034303039887182E-2</v>
      </c>
      <c r="G19" s="64">
        <v>8.0578701357911842E-2</v>
      </c>
    </row>
    <row r="20" spans="1:9" ht="15" x14ac:dyDescent="0.25">
      <c r="A20" s="60">
        <v>9</v>
      </c>
      <c r="B20" s="61" t="s">
        <v>44</v>
      </c>
      <c r="C20" s="62">
        <v>4.1379222976943068E-2</v>
      </c>
      <c r="D20" s="63">
        <v>4.1305140297601996E-2</v>
      </c>
      <c r="E20" s="63">
        <v>4.0629144363182053E-2</v>
      </c>
      <c r="F20" s="63">
        <v>3.8436220271917412E-2</v>
      </c>
      <c r="G20" s="64">
        <v>3.749526755884524E-2</v>
      </c>
    </row>
    <row r="21" spans="1:9" ht="15" x14ac:dyDescent="0.25">
      <c r="A21" s="60">
        <v>10</v>
      </c>
      <c r="B21" s="61" t="s">
        <v>45</v>
      </c>
      <c r="C21" s="62">
        <v>1.2389632171424041E-2</v>
      </c>
      <c r="D21" s="63">
        <v>1.5900476895389294E-2</v>
      </c>
      <c r="E21" s="63">
        <v>1.8913243583104072E-2</v>
      </c>
      <c r="F21" s="63">
        <v>2.7618733665792504E-2</v>
      </c>
      <c r="G21" s="64">
        <v>2.0789249561113922E-2</v>
      </c>
    </row>
    <row r="22" spans="1:9" ht="15" x14ac:dyDescent="0.25">
      <c r="A22" s="60">
        <v>11</v>
      </c>
      <c r="B22" s="61" t="s">
        <v>46</v>
      </c>
      <c r="C22" s="62">
        <v>3.6438618035102052E-2</v>
      </c>
      <c r="D22" s="63">
        <v>3.6569794864840029E-2</v>
      </c>
      <c r="E22" s="63">
        <v>3.8080782336287457E-2</v>
      </c>
      <c r="F22" s="63">
        <v>4.1906810126954401E-2</v>
      </c>
      <c r="G22" s="64">
        <v>4.3083433799066602E-2</v>
      </c>
    </row>
    <row r="23" spans="1:9" ht="15" x14ac:dyDescent="0.25">
      <c r="A23" s="60">
        <v>12</v>
      </c>
      <c r="B23" s="61" t="s">
        <v>47</v>
      </c>
      <c r="C23" s="62">
        <v>-1.2275759053525463E-2</v>
      </c>
      <c r="D23" s="63">
        <v>-1.8404032849966553E-2</v>
      </c>
      <c r="E23" s="63">
        <v>-3.6937743299127128E-2</v>
      </c>
      <c r="F23" s="63">
        <v>-7.1564399565378273E-2</v>
      </c>
      <c r="G23" s="64">
        <v>2.0356380179567975E-2</v>
      </c>
    </row>
    <row r="24" spans="1:9" ht="15" x14ac:dyDescent="0.25">
      <c r="A24" s="60">
        <v>13</v>
      </c>
      <c r="B24" s="61" t="s">
        <v>48</v>
      </c>
      <c r="C24" s="62">
        <v>-0.10838720508629283</v>
      </c>
      <c r="D24" s="63">
        <v>-0.1570703488917761</v>
      </c>
      <c r="E24" s="63">
        <v>-0.30087678771847082</v>
      </c>
      <c r="F24" s="63">
        <v>-0.5488843340084143</v>
      </c>
      <c r="G24" s="64">
        <v>0.14963020201970725</v>
      </c>
      <c r="I24" s="65"/>
    </row>
    <row r="25" spans="1:9" ht="15" x14ac:dyDescent="0.25">
      <c r="A25" s="38"/>
      <c r="B25" s="39" t="s">
        <v>49</v>
      </c>
      <c r="C25" s="66"/>
      <c r="D25" s="66"/>
      <c r="E25" s="66"/>
      <c r="F25" s="66"/>
      <c r="G25" s="67"/>
    </row>
    <row r="26" spans="1:9" ht="15" x14ac:dyDescent="0.25">
      <c r="A26" s="60">
        <v>14</v>
      </c>
      <c r="B26" s="61" t="s">
        <v>50</v>
      </c>
      <c r="C26" s="62">
        <v>7.2240640886518909E-2</v>
      </c>
      <c r="D26" s="63">
        <v>5.2185312917264338E-2</v>
      </c>
      <c r="E26" s="63">
        <v>6.7659101278442199E-2</v>
      </c>
      <c r="F26" s="63">
        <v>4.9162047653363898E-2</v>
      </c>
      <c r="G26" s="64">
        <v>5.5045923603628713E-2</v>
      </c>
    </row>
    <row r="27" spans="1:9" ht="15" customHeight="1" x14ac:dyDescent="0.25">
      <c r="A27" s="60">
        <v>15</v>
      </c>
      <c r="B27" s="61" t="s">
        <v>51</v>
      </c>
      <c r="C27" s="62">
        <v>5.9114703239570507E-2</v>
      </c>
      <c r="D27" s="63">
        <v>6.5284445187443349E-2</v>
      </c>
      <c r="E27" s="63">
        <v>8.2790658124955036E-2</v>
      </c>
      <c r="F27" s="63">
        <v>7.956774948323736E-2</v>
      </c>
      <c r="G27" s="64">
        <v>4.8819297340186446E-2</v>
      </c>
    </row>
    <row r="28" spans="1:9" ht="15" x14ac:dyDescent="0.25">
      <c r="A28" s="60">
        <v>16</v>
      </c>
      <c r="B28" s="61" t="s">
        <v>52</v>
      </c>
      <c r="C28" s="62">
        <v>0.62863848087919993</v>
      </c>
      <c r="D28" s="63">
        <v>0.64172878135359779</v>
      </c>
      <c r="E28" s="63">
        <v>0.62438918539829058</v>
      </c>
      <c r="F28" s="63">
        <v>0.6482525004346954</v>
      </c>
      <c r="G28" s="64">
        <v>0.62599737248936949</v>
      </c>
    </row>
    <row r="29" spans="1:9" ht="15" customHeight="1" x14ac:dyDescent="0.25">
      <c r="A29" s="60">
        <v>17</v>
      </c>
      <c r="B29" s="61" t="s">
        <v>53</v>
      </c>
      <c r="C29" s="62">
        <v>0.59865468832544499</v>
      </c>
      <c r="D29" s="63">
        <v>0.60427876072514053</v>
      </c>
      <c r="E29" s="63">
        <v>0.59609508494074537</v>
      </c>
      <c r="F29" s="63">
        <v>0.64472448882797606</v>
      </c>
      <c r="G29" s="64">
        <v>0.59386909246356578</v>
      </c>
    </row>
    <row r="30" spans="1:9" ht="15" x14ac:dyDescent="0.25">
      <c r="A30" s="60">
        <v>18</v>
      </c>
      <c r="B30" s="61" t="s">
        <v>54</v>
      </c>
      <c r="C30" s="62">
        <v>0.20099905280552549</v>
      </c>
      <c r="D30" s="63">
        <v>0.16093287139459622</v>
      </c>
      <c r="E30" s="63">
        <v>6.1634440740268526E-2</v>
      </c>
      <c r="F30" s="63">
        <v>6.015333062860076E-2</v>
      </c>
      <c r="G30" s="64">
        <v>0.10821067248692923</v>
      </c>
    </row>
    <row r="31" spans="1:9" ht="15" customHeight="1" x14ac:dyDescent="0.25">
      <c r="A31" s="38"/>
      <c r="B31" s="39" t="s">
        <v>55</v>
      </c>
      <c r="C31" s="66"/>
      <c r="D31" s="66"/>
      <c r="E31" s="66"/>
      <c r="F31" s="66"/>
      <c r="G31" s="67"/>
    </row>
    <row r="32" spans="1:9" ht="15" customHeight="1" x14ac:dyDescent="0.25">
      <c r="A32" s="60">
        <v>19</v>
      </c>
      <c r="B32" s="61" t="s">
        <v>56</v>
      </c>
      <c r="C32" s="62">
        <v>0.20569996122821141</v>
      </c>
      <c r="D32" s="62">
        <v>0.20037260559646963</v>
      </c>
      <c r="E32" s="62">
        <v>0.18299446219469395</v>
      </c>
      <c r="F32" s="62">
        <v>0.21021307091457325</v>
      </c>
      <c r="G32" s="68">
        <v>0.21476437006349638</v>
      </c>
    </row>
    <row r="33" spans="1:7" ht="15" customHeight="1" x14ac:dyDescent="0.25">
      <c r="A33" s="60">
        <v>20</v>
      </c>
      <c r="B33" s="61" t="s">
        <v>57</v>
      </c>
      <c r="C33" s="62">
        <v>0.65864963141201838</v>
      </c>
      <c r="D33" s="62">
        <v>0.66451831309809084</v>
      </c>
      <c r="E33" s="62">
        <v>0.65831119374528912</v>
      </c>
      <c r="F33" s="62">
        <v>0.70946902796697819</v>
      </c>
      <c r="G33" s="68">
        <v>0.68573030123378609</v>
      </c>
    </row>
    <row r="34" spans="1:7" ht="15" x14ac:dyDescent="0.25">
      <c r="A34" s="60">
        <v>21</v>
      </c>
      <c r="B34" s="69" t="s">
        <v>58</v>
      </c>
      <c r="C34" s="62">
        <v>0.3676450180463407</v>
      </c>
      <c r="D34" s="62">
        <v>0.38141321233034131</v>
      </c>
      <c r="E34" s="62">
        <v>0.32702628850072507</v>
      </c>
      <c r="F34" s="62">
        <v>0.33228683874315895</v>
      </c>
      <c r="G34" s="68">
        <v>0.34763228668274182</v>
      </c>
    </row>
    <row r="35" spans="1:7" ht="15" x14ac:dyDescent="0.25">
      <c r="A35" s="70"/>
      <c r="B35" s="39" t="s">
        <v>59</v>
      </c>
      <c r="C35" s="40"/>
      <c r="D35" s="40"/>
      <c r="E35" s="40"/>
      <c r="F35" s="40"/>
      <c r="G35" s="41"/>
    </row>
    <row r="36" spans="1:7" ht="15" customHeight="1" x14ac:dyDescent="0.25">
      <c r="A36" s="60">
        <v>22</v>
      </c>
      <c r="B36" s="71" t="s">
        <v>60</v>
      </c>
      <c r="C36" s="541">
        <v>264884270.43885708</v>
      </c>
      <c r="D36" s="541">
        <v>241639004.83403173</v>
      </c>
      <c r="E36" s="541">
        <v>220354395.05208892</v>
      </c>
      <c r="F36" s="541">
        <v>233178657.76290429</v>
      </c>
      <c r="G36" s="542">
        <v>252298139.22514838</v>
      </c>
    </row>
    <row r="37" spans="1:7" ht="15" x14ac:dyDescent="0.25">
      <c r="A37" s="60">
        <v>23</v>
      </c>
      <c r="B37" s="72" t="s">
        <v>61</v>
      </c>
      <c r="C37" s="541">
        <v>221952064.77880499</v>
      </c>
      <c r="D37" s="543">
        <v>193745939.50013483</v>
      </c>
      <c r="E37" s="543">
        <v>160867671.24180427</v>
      </c>
      <c r="F37" s="543">
        <v>156134617.9647122</v>
      </c>
      <c r="G37" s="544">
        <v>158182813.90794298</v>
      </c>
    </row>
    <row r="38" spans="1:7" thickBot="1" x14ac:dyDescent="0.3">
      <c r="A38" s="73">
        <v>24</v>
      </c>
      <c r="B38" s="74" t="s">
        <v>62</v>
      </c>
      <c r="C38" s="539">
        <v>1.1934300800618272</v>
      </c>
      <c r="D38" s="539">
        <v>1.2471951951997609</v>
      </c>
      <c r="E38" s="539">
        <v>1.3697866908315508</v>
      </c>
      <c r="F38" s="539">
        <v>1.4934462376281263</v>
      </c>
      <c r="G38" s="540">
        <v>1.5949781963796479</v>
      </c>
    </row>
    <row r="39" spans="1:7" ht="15" x14ac:dyDescent="0.25">
      <c r="A39" s="75"/>
      <c r="B39" s="76"/>
      <c r="C39" s="77"/>
      <c r="D39" s="77"/>
      <c r="E39" s="77"/>
      <c r="F39" s="77"/>
      <c r="G39" s="77"/>
    </row>
    <row r="40" spans="1:7" ht="15" x14ac:dyDescent="0.25">
      <c r="A40" s="75"/>
      <c r="B40" s="76"/>
      <c r="C40" s="77"/>
      <c r="D40" s="77"/>
      <c r="E40" s="77"/>
      <c r="F40" s="77"/>
      <c r="G40" s="77"/>
    </row>
    <row r="41" spans="1:7" ht="15" x14ac:dyDescent="0.25">
      <c r="A41" s="75"/>
      <c r="B41" s="76"/>
      <c r="C41" s="77"/>
      <c r="D41" s="77"/>
      <c r="E41" s="77"/>
      <c r="F41" s="77"/>
      <c r="G41" s="77"/>
    </row>
    <row r="42" spans="1:7" ht="15" x14ac:dyDescent="0.25">
      <c r="A42" s="75"/>
      <c r="B42" s="76"/>
      <c r="C42" s="77"/>
      <c r="D42" s="77"/>
      <c r="E42" s="77"/>
      <c r="F42" s="77"/>
      <c r="G42" s="77"/>
    </row>
    <row r="43" spans="1:7" ht="15" x14ac:dyDescent="0.25">
      <c r="A43" s="75"/>
      <c r="B43" s="76"/>
      <c r="C43" s="77"/>
      <c r="D43" s="77"/>
      <c r="E43" s="77"/>
      <c r="F43" s="77"/>
      <c r="G43" s="77"/>
    </row>
    <row r="44" spans="1:7" ht="39.75" x14ac:dyDescent="0.3">
      <c r="A44" s="78"/>
      <c r="B44" s="79" t="s">
        <v>63</v>
      </c>
    </row>
    <row r="45" spans="1:7" ht="6" customHeight="1" x14ac:dyDescent="0.3">
      <c r="A45" s="78"/>
      <c r="B45" s="79"/>
    </row>
    <row r="46" spans="1:7" ht="86.25" customHeight="1" x14ac:dyDescent="0.3">
      <c r="B46" s="81" t="s">
        <v>64</v>
      </c>
    </row>
  </sheetData>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pageSetUpPr fitToPage="1"/>
  </sheetPr>
  <dimension ref="A1:H43"/>
  <sheetViews>
    <sheetView zoomScale="110" zoomScaleNormal="110" workbookViewId="0">
      <pane xSplit="1" ySplit="5" topLeftCell="B6"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RowHeight="15" x14ac:dyDescent="0.25"/>
  <cols>
    <col min="1" max="1" width="9.5703125" style="22" bestFit="1" customWidth="1"/>
    <col min="2" max="2" width="55.140625" style="22" bestFit="1" customWidth="1"/>
    <col min="3" max="3" width="14.42578125" style="22" bestFit="1" customWidth="1"/>
    <col min="4" max="4" width="14.7109375" style="22" bestFit="1" customWidth="1"/>
    <col min="5" max="6" width="14.42578125" style="22" bestFit="1" customWidth="1"/>
    <col min="7" max="7" width="14" style="22" bestFit="1" customWidth="1"/>
    <col min="8" max="8" width="14.5703125" style="22" customWidth="1"/>
  </cols>
  <sheetData>
    <row r="1" spans="1:8" ht="15.75" x14ac:dyDescent="0.3">
      <c r="A1" s="23" t="s">
        <v>29</v>
      </c>
      <c r="B1" s="22" t="str">
        <f>'1. key ratios'!B1</f>
        <v>სს ტერაბანკი</v>
      </c>
    </row>
    <row r="2" spans="1:8" ht="15.75" x14ac:dyDescent="0.3">
      <c r="A2" s="23" t="s">
        <v>31</v>
      </c>
      <c r="B2" s="82">
        <v>44196</v>
      </c>
    </row>
    <row r="3" spans="1:8" ht="15.75" x14ac:dyDescent="0.3">
      <c r="A3" s="23"/>
    </row>
    <row r="4" spans="1:8" ht="16.5" thickBot="1" x14ac:dyDescent="0.35">
      <c r="A4" s="83" t="s">
        <v>65</v>
      </c>
      <c r="B4" s="84" t="s">
        <v>66</v>
      </c>
      <c r="C4" s="83"/>
      <c r="D4" s="85"/>
      <c r="E4" s="85"/>
      <c r="F4" s="83"/>
      <c r="G4" s="85"/>
      <c r="H4" s="86" t="s">
        <v>67</v>
      </c>
    </row>
    <row r="5" spans="1:8" ht="15.75" x14ac:dyDescent="0.3">
      <c r="A5" s="87"/>
      <c r="B5" s="88"/>
      <c r="C5" s="577" t="s">
        <v>68</v>
      </c>
      <c r="D5" s="578"/>
      <c r="E5" s="579"/>
      <c r="F5" s="577" t="s">
        <v>69</v>
      </c>
      <c r="G5" s="578"/>
      <c r="H5" s="580"/>
    </row>
    <row r="6" spans="1:8" ht="15.75" x14ac:dyDescent="0.3">
      <c r="A6" s="89" t="s">
        <v>33</v>
      </c>
      <c r="B6" s="90" t="s">
        <v>70</v>
      </c>
      <c r="C6" s="91" t="s">
        <v>71</v>
      </c>
      <c r="D6" s="91" t="s">
        <v>72</v>
      </c>
      <c r="E6" s="91" t="s">
        <v>73</v>
      </c>
      <c r="F6" s="91" t="s">
        <v>71</v>
      </c>
      <c r="G6" s="91" t="s">
        <v>72</v>
      </c>
      <c r="H6" s="92" t="s">
        <v>73</v>
      </c>
    </row>
    <row r="7" spans="1:8" ht="15.75" x14ac:dyDescent="0.3">
      <c r="A7" s="89">
        <v>1</v>
      </c>
      <c r="B7" s="93" t="s">
        <v>74</v>
      </c>
      <c r="C7" s="547">
        <v>16410602.930000003</v>
      </c>
      <c r="D7" s="547">
        <v>27362369.219999999</v>
      </c>
      <c r="E7" s="548">
        <f>C7+D7</f>
        <v>43772972.150000006</v>
      </c>
      <c r="F7" s="549">
        <v>15236112.709999995</v>
      </c>
      <c r="G7" s="550">
        <v>17476814.379999999</v>
      </c>
      <c r="H7" s="551">
        <f>F7+G7</f>
        <v>32712927.089999996</v>
      </c>
    </row>
    <row r="8" spans="1:8" ht="15.75" x14ac:dyDescent="0.3">
      <c r="A8" s="89">
        <v>2</v>
      </c>
      <c r="B8" s="93" t="s">
        <v>75</v>
      </c>
      <c r="C8" s="547">
        <v>16673106.18</v>
      </c>
      <c r="D8" s="547">
        <v>150957176.19</v>
      </c>
      <c r="E8" s="548">
        <f t="shared" ref="E8:E19" si="0">C8+D8</f>
        <v>167630282.37</v>
      </c>
      <c r="F8" s="549">
        <v>16395794.98</v>
      </c>
      <c r="G8" s="550">
        <v>115597557.39</v>
      </c>
      <c r="H8" s="551">
        <f t="shared" ref="H8:H40" si="1">F8+G8</f>
        <v>131993352.37</v>
      </c>
    </row>
    <row r="9" spans="1:8" ht="15.75" x14ac:dyDescent="0.3">
      <c r="A9" s="89">
        <v>3</v>
      </c>
      <c r="B9" s="93" t="s">
        <v>76</v>
      </c>
      <c r="C9" s="547">
        <v>128806.55</v>
      </c>
      <c r="D9" s="547">
        <v>25588509.780000001</v>
      </c>
      <c r="E9" s="548">
        <f t="shared" si="0"/>
        <v>25717316.330000002</v>
      </c>
      <c r="F9" s="549">
        <v>145146.66999999998</v>
      </c>
      <c r="G9" s="550">
        <v>12181636.550000001</v>
      </c>
      <c r="H9" s="551">
        <f t="shared" si="1"/>
        <v>12326783.220000001</v>
      </c>
    </row>
    <row r="10" spans="1:8" ht="15.75" x14ac:dyDescent="0.3">
      <c r="A10" s="89">
        <v>4</v>
      </c>
      <c r="B10" s="93" t="s">
        <v>77</v>
      </c>
      <c r="C10" s="547">
        <v>0</v>
      </c>
      <c r="D10" s="547">
        <v>0</v>
      </c>
      <c r="E10" s="548">
        <f t="shared" si="0"/>
        <v>0</v>
      </c>
      <c r="F10" s="549">
        <v>0</v>
      </c>
      <c r="G10" s="550">
        <v>0</v>
      </c>
      <c r="H10" s="551">
        <f t="shared" si="1"/>
        <v>0</v>
      </c>
    </row>
    <row r="11" spans="1:8" ht="15.75" x14ac:dyDescent="0.3">
      <c r="A11" s="89">
        <v>5</v>
      </c>
      <c r="B11" s="93" t="s">
        <v>78</v>
      </c>
      <c r="C11" s="547">
        <v>86034475.840000004</v>
      </c>
      <c r="D11" s="547">
        <v>0</v>
      </c>
      <c r="E11" s="548">
        <f t="shared" si="0"/>
        <v>86034475.840000004</v>
      </c>
      <c r="F11" s="549">
        <v>57634350.819999993</v>
      </c>
      <c r="G11" s="550">
        <v>0</v>
      </c>
      <c r="H11" s="551">
        <f t="shared" si="1"/>
        <v>57634350.819999993</v>
      </c>
    </row>
    <row r="12" spans="1:8" ht="15.75" x14ac:dyDescent="0.3">
      <c r="A12" s="89">
        <v>6.1</v>
      </c>
      <c r="B12" s="97" t="s">
        <v>79</v>
      </c>
      <c r="C12" s="547">
        <v>344378752.22000217</v>
      </c>
      <c r="D12" s="547">
        <v>582962220.08999991</v>
      </c>
      <c r="E12" s="548">
        <f t="shared" si="0"/>
        <v>927340972.31000209</v>
      </c>
      <c r="F12" s="549">
        <v>288782875.74999821</v>
      </c>
      <c r="G12" s="550">
        <v>483358426.22999913</v>
      </c>
      <c r="H12" s="551">
        <f t="shared" si="1"/>
        <v>772141301.9799974</v>
      </c>
    </row>
    <row r="13" spans="1:8" ht="15.75" x14ac:dyDescent="0.3">
      <c r="A13" s="89">
        <v>6.2</v>
      </c>
      <c r="B13" s="97" t="s">
        <v>80</v>
      </c>
      <c r="C13" s="547">
        <v>-18068635.930000551</v>
      </c>
      <c r="D13" s="547">
        <v>-36750850.449999996</v>
      </c>
      <c r="E13" s="548">
        <f t="shared" si="0"/>
        <v>-54819486.380000547</v>
      </c>
      <c r="F13" s="549">
        <v>-18471773.430000186</v>
      </c>
      <c r="G13" s="550">
        <v>-19223622.380000003</v>
      </c>
      <c r="H13" s="551">
        <f t="shared" si="1"/>
        <v>-37695395.810000189</v>
      </c>
    </row>
    <row r="14" spans="1:8" ht="15.75" x14ac:dyDescent="0.3">
      <c r="A14" s="89">
        <v>6</v>
      </c>
      <c r="B14" s="93" t="s">
        <v>81</v>
      </c>
      <c r="C14" s="548">
        <f>C12+C13</f>
        <v>326310116.29000163</v>
      </c>
      <c r="D14" s="548">
        <f>D12+D13</f>
        <v>546211369.63999987</v>
      </c>
      <c r="E14" s="548">
        <f t="shared" si="0"/>
        <v>872521485.9300015</v>
      </c>
      <c r="F14" s="548">
        <f>F12+F13</f>
        <v>270311102.31999803</v>
      </c>
      <c r="G14" s="548">
        <f>G12+G13</f>
        <v>464134803.84999913</v>
      </c>
      <c r="H14" s="551">
        <f t="shared" si="1"/>
        <v>734445906.16999722</v>
      </c>
    </row>
    <row r="15" spans="1:8" ht="15.75" x14ac:dyDescent="0.3">
      <c r="A15" s="89">
        <v>7</v>
      </c>
      <c r="B15" s="93" t="s">
        <v>82</v>
      </c>
      <c r="C15" s="547">
        <v>5525332.6399999969</v>
      </c>
      <c r="D15" s="547">
        <v>6129155.6299999971</v>
      </c>
      <c r="E15" s="548">
        <f t="shared" si="0"/>
        <v>11654488.269999994</v>
      </c>
      <c r="F15" s="549">
        <v>3636057.4400000023</v>
      </c>
      <c r="G15" s="550">
        <v>2514088.799999998</v>
      </c>
      <c r="H15" s="551">
        <f t="shared" si="1"/>
        <v>6150146.2400000002</v>
      </c>
    </row>
    <row r="16" spans="1:8" ht="15.75" x14ac:dyDescent="0.3">
      <c r="A16" s="89">
        <v>8</v>
      </c>
      <c r="B16" s="93" t="s">
        <v>83</v>
      </c>
      <c r="C16" s="547">
        <v>2925491.7600000296</v>
      </c>
      <c r="D16" s="547">
        <v>0</v>
      </c>
      <c r="E16" s="548">
        <f t="shared" si="0"/>
        <v>2925491.7600000296</v>
      </c>
      <c r="F16" s="549">
        <v>2226545.7700000014</v>
      </c>
      <c r="G16" s="550">
        <v>0</v>
      </c>
      <c r="H16" s="551">
        <f t="shared" si="1"/>
        <v>2226545.7700000014</v>
      </c>
    </row>
    <row r="17" spans="1:8" ht="15.75" x14ac:dyDescent="0.3">
      <c r="A17" s="89">
        <v>9</v>
      </c>
      <c r="B17" s="93" t="s">
        <v>84</v>
      </c>
      <c r="C17" s="547">
        <v>0</v>
      </c>
      <c r="D17" s="547">
        <v>0</v>
      </c>
      <c r="E17" s="548">
        <f t="shared" si="0"/>
        <v>0</v>
      </c>
      <c r="F17" s="549">
        <v>0</v>
      </c>
      <c r="G17" s="550">
        <v>0</v>
      </c>
      <c r="H17" s="551">
        <f t="shared" si="1"/>
        <v>0</v>
      </c>
    </row>
    <row r="18" spans="1:8" ht="15.75" x14ac:dyDescent="0.3">
      <c r="A18" s="89">
        <v>10</v>
      </c>
      <c r="B18" s="93" t="s">
        <v>85</v>
      </c>
      <c r="C18" s="547">
        <v>46763488.780000001</v>
      </c>
      <c r="D18" s="547">
        <v>0</v>
      </c>
      <c r="E18" s="548">
        <f t="shared" si="0"/>
        <v>46763488.780000001</v>
      </c>
      <c r="F18" s="549">
        <v>46518526.329999954</v>
      </c>
      <c r="G18" s="550">
        <v>0</v>
      </c>
      <c r="H18" s="551">
        <f t="shared" si="1"/>
        <v>46518526.329999954</v>
      </c>
    </row>
    <row r="19" spans="1:8" ht="15.75" x14ac:dyDescent="0.3">
      <c r="A19" s="89">
        <v>11</v>
      </c>
      <c r="B19" s="93" t="s">
        <v>86</v>
      </c>
      <c r="C19" s="547">
        <v>6417213.4799999995</v>
      </c>
      <c r="D19" s="547">
        <v>284123.5400000001</v>
      </c>
      <c r="E19" s="548">
        <f t="shared" si="0"/>
        <v>6701337.0199999996</v>
      </c>
      <c r="F19" s="549">
        <v>6878367.8080000002</v>
      </c>
      <c r="G19" s="550">
        <v>755840.58000000019</v>
      </c>
      <c r="H19" s="551">
        <f t="shared" si="1"/>
        <v>7634208.3880000003</v>
      </c>
    </row>
    <row r="20" spans="1:8" ht="15.75" x14ac:dyDescent="0.3">
      <c r="A20" s="89">
        <v>12</v>
      </c>
      <c r="B20" s="98" t="s">
        <v>87</v>
      </c>
      <c r="C20" s="548">
        <f>SUM(C7:C11)+SUM(C14:C19)</f>
        <v>507188634.45000172</v>
      </c>
      <c r="D20" s="548">
        <f>SUM(D7:D11)+SUM(D14:D19)</f>
        <v>756532703.99999976</v>
      </c>
      <c r="E20" s="548">
        <f>C20+D20</f>
        <v>1263721338.4500015</v>
      </c>
      <c r="F20" s="548">
        <f>SUM(F7:F11)+SUM(F14:F19)</f>
        <v>418982004.84799802</v>
      </c>
      <c r="G20" s="548">
        <f>SUM(G7:G11)+SUM(G14:G19)</f>
        <v>612660741.54999912</v>
      </c>
      <c r="H20" s="551">
        <f t="shared" si="1"/>
        <v>1031642746.3979971</v>
      </c>
    </row>
    <row r="21" spans="1:8" ht="15.75" x14ac:dyDescent="0.3">
      <c r="A21" s="89"/>
      <c r="B21" s="90" t="s">
        <v>88</v>
      </c>
      <c r="C21" s="552"/>
      <c r="D21" s="552"/>
      <c r="E21" s="552"/>
      <c r="F21" s="553"/>
      <c r="G21" s="554"/>
      <c r="H21" s="555"/>
    </row>
    <row r="22" spans="1:8" ht="15.75" x14ac:dyDescent="0.3">
      <c r="A22" s="89">
        <v>13</v>
      </c>
      <c r="B22" s="93" t="s">
        <v>89</v>
      </c>
      <c r="C22" s="547">
        <v>1648.52</v>
      </c>
      <c r="D22" s="547">
        <v>10927221.25</v>
      </c>
      <c r="E22" s="548">
        <f>C22+D22</f>
        <v>10928869.77</v>
      </c>
      <c r="F22" s="549">
        <v>10818.02</v>
      </c>
      <c r="G22" s="550">
        <v>5510846.1399999997</v>
      </c>
      <c r="H22" s="551">
        <f t="shared" si="1"/>
        <v>5521664.1599999992</v>
      </c>
    </row>
    <row r="23" spans="1:8" ht="15.75" x14ac:dyDescent="0.3">
      <c r="A23" s="89">
        <v>14</v>
      </c>
      <c r="B23" s="93" t="s">
        <v>90</v>
      </c>
      <c r="C23" s="547">
        <v>68346518.53999719</v>
      </c>
      <c r="D23" s="547">
        <v>153450950.12999952</v>
      </c>
      <c r="E23" s="548">
        <f t="shared" ref="E23:E40" si="2">C23+D23</f>
        <v>221797468.66999671</v>
      </c>
      <c r="F23" s="549">
        <v>62643378.139999717</v>
      </c>
      <c r="G23" s="550">
        <v>144701783.56999981</v>
      </c>
      <c r="H23" s="551">
        <f t="shared" si="1"/>
        <v>207345161.70999953</v>
      </c>
    </row>
    <row r="24" spans="1:8" ht="15.75" x14ac:dyDescent="0.3">
      <c r="A24" s="89">
        <v>15</v>
      </c>
      <c r="B24" s="93" t="s">
        <v>91</v>
      </c>
      <c r="C24" s="547">
        <v>69326662.749999985</v>
      </c>
      <c r="D24" s="547">
        <v>173476722.85999995</v>
      </c>
      <c r="E24" s="548">
        <f t="shared" si="2"/>
        <v>242803385.60999995</v>
      </c>
      <c r="F24" s="549">
        <v>55465413.670000002</v>
      </c>
      <c r="G24" s="550">
        <v>95821751.590000182</v>
      </c>
      <c r="H24" s="551">
        <f t="shared" si="1"/>
        <v>151287165.26000017</v>
      </c>
    </row>
    <row r="25" spans="1:8" ht="15.75" x14ac:dyDescent="0.3">
      <c r="A25" s="89">
        <v>16</v>
      </c>
      <c r="B25" s="93" t="s">
        <v>92</v>
      </c>
      <c r="C25" s="547">
        <v>143409198.02000004</v>
      </c>
      <c r="D25" s="547">
        <v>250932831.4799999</v>
      </c>
      <c r="E25" s="548">
        <f t="shared" si="2"/>
        <v>394342029.49999994</v>
      </c>
      <c r="F25" s="549">
        <v>113774435.17000005</v>
      </c>
      <c r="G25" s="550">
        <v>229010260.64999986</v>
      </c>
      <c r="H25" s="551">
        <f t="shared" si="1"/>
        <v>342784695.81999993</v>
      </c>
    </row>
    <row r="26" spans="1:8" ht="15.75" x14ac:dyDescent="0.3">
      <c r="A26" s="89">
        <v>17</v>
      </c>
      <c r="B26" s="93" t="s">
        <v>93</v>
      </c>
      <c r="C26" s="552">
        <v>0</v>
      </c>
      <c r="D26" s="552">
        <v>0</v>
      </c>
      <c r="E26" s="548">
        <f t="shared" si="2"/>
        <v>0</v>
      </c>
      <c r="F26" s="553">
        <v>0</v>
      </c>
      <c r="G26" s="554">
        <v>0</v>
      </c>
      <c r="H26" s="551">
        <f t="shared" si="1"/>
        <v>0</v>
      </c>
    </row>
    <row r="27" spans="1:8" ht="15.75" x14ac:dyDescent="0.3">
      <c r="A27" s="89">
        <v>18</v>
      </c>
      <c r="B27" s="93" t="s">
        <v>94</v>
      </c>
      <c r="C27" s="547">
        <v>94532999.999999985</v>
      </c>
      <c r="D27" s="547">
        <v>83883060</v>
      </c>
      <c r="E27" s="548">
        <f t="shared" si="2"/>
        <v>178416060</v>
      </c>
      <c r="F27" s="549">
        <v>34844000</v>
      </c>
      <c r="G27" s="550">
        <v>69636920</v>
      </c>
      <c r="H27" s="551">
        <f t="shared" si="1"/>
        <v>104480920</v>
      </c>
    </row>
    <row r="28" spans="1:8" ht="15.75" x14ac:dyDescent="0.3">
      <c r="A28" s="89">
        <v>19</v>
      </c>
      <c r="B28" s="93" t="s">
        <v>95</v>
      </c>
      <c r="C28" s="547">
        <v>2435904.62</v>
      </c>
      <c r="D28" s="547">
        <v>3366611.3199999942</v>
      </c>
      <c r="E28" s="548">
        <f t="shared" si="2"/>
        <v>5802515.9399999939</v>
      </c>
      <c r="F28" s="549">
        <v>2003187.3699999996</v>
      </c>
      <c r="G28" s="550">
        <v>2777130.96</v>
      </c>
      <c r="H28" s="551">
        <f t="shared" si="1"/>
        <v>4780318.33</v>
      </c>
    </row>
    <row r="29" spans="1:8" ht="15.75" x14ac:dyDescent="0.3">
      <c r="A29" s="89">
        <v>20</v>
      </c>
      <c r="B29" s="93" t="s">
        <v>96</v>
      </c>
      <c r="C29" s="547">
        <v>10481171.060000006</v>
      </c>
      <c r="D29" s="547">
        <v>12421691.089999996</v>
      </c>
      <c r="E29" s="548">
        <f t="shared" si="2"/>
        <v>22902862.150000002</v>
      </c>
      <c r="F29" s="549">
        <v>11687012.330000004</v>
      </c>
      <c r="G29" s="550">
        <v>11520549.389999999</v>
      </c>
      <c r="H29" s="551">
        <f t="shared" si="1"/>
        <v>23207561.720000003</v>
      </c>
    </row>
    <row r="30" spans="1:8" ht="15.75" x14ac:dyDescent="0.3">
      <c r="A30" s="89">
        <v>21</v>
      </c>
      <c r="B30" s="93" t="s">
        <v>97</v>
      </c>
      <c r="C30" s="547">
        <v>0</v>
      </c>
      <c r="D30" s="547">
        <v>61233508.149999999</v>
      </c>
      <c r="E30" s="548">
        <f t="shared" si="2"/>
        <v>61233508.149999999</v>
      </c>
      <c r="F30" s="549">
        <v>0</v>
      </c>
      <c r="G30" s="550">
        <v>52909671.799999997</v>
      </c>
      <c r="H30" s="551">
        <f t="shared" si="1"/>
        <v>52909671.799999997</v>
      </c>
    </row>
    <row r="31" spans="1:8" ht="15.75" x14ac:dyDescent="0.3">
      <c r="A31" s="89">
        <v>22</v>
      </c>
      <c r="B31" s="98" t="s">
        <v>98</v>
      </c>
      <c r="C31" s="548">
        <f>SUM(C22:C30)</f>
        <v>388534103.50999719</v>
      </c>
      <c r="D31" s="548">
        <f>SUM(D22:D30)</f>
        <v>749692596.27999938</v>
      </c>
      <c r="E31" s="548">
        <f>C31+D31</f>
        <v>1138226699.7899966</v>
      </c>
      <c r="F31" s="548">
        <f>SUM(F22:F30)</f>
        <v>280428244.69999975</v>
      </c>
      <c r="G31" s="548">
        <f>SUM(G22:G30)</f>
        <v>611888914.09999979</v>
      </c>
      <c r="H31" s="551">
        <f t="shared" si="1"/>
        <v>892317158.79999948</v>
      </c>
    </row>
    <row r="32" spans="1:8" ht="15.75" x14ac:dyDescent="0.3">
      <c r="A32" s="89"/>
      <c r="B32" s="90" t="s">
        <v>99</v>
      </c>
      <c r="C32" s="552"/>
      <c r="D32" s="552"/>
      <c r="E32" s="547"/>
      <c r="F32" s="553"/>
      <c r="G32" s="554"/>
      <c r="H32" s="555"/>
    </row>
    <row r="33" spans="1:8" ht="15.75" x14ac:dyDescent="0.3">
      <c r="A33" s="89">
        <v>23</v>
      </c>
      <c r="B33" s="93" t="s">
        <v>100</v>
      </c>
      <c r="C33" s="547">
        <v>121372000</v>
      </c>
      <c r="D33" s="552">
        <v>0</v>
      </c>
      <c r="E33" s="548">
        <f t="shared" si="2"/>
        <v>121372000</v>
      </c>
      <c r="F33" s="549">
        <v>121372000</v>
      </c>
      <c r="G33" s="554">
        <v>0</v>
      </c>
      <c r="H33" s="551">
        <f t="shared" si="1"/>
        <v>121372000</v>
      </c>
    </row>
    <row r="34" spans="1:8" ht="15.75" x14ac:dyDescent="0.3">
      <c r="A34" s="89">
        <v>24</v>
      </c>
      <c r="B34" s="93" t="s">
        <v>101</v>
      </c>
      <c r="C34" s="547">
        <v>0</v>
      </c>
      <c r="D34" s="552">
        <v>0</v>
      </c>
      <c r="E34" s="548">
        <f t="shared" si="2"/>
        <v>0</v>
      </c>
      <c r="F34" s="549">
        <v>0</v>
      </c>
      <c r="G34" s="554">
        <v>0</v>
      </c>
      <c r="H34" s="551">
        <f t="shared" si="1"/>
        <v>0</v>
      </c>
    </row>
    <row r="35" spans="1:8" ht="15.75" x14ac:dyDescent="0.3">
      <c r="A35" s="89">
        <v>25</v>
      </c>
      <c r="B35" s="97" t="s">
        <v>102</v>
      </c>
      <c r="C35" s="547">
        <v>0</v>
      </c>
      <c r="D35" s="552">
        <v>0</v>
      </c>
      <c r="E35" s="548">
        <f t="shared" si="2"/>
        <v>0</v>
      </c>
      <c r="F35" s="549">
        <v>0</v>
      </c>
      <c r="G35" s="554">
        <v>0</v>
      </c>
      <c r="H35" s="551">
        <f t="shared" si="1"/>
        <v>0</v>
      </c>
    </row>
    <row r="36" spans="1:8" ht="15.75" x14ac:dyDescent="0.3">
      <c r="A36" s="89">
        <v>26</v>
      </c>
      <c r="B36" s="93" t="s">
        <v>103</v>
      </c>
      <c r="C36" s="547">
        <v>0</v>
      </c>
      <c r="D36" s="552">
        <v>0</v>
      </c>
      <c r="E36" s="548">
        <f t="shared" si="2"/>
        <v>0</v>
      </c>
      <c r="F36" s="549">
        <v>0</v>
      </c>
      <c r="G36" s="554">
        <v>0</v>
      </c>
      <c r="H36" s="551">
        <f t="shared" si="1"/>
        <v>0</v>
      </c>
    </row>
    <row r="37" spans="1:8" ht="15.75" x14ac:dyDescent="0.3">
      <c r="A37" s="89">
        <v>27</v>
      </c>
      <c r="B37" s="93" t="s">
        <v>104</v>
      </c>
      <c r="C37" s="547">
        <v>0</v>
      </c>
      <c r="D37" s="552">
        <v>0</v>
      </c>
      <c r="E37" s="548">
        <f t="shared" si="2"/>
        <v>0</v>
      </c>
      <c r="F37" s="549">
        <v>0</v>
      </c>
      <c r="G37" s="554">
        <v>0</v>
      </c>
      <c r="H37" s="551">
        <f t="shared" si="1"/>
        <v>0</v>
      </c>
    </row>
    <row r="38" spans="1:8" ht="15.75" x14ac:dyDescent="0.3">
      <c r="A38" s="89">
        <v>28</v>
      </c>
      <c r="B38" s="93" t="s">
        <v>105</v>
      </c>
      <c r="C38" s="547">
        <v>4122637.9500000095</v>
      </c>
      <c r="D38" s="552">
        <v>0</v>
      </c>
      <c r="E38" s="548">
        <f t="shared" si="2"/>
        <v>4122637.9500000095</v>
      </c>
      <c r="F38" s="549">
        <v>17953586.709999993</v>
      </c>
      <c r="G38" s="554">
        <v>0</v>
      </c>
      <c r="H38" s="551">
        <f t="shared" si="1"/>
        <v>17953586.709999993</v>
      </c>
    </row>
    <row r="39" spans="1:8" ht="15.75" x14ac:dyDescent="0.3">
      <c r="A39" s="89">
        <v>29</v>
      </c>
      <c r="B39" s="93" t="s">
        <v>106</v>
      </c>
      <c r="C39" s="547">
        <v>0</v>
      </c>
      <c r="D39" s="552">
        <v>0</v>
      </c>
      <c r="E39" s="548">
        <f t="shared" si="2"/>
        <v>0</v>
      </c>
      <c r="F39" s="549">
        <v>0</v>
      </c>
      <c r="G39" s="554">
        <v>0</v>
      </c>
      <c r="H39" s="551">
        <f t="shared" si="1"/>
        <v>0</v>
      </c>
    </row>
    <row r="40" spans="1:8" ht="15.75" x14ac:dyDescent="0.3">
      <c r="A40" s="89">
        <v>30</v>
      </c>
      <c r="B40" s="98" t="s">
        <v>107</v>
      </c>
      <c r="C40" s="547">
        <v>125494637.95</v>
      </c>
      <c r="D40" s="552">
        <v>0</v>
      </c>
      <c r="E40" s="548">
        <f t="shared" si="2"/>
        <v>125494637.95</v>
      </c>
      <c r="F40" s="549">
        <v>139325586.70999998</v>
      </c>
      <c r="G40" s="554">
        <v>0</v>
      </c>
      <c r="H40" s="551">
        <f t="shared" si="1"/>
        <v>139325586.70999998</v>
      </c>
    </row>
    <row r="41" spans="1:8" ht="16.5" thickBot="1" x14ac:dyDescent="0.35">
      <c r="A41" s="100">
        <v>31</v>
      </c>
      <c r="B41" s="101" t="s">
        <v>108</v>
      </c>
      <c r="C41" s="556">
        <f>C31+C40</f>
        <v>514028741.45999718</v>
      </c>
      <c r="D41" s="556">
        <f>D31+D40</f>
        <v>749692596.27999938</v>
      </c>
      <c r="E41" s="556">
        <f>C41+D41</f>
        <v>1263721337.7399964</v>
      </c>
      <c r="F41" s="556">
        <f>F31+F40</f>
        <v>419753831.40999973</v>
      </c>
      <c r="G41" s="556">
        <f>G31+G40</f>
        <v>611888914.09999979</v>
      </c>
      <c r="H41" s="557">
        <f>F41+G41</f>
        <v>1031642745.5099995</v>
      </c>
    </row>
    <row r="42" spans="1:8" x14ac:dyDescent="0.25">
      <c r="C42" s="104"/>
      <c r="D42" s="104"/>
      <c r="E42" s="104"/>
      <c r="F42" s="104"/>
      <c r="G42" s="104"/>
      <c r="H42" s="104"/>
    </row>
    <row r="43" spans="1:8" x14ac:dyDescent="0.25">
      <c r="B43" s="10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249977111117893"/>
    <pageSetUpPr fitToPage="1"/>
  </sheetPr>
  <dimension ref="A1:J67"/>
  <sheetViews>
    <sheetView zoomScaleNormal="100" workbookViewId="0">
      <pane xSplit="1" ySplit="6" topLeftCell="B7"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ColWidth="9.140625" defaultRowHeight="15" x14ac:dyDescent="0.25"/>
  <cols>
    <col min="1" max="1" width="9.5703125" style="22" bestFit="1" customWidth="1"/>
    <col min="2" max="2" width="89.140625" style="22" customWidth="1"/>
    <col min="3" max="8" width="12.7109375" style="22" customWidth="1"/>
    <col min="9" max="9" width="8.85546875" customWidth="1"/>
    <col min="10" max="10" width="12.5703125" style="123" bestFit="1" customWidth="1"/>
    <col min="11" max="16384" width="9.140625" style="123"/>
  </cols>
  <sheetData>
    <row r="1" spans="1:8" ht="15.75" x14ac:dyDescent="0.3">
      <c r="A1" s="23" t="s">
        <v>29</v>
      </c>
      <c r="B1" s="22" t="str">
        <f>'1. key ratios'!B1</f>
        <v>სს ტერაბანკი</v>
      </c>
      <c r="C1" s="24"/>
      <c r="F1" s="24"/>
    </row>
    <row r="2" spans="1:8" ht="15.75" x14ac:dyDescent="0.3">
      <c r="A2" s="23" t="s">
        <v>31</v>
      </c>
      <c r="B2" s="82">
        <v>44196</v>
      </c>
      <c r="C2" s="26"/>
      <c r="D2" s="27"/>
      <c r="E2" s="27"/>
      <c r="F2" s="26"/>
      <c r="G2" s="27"/>
      <c r="H2" s="27"/>
    </row>
    <row r="3" spans="1:8" ht="15.75" x14ac:dyDescent="0.3">
      <c r="A3" s="23"/>
      <c r="B3" s="24"/>
      <c r="C3" s="26"/>
      <c r="D3" s="27"/>
      <c r="E3" s="27"/>
      <c r="F3" s="26"/>
      <c r="G3" s="27"/>
      <c r="H3" s="27"/>
    </row>
    <row r="4" spans="1:8" ht="16.5" thickBot="1" x14ac:dyDescent="0.35">
      <c r="A4" s="106" t="s">
        <v>109</v>
      </c>
      <c r="B4" s="107" t="s">
        <v>110</v>
      </c>
      <c r="C4" s="108"/>
      <c r="D4" s="108"/>
      <c r="E4" s="108"/>
      <c r="F4" s="108"/>
      <c r="G4" s="108"/>
      <c r="H4" s="109" t="s">
        <v>67</v>
      </c>
    </row>
    <row r="5" spans="1:8" ht="15.75" x14ac:dyDescent="0.3">
      <c r="A5" s="110"/>
      <c r="B5" s="111"/>
      <c r="C5" s="577" t="s">
        <v>68</v>
      </c>
      <c r="D5" s="578"/>
      <c r="E5" s="579"/>
      <c r="F5" s="577" t="s">
        <v>69</v>
      </c>
      <c r="G5" s="578"/>
      <c r="H5" s="580"/>
    </row>
    <row r="6" spans="1:8" x14ac:dyDescent="0.25">
      <c r="A6" s="112" t="s">
        <v>33</v>
      </c>
      <c r="B6" s="113"/>
      <c r="C6" s="114" t="s">
        <v>71</v>
      </c>
      <c r="D6" s="114" t="s">
        <v>111</v>
      </c>
      <c r="E6" s="114" t="s">
        <v>73</v>
      </c>
      <c r="F6" s="114" t="s">
        <v>71</v>
      </c>
      <c r="G6" s="114" t="s">
        <v>111</v>
      </c>
      <c r="H6" s="115" t="s">
        <v>73</v>
      </c>
    </row>
    <row r="7" spans="1:8" x14ac:dyDescent="0.25">
      <c r="A7" s="116"/>
      <c r="B7" s="117" t="s">
        <v>112</v>
      </c>
      <c r="C7" s="118"/>
      <c r="D7" s="118"/>
      <c r="E7" s="118"/>
      <c r="F7" s="118"/>
      <c r="G7" s="118"/>
      <c r="H7" s="119"/>
    </row>
    <row r="8" spans="1:8" ht="15.75" x14ac:dyDescent="0.3">
      <c r="A8" s="116">
        <v>1</v>
      </c>
      <c r="B8" s="120" t="s">
        <v>113</v>
      </c>
      <c r="C8" s="558">
        <v>1038194.5700000001</v>
      </c>
      <c r="D8" s="559">
        <v>-121981.84000000001</v>
      </c>
      <c r="E8" s="95">
        <f t="shared" ref="E8:E22" si="0">C8+D8</f>
        <v>916212.7300000001</v>
      </c>
      <c r="F8" s="558">
        <v>937099.78</v>
      </c>
      <c r="G8" s="559">
        <v>565907.51</v>
      </c>
      <c r="H8" s="96">
        <f t="shared" ref="H8:H22" si="1">F8+G8</f>
        <v>1503007.29</v>
      </c>
    </row>
    <row r="9" spans="1:8" ht="15.75" x14ac:dyDescent="0.3">
      <c r="A9" s="116">
        <v>2</v>
      </c>
      <c r="B9" s="120" t="s">
        <v>114</v>
      </c>
      <c r="C9" s="560">
        <f>C10+C11+C12+C13+C14+C15+C16+C17+C18</f>
        <v>38303496.000000007</v>
      </c>
      <c r="D9" s="560">
        <f>D10+D11+D12+D13+D14+D15+D16+D17+D18</f>
        <v>38828251.090000004</v>
      </c>
      <c r="E9" s="95">
        <f t="shared" si="0"/>
        <v>77131747.090000004</v>
      </c>
      <c r="F9" s="560">
        <f>F10+F11+F12+F13+F14+F15+F16+F17+F18</f>
        <v>33809803.659999989</v>
      </c>
      <c r="G9" s="560">
        <f>G10+G11+G12+G13+G14+G15+G16+G17+G18</f>
        <v>35457652.359999999</v>
      </c>
      <c r="H9" s="96">
        <f t="shared" si="1"/>
        <v>69267456.019999981</v>
      </c>
    </row>
    <row r="10" spans="1:8" ht="15.75" x14ac:dyDescent="0.3">
      <c r="A10" s="116">
        <v>2.1</v>
      </c>
      <c r="B10" s="122" t="s">
        <v>115</v>
      </c>
      <c r="C10" s="558">
        <v>0</v>
      </c>
      <c r="D10" s="558">
        <v>0</v>
      </c>
      <c r="E10" s="95">
        <f t="shared" si="0"/>
        <v>0</v>
      </c>
      <c r="F10" s="558">
        <v>0</v>
      </c>
      <c r="G10" s="558">
        <v>0</v>
      </c>
      <c r="H10" s="96">
        <f t="shared" si="1"/>
        <v>0</v>
      </c>
    </row>
    <row r="11" spans="1:8" ht="15.75" x14ac:dyDescent="0.3">
      <c r="A11" s="116">
        <v>2.2000000000000002</v>
      </c>
      <c r="B11" s="122" t="s">
        <v>116</v>
      </c>
      <c r="C11" s="558">
        <v>7744120.7800000003</v>
      </c>
      <c r="D11" s="558">
        <v>14600375.479999999</v>
      </c>
      <c r="E11" s="95">
        <f t="shared" si="0"/>
        <v>22344496.259999998</v>
      </c>
      <c r="F11" s="558">
        <v>5877612.8399999999</v>
      </c>
      <c r="G11" s="558">
        <v>13782494.470000001</v>
      </c>
      <c r="H11" s="96">
        <f t="shared" si="1"/>
        <v>19660107.310000002</v>
      </c>
    </row>
    <row r="12" spans="1:8" ht="15.75" x14ac:dyDescent="0.3">
      <c r="A12" s="116">
        <v>2.2999999999999998</v>
      </c>
      <c r="B12" s="122" t="s">
        <v>117</v>
      </c>
      <c r="C12" s="558">
        <v>0</v>
      </c>
      <c r="D12" s="558">
        <v>1836821.07</v>
      </c>
      <c r="E12" s="95">
        <f t="shared" si="0"/>
        <v>1836821.07</v>
      </c>
      <c r="F12" s="558">
        <v>0</v>
      </c>
      <c r="G12" s="558">
        <v>272201.88</v>
      </c>
      <c r="H12" s="96">
        <f t="shared" si="1"/>
        <v>272201.88</v>
      </c>
    </row>
    <row r="13" spans="1:8" ht="15.75" x14ac:dyDescent="0.3">
      <c r="A13" s="116">
        <v>2.4</v>
      </c>
      <c r="B13" s="122" t="s">
        <v>118</v>
      </c>
      <c r="C13" s="558">
        <v>455282.06</v>
      </c>
      <c r="D13" s="558">
        <v>226304.34000000003</v>
      </c>
      <c r="E13" s="95">
        <f t="shared" si="0"/>
        <v>681586.4</v>
      </c>
      <c r="F13" s="558">
        <v>794466.19000000006</v>
      </c>
      <c r="G13" s="558">
        <v>257195.19</v>
      </c>
      <c r="H13" s="96">
        <f t="shared" si="1"/>
        <v>1051661.3800000001</v>
      </c>
    </row>
    <row r="14" spans="1:8" ht="15.75" x14ac:dyDescent="0.3">
      <c r="A14" s="116">
        <v>2.5</v>
      </c>
      <c r="B14" s="122" t="s">
        <v>119</v>
      </c>
      <c r="C14" s="558">
        <v>511546.81999999989</v>
      </c>
      <c r="D14" s="558">
        <v>4196125.9399999995</v>
      </c>
      <c r="E14" s="95">
        <f t="shared" si="0"/>
        <v>4707672.76</v>
      </c>
      <c r="F14" s="558">
        <v>349873.87</v>
      </c>
      <c r="G14" s="558">
        <v>3675087.9799999995</v>
      </c>
      <c r="H14" s="96">
        <f t="shared" si="1"/>
        <v>4024961.8499999996</v>
      </c>
    </row>
    <row r="15" spans="1:8" ht="15.75" x14ac:dyDescent="0.3">
      <c r="A15" s="116">
        <v>2.6</v>
      </c>
      <c r="B15" s="122" t="s">
        <v>120</v>
      </c>
      <c r="C15" s="558">
        <v>25455.969999999998</v>
      </c>
      <c r="D15" s="558">
        <v>26185.27</v>
      </c>
      <c r="E15" s="95">
        <f t="shared" si="0"/>
        <v>51641.24</v>
      </c>
      <c r="F15" s="558">
        <v>18984.13</v>
      </c>
      <c r="G15" s="558">
        <v>19005.68</v>
      </c>
      <c r="H15" s="96">
        <f t="shared" si="1"/>
        <v>37989.81</v>
      </c>
    </row>
    <row r="16" spans="1:8" ht="15.75" x14ac:dyDescent="0.3">
      <c r="A16" s="116">
        <v>2.7</v>
      </c>
      <c r="B16" s="122" t="s">
        <v>121</v>
      </c>
      <c r="C16" s="558">
        <v>5649.07</v>
      </c>
      <c r="D16" s="558">
        <v>0</v>
      </c>
      <c r="E16" s="95">
        <f t="shared" si="0"/>
        <v>5649.07</v>
      </c>
      <c r="F16" s="558">
        <v>493.94</v>
      </c>
      <c r="G16" s="558">
        <v>354299.82</v>
      </c>
      <c r="H16" s="96">
        <f t="shared" si="1"/>
        <v>354793.76</v>
      </c>
    </row>
    <row r="17" spans="1:10" ht="15.75" x14ac:dyDescent="0.3">
      <c r="A17" s="116">
        <v>2.8</v>
      </c>
      <c r="B17" s="122" t="s">
        <v>122</v>
      </c>
      <c r="C17" s="558">
        <v>25562560.610000007</v>
      </c>
      <c r="D17" s="558">
        <v>16434336.130000003</v>
      </c>
      <c r="E17" s="95">
        <f t="shared" si="0"/>
        <v>41996896.74000001</v>
      </c>
      <c r="F17" s="558">
        <v>22831624.679999989</v>
      </c>
      <c r="G17" s="558">
        <v>15074958.6</v>
      </c>
      <c r="H17" s="96">
        <f t="shared" si="1"/>
        <v>37906583.279999986</v>
      </c>
    </row>
    <row r="18" spans="1:10" ht="15.75" x14ac:dyDescent="0.3">
      <c r="A18" s="116">
        <v>2.9</v>
      </c>
      <c r="B18" s="122" t="s">
        <v>123</v>
      </c>
      <c r="C18" s="558">
        <v>3998880.6900000009</v>
      </c>
      <c r="D18" s="558">
        <v>1508102.86</v>
      </c>
      <c r="E18" s="95">
        <f t="shared" si="0"/>
        <v>5506983.5500000007</v>
      </c>
      <c r="F18" s="558">
        <v>3936748.0100000002</v>
      </c>
      <c r="G18" s="558">
        <v>2022408.7399999993</v>
      </c>
      <c r="H18" s="96">
        <f t="shared" si="1"/>
        <v>5959156.75</v>
      </c>
    </row>
    <row r="19" spans="1:10" ht="15.75" x14ac:dyDescent="0.3">
      <c r="A19" s="116">
        <v>3</v>
      </c>
      <c r="B19" s="120" t="s">
        <v>124</v>
      </c>
      <c r="C19" s="558">
        <v>1039599.8300000003</v>
      </c>
      <c r="D19" s="558">
        <v>1038658.6400000001</v>
      </c>
      <c r="E19" s="95">
        <f t="shared" si="0"/>
        <v>2078258.4700000004</v>
      </c>
      <c r="F19" s="558">
        <v>1640848.4000000006</v>
      </c>
      <c r="G19" s="558">
        <v>2168594.9599999995</v>
      </c>
      <c r="H19" s="96">
        <f t="shared" si="1"/>
        <v>3809443.3600000003</v>
      </c>
    </row>
    <row r="20" spans="1:10" ht="15.75" x14ac:dyDescent="0.3">
      <c r="A20" s="116">
        <v>4</v>
      </c>
      <c r="B20" s="120" t="s">
        <v>125</v>
      </c>
      <c r="C20" s="558">
        <v>6532041.2999999998</v>
      </c>
      <c r="D20" s="558">
        <v>0</v>
      </c>
      <c r="E20" s="95">
        <f t="shared" si="0"/>
        <v>6532041.2999999998</v>
      </c>
      <c r="F20" s="558">
        <v>4427171.53</v>
      </c>
      <c r="G20" s="558">
        <v>0</v>
      </c>
      <c r="H20" s="96">
        <f t="shared" si="1"/>
        <v>4427171.53</v>
      </c>
    </row>
    <row r="21" spans="1:10" ht="15.75" x14ac:dyDescent="0.3">
      <c r="A21" s="116">
        <v>5</v>
      </c>
      <c r="B21" s="120" t="s">
        <v>126</v>
      </c>
      <c r="C21" s="558">
        <v>597962.83999999985</v>
      </c>
      <c r="D21" s="558">
        <v>420194.66000000003</v>
      </c>
      <c r="E21" s="95">
        <f t="shared" si="0"/>
        <v>1018157.4999999999</v>
      </c>
      <c r="F21" s="558">
        <v>710755.36</v>
      </c>
      <c r="G21" s="558">
        <v>406415.41999999993</v>
      </c>
      <c r="H21" s="96">
        <f t="shared" si="1"/>
        <v>1117170.7799999998</v>
      </c>
    </row>
    <row r="22" spans="1:10" ht="15.75" x14ac:dyDescent="0.3">
      <c r="A22" s="116">
        <v>6</v>
      </c>
      <c r="B22" s="124" t="s">
        <v>127</v>
      </c>
      <c r="C22" s="560">
        <f>C8+C9+C19+C20+C21</f>
        <v>47511294.540000007</v>
      </c>
      <c r="D22" s="560">
        <f>D8+D9+D19+D20+D21</f>
        <v>40165122.549999997</v>
      </c>
      <c r="E22" s="95">
        <f t="shared" si="0"/>
        <v>87676417.090000004</v>
      </c>
      <c r="F22" s="560">
        <f>F8+F9+F19+F20+F21</f>
        <v>41525678.729999989</v>
      </c>
      <c r="G22" s="560">
        <f>G8+G9+G19+G20+G21</f>
        <v>38598570.25</v>
      </c>
      <c r="H22" s="96">
        <f t="shared" si="1"/>
        <v>80124248.979999989</v>
      </c>
      <c r="J22" s="125"/>
    </row>
    <row r="23" spans="1:10" ht="15.75" x14ac:dyDescent="0.3">
      <c r="A23" s="116"/>
      <c r="B23" s="117" t="s">
        <v>128</v>
      </c>
      <c r="C23" s="558"/>
      <c r="D23" s="558"/>
      <c r="E23" s="94"/>
      <c r="F23" s="558"/>
      <c r="G23" s="558"/>
      <c r="H23" s="99"/>
    </row>
    <row r="24" spans="1:10" ht="15.75" x14ac:dyDescent="0.3">
      <c r="A24" s="116">
        <v>7</v>
      </c>
      <c r="B24" s="120" t="s">
        <v>129</v>
      </c>
      <c r="C24" s="558">
        <v>5486656.0199999996</v>
      </c>
      <c r="D24" s="558">
        <v>2732076.8899999997</v>
      </c>
      <c r="E24" s="95">
        <f t="shared" ref="E24:E31" si="2">C24+D24</f>
        <v>8218732.9099999992</v>
      </c>
      <c r="F24" s="558">
        <v>5225485.0999999996</v>
      </c>
      <c r="G24" s="558">
        <v>2883669.67</v>
      </c>
      <c r="H24" s="96">
        <f t="shared" ref="H24:H31" si="3">F24+G24</f>
        <v>8109154.7699999996</v>
      </c>
    </row>
    <row r="25" spans="1:10" ht="15.75" x14ac:dyDescent="0.3">
      <c r="A25" s="116">
        <v>8</v>
      </c>
      <c r="B25" s="120" t="s">
        <v>130</v>
      </c>
      <c r="C25" s="558">
        <v>13275104.209999999</v>
      </c>
      <c r="D25" s="558">
        <v>9744996.5500000007</v>
      </c>
      <c r="E25" s="95">
        <f t="shared" si="2"/>
        <v>23020100.759999998</v>
      </c>
      <c r="F25" s="558">
        <v>10209410.27</v>
      </c>
      <c r="G25" s="558">
        <v>8689492.1199999992</v>
      </c>
      <c r="H25" s="96">
        <f t="shared" si="3"/>
        <v>18898902.390000001</v>
      </c>
    </row>
    <row r="26" spans="1:10" ht="15.75" x14ac:dyDescent="0.3">
      <c r="A26" s="116">
        <v>9</v>
      </c>
      <c r="B26" s="120" t="s">
        <v>131</v>
      </c>
      <c r="C26" s="558">
        <v>9513.4</v>
      </c>
      <c r="D26" s="558">
        <v>84056.25</v>
      </c>
      <c r="E26" s="95">
        <f t="shared" si="2"/>
        <v>93569.65</v>
      </c>
      <c r="F26" s="558">
        <v>6368.49</v>
      </c>
      <c r="G26" s="558">
        <v>42602.39</v>
      </c>
      <c r="H26" s="96">
        <f t="shared" si="3"/>
        <v>48970.879999999997</v>
      </c>
      <c r="J26" s="126"/>
    </row>
    <row r="27" spans="1:10" ht="15.75" x14ac:dyDescent="0.3">
      <c r="A27" s="116">
        <v>10</v>
      </c>
      <c r="B27" s="120" t="s">
        <v>132</v>
      </c>
      <c r="C27" s="558">
        <v>0</v>
      </c>
      <c r="D27" s="558">
        <v>0</v>
      </c>
      <c r="E27" s="95">
        <f t="shared" si="2"/>
        <v>0</v>
      </c>
      <c r="F27" s="558">
        <v>0</v>
      </c>
      <c r="G27" s="558">
        <v>0</v>
      </c>
      <c r="H27" s="96">
        <f t="shared" si="3"/>
        <v>0</v>
      </c>
    </row>
    <row r="28" spans="1:10" ht="15.75" x14ac:dyDescent="0.3">
      <c r="A28" s="116">
        <v>11</v>
      </c>
      <c r="B28" s="120" t="s">
        <v>133</v>
      </c>
      <c r="C28" s="558">
        <v>8220193.1400000006</v>
      </c>
      <c r="D28" s="558">
        <v>7068871.9000000004</v>
      </c>
      <c r="E28" s="95">
        <f t="shared" si="2"/>
        <v>15289065.040000001</v>
      </c>
      <c r="F28" s="558">
        <v>4745041.9399999995</v>
      </c>
      <c r="G28" s="558">
        <v>5481729.6199999992</v>
      </c>
      <c r="H28" s="96">
        <f t="shared" si="3"/>
        <v>10226771.559999999</v>
      </c>
    </row>
    <row r="29" spans="1:10" ht="15.75" x14ac:dyDescent="0.3">
      <c r="A29" s="116">
        <v>12</v>
      </c>
      <c r="B29" s="120" t="s">
        <v>134</v>
      </c>
      <c r="C29" s="558">
        <v>0</v>
      </c>
      <c r="D29" s="558">
        <v>0</v>
      </c>
      <c r="E29" s="95">
        <f t="shared" si="2"/>
        <v>0</v>
      </c>
      <c r="F29" s="558">
        <v>0</v>
      </c>
      <c r="G29" s="558">
        <v>0</v>
      </c>
      <c r="H29" s="96">
        <f t="shared" si="3"/>
        <v>0</v>
      </c>
    </row>
    <row r="30" spans="1:10" ht="15.75" x14ac:dyDescent="0.3">
      <c r="A30" s="116">
        <v>13</v>
      </c>
      <c r="B30" s="127" t="s">
        <v>135</v>
      </c>
      <c r="C30" s="560">
        <f>C24+C25+C26+C27+C28+C29</f>
        <v>26991466.769999996</v>
      </c>
      <c r="D30" s="560">
        <f>D24+D25+D26+D27+D28+D29</f>
        <v>19630001.590000004</v>
      </c>
      <c r="E30" s="95">
        <f t="shared" si="2"/>
        <v>46621468.359999999</v>
      </c>
      <c r="F30" s="560">
        <f>F24+F25+F26+F27+F28+F29</f>
        <v>20186305.799999997</v>
      </c>
      <c r="G30" s="560">
        <f>G24+G25+G26+G27+G28+G29</f>
        <v>17097493.799999997</v>
      </c>
      <c r="H30" s="96">
        <f t="shared" si="3"/>
        <v>37283799.599999994</v>
      </c>
    </row>
    <row r="31" spans="1:10" ht="15.75" x14ac:dyDescent="0.3">
      <c r="A31" s="116">
        <v>14</v>
      </c>
      <c r="B31" s="127" t="s">
        <v>136</v>
      </c>
      <c r="C31" s="560">
        <f>C22-C30</f>
        <v>20519827.770000011</v>
      </c>
      <c r="D31" s="560">
        <f>D22-D30</f>
        <v>20535120.959999993</v>
      </c>
      <c r="E31" s="95">
        <f t="shared" si="2"/>
        <v>41054948.730000004</v>
      </c>
      <c r="F31" s="560">
        <f>F22-F30</f>
        <v>21339372.929999992</v>
      </c>
      <c r="G31" s="560">
        <f>G22-G30</f>
        <v>21501076.450000003</v>
      </c>
      <c r="H31" s="96">
        <f t="shared" si="3"/>
        <v>42840449.379999995</v>
      </c>
    </row>
    <row r="32" spans="1:10" x14ac:dyDescent="0.25">
      <c r="A32" s="116"/>
      <c r="B32" s="117"/>
      <c r="C32" s="561"/>
      <c r="D32" s="561"/>
      <c r="E32" s="561"/>
      <c r="F32" s="561"/>
      <c r="G32" s="561"/>
      <c r="H32" s="562"/>
    </row>
    <row r="33" spans="1:8" ht="15.75" x14ac:dyDescent="0.3">
      <c r="A33" s="116"/>
      <c r="B33" s="117" t="s">
        <v>137</v>
      </c>
      <c r="C33" s="558"/>
      <c r="D33" s="558"/>
      <c r="E33" s="94"/>
      <c r="F33" s="558"/>
      <c r="G33" s="558"/>
      <c r="H33" s="99"/>
    </row>
    <row r="34" spans="1:8" ht="15.75" x14ac:dyDescent="0.3">
      <c r="A34" s="116">
        <v>15</v>
      </c>
      <c r="B34" s="128" t="s">
        <v>138</v>
      </c>
      <c r="C34" s="121">
        <f>C35-C36</f>
        <v>2290830.7500000009</v>
      </c>
      <c r="D34" s="121">
        <f>D35-D36</f>
        <v>545085.73000000045</v>
      </c>
      <c r="E34" s="95">
        <f t="shared" ref="E34:E45" si="4">C34+D34</f>
        <v>2835916.4800000014</v>
      </c>
      <c r="F34" s="121">
        <f>F35-F36</f>
        <v>3586619.1800000025</v>
      </c>
      <c r="G34" s="121">
        <f>G35-G36</f>
        <v>1180443.8600000003</v>
      </c>
      <c r="H34" s="96">
        <f t="shared" ref="H34:H45" si="5">F34+G34</f>
        <v>4767063.0400000028</v>
      </c>
    </row>
    <row r="35" spans="1:8" ht="15.75" x14ac:dyDescent="0.3">
      <c r="A35" s="116">
        <v>15.1</v>
      </c>
      <c r="B35" s="122" t="s">
        <v>139</v>
      </c>
      <c r="C35" s="558">
        <v>4379573.2400000012</v>
      </c>
      <c r="D35" s="558">
        <v>2725729.9800000004</v>
      </c>
      <c r="E35" s="95">
        <f t="shared" si="4"/>
        <v>7105303.2200000016</v>
      </c>
      <c r="F35" s="558">
        <v>5661218.4300000025</v>
      </c>
      <c r="G35" s="558">
        <v>3718589.55</v>
      </c>
      <c r="H35" s="96">
        <f t="shared" si="5"/>
        <v>9379807.9800000023</v>
      </c>
    </row>
    <row r="36" spans="1:8" ht="15.75" x14ac:dyDescent="0.3">
      <c r="A36" s="116">
        <v>15.2</v>
      </c>
      <c r="B36" s="122" t="s">
        <v>140</v>
      </c>
      <c r="C36" s="558">
        <v>2088742.4900000002</v>
      </c>
      <c r="D36" s="558">
        <v>2180644.25</v>
      </c>
      <c r="E36" s="95">
        <f t="shared" si="4"/>
        <v>4269386.74</v>
      </c>
      <c r="F36" s="558">
        <v>2074599.2499999998</v>
      </c>
      <c r="G36" s="558">
        <v>2538145.6899999995</v>
      </c>
      <c r="H36" s="96">
        <f t="shared" si="5"/>
        <v>4612744.9399999995</v>
      </c>
    </row>
    <row r="37" spans="1:8" ht="15.75" x14ac:dyDescent="0.3">
      <c r="A37" s="116">
        <v>16</v>
      </c>
      <c r="B37" s="120" t="s">
        <v>141</v>
      </c>
      <c r="C37" s="558">
        <v>0</v>
      </c>
      <c r="D37" s="558">
        <v>0</v>
      </c>
      <c r="E37" s="95">
        <f t="shared" si="4"/>
        <v>0</v>
      </c>
      <c r="F37" s="558">
        <v>0</v>
      </c>
      <c r="G37" s="558">
        <v>0</v>
      </c>
      <c r="H37" s="96">
        <f t="shared" si="5"/>
        <v>0</v>
      </c>
    </row>
    <row r="38" spans="1:8" ht="15.75" x14ac:dyDescent="0.3">
      <c r="A38" s="116">
        <v>17</v>
      </c>
      <c r="B38" s="120" t="s">
        <v>142</v>
      </c>
      <c r="C38" s="558">
        <v>0</v>
      </c>
      <c r="D38" s="558">
        <v>0</v>
      </c>
      <c r="E38" s="95">
        <f t="shared" si="4"/>
        <v>0</v>
      </c>
      <c r="F38" s="558">
        <v>0</v>
      </c>
      <c r="G38" s="558">
        <v>0</v>
      </c>
      <c r="H38" s="96">
        <f t="shared" si="5"/>
        <v>0</v>
      </c>
    </row>
    <row r="39" spans="1:8" ht="15.75" x14ac:dyDescent="0.3">
      <c r="A39" s="116">
        <v>18</v>
      </c>
      <c r="B39" s="120" t="s">
        <v>143</v>
      </c>
      <c r="C39" s="558">
        <v>0</v>
      </c>
      <c r="D39" s="558">
        <v>0</v>
      </c>
      <c r="E39" s="95">
        <f t="shared" si="4"/>
        <v>0</v>
      </c>
      <c r="F39" s="558">
        <v>0</v>
      </c>
      <c r="G39" s="558">
        <v>0</v>
      </c>
      <c r="H39" s="96">
        <f t="shared" si="5"/>
        <v>0</v>
      </c>
    </row>
    <row r="40" spans="1:8" ht="15.75" x14ac:dyDescent="0.3">
      <c r="A40" s="116">
        <v>19</v>
      </c>
      <c r="B40" s="120" t="s">
        <v>144</v>
      </c>
      <c r="C40" s="558">
        <v>-2161396.9799999995</v>
      </c>
      <c r="D40" s="558">
        <v>0</v>
      </c>
      <c r="E40" s="95">
        <f t="shared" si="4"/>
        <v>-2161396.9799999995</v>
      </c>
      <c r="F40" s="558">
        <v>1420784.5599999982</v>
      </c>
      <c r="G40" s="558">
        <v>0</v>
      </c>
      <c r="H40" s="96">
        <f t="shared" si="5"/>
        <v>1420784.5599999982</v>
      </c>
    </row>
    <row r="41" spans="1:8" ht="15.75" x14ac:dyDescent="0.3">
      <c r="A41" s="116">
        <v>20</v>
      </c>
      <c r="B41" s="120" t="s">
        <v>145</v>
      </c>
      <c r="C41" s="558">
        <v>9406301.9600000083</v>
      </c>
      <c r="D41" s="558">
        <v>0</v>
      </c>
      <c r="E41" s="95">
        <f t="shared" si="4"/>
        <v>9406301.9600000083</v>
      </c>
      <c r="F41" s="558">
        <v>3810535.8900000006</v>
      </c>
      <c r="G41" s="558">
        <v>0</v>
      </c>
      <c r="H41" s="96">
        <f t="shared" si="5"/>
        <v>3810535.8900000006</v>
      </c>
    </row>
    <row r="42" spans="1:8" ht="15.75" x14ac:dyDescent="0.3">
      <c r="A42" s="116">
        <v>21</v>
      </c>
      <c r="B42" s="120" t="s">
        <v>146</v>
      </c>
      <c r="C42" s="558">
        <v>212939.41</v>
      </c>
      <c r="D42" s="558">
        <v>0</v>
      </c>
      <c r="E42" s="95">
        <f t="shared" si="4"/>
        <v>212939.41</v>
      </c>
      <c r="F42" s="558">
        <v>1022328.9299999999</v>
      </c>
      <c r="G42" s="558">
        <v>0</v>
      </c>
      <c r="H42" s="96">
        <f t="shared" si="5"/>
        <v>1022328.9299999999</v>
      </c>
    </row>
    <row r="43" spans="1:8" ht="15.75" x14ac:dyDescent="0.3">
      <c r="A43" s="116">
        <v>22</v>
      </c>
      <c r="B43" s="120" t="s">
        <v>147</v>
      </c>
      <c r="C43" s="558">
        <v>1306</v>
      </c>
      <c r="D43" s="558">
        <v>1598.69</v>
      </c>
      <c r="E43" s="95">
        <f t="shared" si="4"/>
        <v>2904.69</v>
      </c>
      <c r="F43" s="558">
        <v>10580</v>
      </c>
      <c r="G43" s="558">
        <v>11817.02</v>
      </c>
      <c r="H43" s="96">
        <f t="shared" si="5"/>
        <v>22397.02</v>
      </c>
    </row>
    <row r="44" spans="1:8" ht="15.75" x14ac:dyDescent="0.3">
      <c r="A44" s="116">
        <v>23</v>
      </c>
      <c r="B44" s="120" t="s">
        <v>148</v>
      </c>
      <c r="C44" s="558">
        <v>24115.950000000004</v>
      </c>
      <c r="D44" s="558">
        <v>455.65999999999997</v>
      </c>
      <c r="E44" s="95">
        <f t="shared" si="4"/>
        <v>24571.610000000004</v>
      </c>
      <c r="F44" s="558">
        <v>257155.41999999998</v>
      </c>
      <c r="G44" s="558">
        <v>186554.92</v>
      </c>
      <c r="H44" s="96">
        <f t="shared" si="5"/>
        <v>443710.33999999997</v>
      </c>
    </row>
    <row r="45" spans="1:8" ht="15.75" x14ac:dyDescent="0.3">
      <c r="A45" s="116">
        <v>24</v>
      </c>
      <c r="B45" s="127" t="s">
        <v>149</v>
      </c>
      <c r="C45" s="560">
        <f>C34+C37+C38+C39+C40+C41+C42+C43+C44</f>
        <v>9774097.0900000092</v>
      </c>
      <c r="D45" s="560">
        <f>D34+D37+D38+D39+D40+D41+D42+D43+D44</f>
        <v>547140.08000000042</v>
      </c>
      <c r="E45" s="95">
        <f t="shared" si="4"/>
        <v>10321237.170000009</v>
      </c>
      <c r="F45" s="560">
        <f>F34+F37+F38+F39+F40+F41+F42+F43+F44</f>
        <v>10108003.98</v>
      </c>
      <c r="G45" s="560">
        <f>G34+G37+G38+G39+G40+G41+G42+G43+G44</f>
        <v>1378815.8000000003</v>
      </c>
      <c r="H45" s="96">
        <f t="shared" si="5"/>
        <v>11486819.780000001</v>
      </c>
    </row>
    <row r="46" spans="1:8" x14ac:dyDescent="0.25">
      <c r="A46" s="116"/>
      <c r="B46" s="117" t="s">
        <v>150</v>
      </c>
      <c r="C46" s="558"/>
      <c r="D46" s="558"/>
      <c r="E46" s="558"/>
      <c r="F46" s="558"/>
      <c r="G46" s="558"/>
      <c r="H46" s="563"/>
    </row>
    <row r="47" spans="1:8" ht="15.75" x14ac:dyDescent="0.3">
      <c r="A47" s="116">
        <v>25</v>
      </c>
      <c r="B47" s="120" t="s">
        <v>151</v>
      </c>
      <c r="C47" s="558">
        <v>694943.35</v>
      </c>
      <c r="D47" s="558">
        <v>527373.26</v>
      </c>
      <c r="E47" s="95">
        <f t="shared" ref="E47:E54" si="6">C47+D47</f>
        <v>1222316.6099999999</v>
      </c>
      <c r="F47" s="558">
        <v>626294.14999999991</v>
      </c>
      <c r="G47" s="558">
        <v>545965.32999999996</v>
      </c>
      <c r="H47" s="96">
        <f t="shared" ref="H47:H54" si="7">F47+G47</f>
        <v>1172259.48</v>
      </c>
    </row>
    <row r="48" spans="1:8" ht="15.75" x14ac:dyDescent="0.3">
      <c r="A48" s="116">
        <v>26</v>
      </c>
      <c r="B48" s="120" t="s">
        <v>152</v>
      </c>
      <c r="C48" s="558">
        <v>1804955.5099999998</v>
      </c>
      <c r="D48" s="558">
        <v>15837.590000000002</v>
      </c>
      <c r="E48" s="95">
        <f t="shared" si="6"/>
        <v>1820793.0999999999</v>
      </c>
      <c r="F48" s="558">
        <v>2190460.3000000003</v>
      </c>
      <c r="G48" s="558">
        <v>125988.59000000001</v>
      </c>
      <c r="H48" s="96">
        <f t="shared" si="7"/>
        <v>2316448.89</v>
      </c>
    </row>
    <row r="49" spans="1:9" ht="15.75" x14ac:dyDescent="0.3">
      <c r="A49" s="116">
        <v>27</v>
      </c>
      <c r="B49" s="120" t="s">
        <v>153</v>
      </c>
      <c r="C49" s="558">
        <v>13823454.319999991</v>
      </c>
      <c r="D49" s="558">
        <v>0</v>
      </c>
      <c r="E49" s="95">
        <f t="shared" si="6"/>
        <v>13823454.319999991</v>
      </c>
      <c r="F49" s="558">
        <v>15979380.359999998</v>
      </c>
      <c r="G49" s="558">
        <v>0</v>
      </c>
      <c r="H49" s="96">
        <f t="shared" si="7"/>
        <v>15979380.359999998</v>
      </c>
    </row>
    <row r="50" spans="1:9" ht="15.75" x14ac:dyDescent="0.3">
      <c r="A50" s="116">
        <v>28</v>
      </c>
      <c r="B50" s="120" t="s">
        <v>154</v>
      </c>
      <c r="C50" s="558">
        <v>0</v>
      </c>
      <c r="D50" s="558">
        <v>0</v>
      </c>
      <c r="E50" s="95">
        <f t="shared" si="6"/>
        <v>0</v>
      </c>
      <c r="F50" s="558">
        <v>0</v>
      </c>
      <c r="G50" s="558">
        <v>0</v>
      </c>
      <c r="H50" s="96">
        <f t="shared" si="7"/>
        <v>0</v>
      </c>
    </row>
    <row r="51" spans="1:9" ht="15.75" x14ac:dyDescent="0.3">
      <c r="A51" s="116">
        <v>29</v>
      </c>
      <c r="B51" s="120" t="s">
        <v>155</v>
      </c>
      <c r="C51" s="558">
        <v>5210381.7499999991</v>
      </c>
      <c r="D51" s="558">
        <v>0</v>
      </c>
      <c r="E51" s="95">
        <f t="shared" si="6"/>
        <v>5210381.7499999991</v>
      </c>
      <c r="F51" s="558">
        <v>4802655.709999999</v>
      </c>
      <c r="G51" s="558">
        <v>0</v>
      </c>
      <c r="H51" s="96">
        <f t="shared" si="7"/>
        <v>4802655.709999999</v>
      </c>
    </row>
    <row r="52" spans="1:9" ht="15.75" x14ac:dyDescent="0.3">
      <c r="A52" s="116">
        <v>30</v>
      </c>
      <c r="B52" s="120" t="s">
        <v>156</v>
      </c>
      <c r="C52" s="558">
        <v>5720750.540000001</v>
      </c>
      <c r="D52" s="558">
        <v>0</v>
      </c>
      <c r="E52" s="95">
        <f t="shared" si="6"/>
        <v>5720750.540000001</v>
      </c>
      <c r="F52" s="558">
        <v>4544339.1000000006</v>
      </c>
      <c r="G52" s="558">
        <v>7319.64</v>
      </c>
      <c r="H52" s="96">
        <f t="shared" si="7"/>
        <v>4551658.74</v>
      </c>
    </row>
    <row r="53" spans="1:9" ht="15.75" x14ac:dyDescent="0.3">
      <c r="A53" s="116">
        <v>31</v>
      </c>
      <c r="B53" s="127" t="s">
        <v>157</v>
      </c>
      <c r="C53" s="560">
        <f>C47+C48+C49+C50+C51+C52</f>
        <v>27254485.469999991</v>
      </c>
      <c r="D53" s="560">
        <f>D47+D48+D49+D50+D51+D52</f>
        <v>543210.85</v>
      </c>
      <c r="E53" s="95">
        <f t="shared" si="6"/>
        <v>27797696.319999993</v>
      </c>
      <c r="F53" s="560">
        <f>F47+F48+F49+F50+F51+F52</f>
        <v>28143129.619999997</v>
      </c>
      <c r="G53" s="560">
        <f>G47+G48+G49+G50+G51+G52</f>
        <v>679273.55999999994</v>
      </c>
      <c r="H53" s="96">
        <f t="shared" si="7"/>
        <v>28822403.179999996</v>
      </c>
    </row>
    <row r="54" spans="1:9" ht="15.75" x14ac:dyDescent="0.3">
      <c r="A54" s="116">
        <v>32</v>
      </c>
      <c r="B54" s="127" t="s">
        <v>158</v>
      </c>
      <c r="C54" s="560">
        <f>C45-C53</f>
        <v>-17480388.37999998</v>
      </c>
      <c r="D54" s="560">
        <f>D45-D53</f>
        <v>3929.230000000447</v>
      </c>
      <c r="E54" s="95">
        <f t="shared" si="6"/>
        <v>-17476459.14999998</v>
      </c>
      <c r="F54" s="560">
        <f>F45-F53</f>
        <v>-18035125.639999997</v>
      </c>
      <c r="G54" s="560">
        <f>G45-G53</f>
        <v>699542.24000000034</v>
      </c>
      <c r="H54" s="96">
        <f t="shared" si="7"/>
        <v>-17335583.399999995</v>
      </c>
    </row>
    <row r="55" spans="1:9" x14ac:dyDescent="0.25">
      <c r="A55" s="116"/>
      <c r="B55" s="117"/>
      <c r="C55" s="561"/>
      <c r="D55" s="561"/>
      <c r="E55" s="561"/>
      <c r="F55" s="561"/>
      <c r="G55" s="561"/>
      <c r="H55" s="562"/>
    </row>
    <row r="56" spans="1:9" ht="15.75" x14ac:dyDescent="0.3">
      <c r="A56" s="116">
        <v>33</v>
      </c>
      <c r="B56" s="127" t="s">
        <v>159</v>
      </c>
      <c r="C56" s="560">
        <f>C31+C54</f>
        <v>3039439.3900000304</v>
      </c>
      <c r="D56" s="560">
        <f>D31+D54</f>
        <v>20539050.189999994</v>
      </c>
      <c r="E56" s="95">
        <f>C56+D56</f>
        <v>23578489.580000024</v>
      </c>
      <c r="F56" s="560">
        <f>F31+F54</f>
        <v>3304247.2899999954</v>
      </c>
      <c r="G56" s="560">
        <f>G31+G54</f>
        <v>22200618.690000005</v>
      </c>
      <c r="H56" s="96">
        <f>F56+G56</f>
        <v>25504865.98</v>
      </c>
    </row>
    <row r="57" spans="1:9" x14ac:dyDescent="0.25">
      <c r="A57" s="116"/>
      <c r="B57" s="117"/>
      <c r="C57" s="558"/>
      <c r="D57" s="561"/>
      <c r="E57" s="561"/>
      <c r="F57" s="558"/>
      <c r="G57" s="561"/>
      <c r="H57" s="562"/>
    </row>
    <row r="58" spans="1:9" ht="15.75" x14ac:dyDescent="0.3">
      <c r="A58" s="116">
        <v>34</v>
      </c>
      <c r="B58" s="120" t="s">
        <v>160</v>
      </c>
      <c r="C58" s="558">
        <v>20979530.859999996</v>
      </c>
      <c r="D58" s="558">
        <v>0</v>
      </c>
      <c r="E58" s="95">
        <f>C58+D58</f>
        <v>20979530.859999996</v>
      </c>
      <c r="F58" s="558">
        <v>2041072.0200000065</v>
      </c>
      <c r="G58" s="558">
        <v>0</v>
      </c>
      <c r="H58" s="96">
        <f>F58+G58</f>
        <v>2041072.0200000065</v>
      </c>
    </row>
    <row r="59" spans="1:9" s="130" customFormat="1" ht="15.75" x14ac:dyDescent="0.3">
      <c r="A59" s="116">
        <v>35</v>
      </c>
      <c r="B59" s="128" t="s">
        <v>161</v>
      </c>
      <c r="C59" s="558">
        <v>385.73</v>
      </c>
      <c r="D59" s="558">
        <v>0</v>
      </c>
      <c r="E59" s="95">
        <f>C59+D59</f>
        <v>385.73</v>
      </c>
      <c r="F59" s="558">
        <v>0</v>
      </c>
      <c r="G59" s="558">
        <v>0</v>
      </c>
      <c r="H59" s="96">
        <f>F59+G59</f>
        <v>0</v>
      </c>
      <c r="I59" s="129"/>
    </row>
    <row r="60" spans="1:9" ht="15.75" x14ac:dyDescent="0.3">
      <c r="A60" s="116">
        <v>36</v>
      </c>
      <c r="B60" s="120" t="s">
        <v>162</v>
      </c>
      <c r="C60" s="558">
        <v>16429521.74</v>
      </c>
      <c r="D60" s="558">
        <v>0</v>
      </c>
      <c r="E60" s="95">
        <f>C60+D60</f>
        <v>16429521.74</v>
      </c>
      <c r="F60" s="558">
        <v>411728.85999999993</v>
      </c>
      <c r="G60" s="558">
        <v>0</v>
      </c>
      <c r="H60" s="96">
        <f>F60+G60</f>
        <v>411728.85999999993</v>
      </c>
    </row>
    <row r="61" spans="1:9" ht="15.75" x14ac:dyDescent="0.3">
      <c r="A61" s="116">
        <v>37</v>
      </c>
      <c r="B61" s="127" t="s">
        <v>163</v>
      </c>
      <c r="C61" s="560">
        <f>C58+C59+C60</f>
        <v>37409438.329999998</v>
      </c>
      <c r="D61" s="560">
        <v>0</v>
      </c>
      <c r="E61" s="95">
        <f>C61+D61</f>
        <v>37409438.329999998</v>
      </c>
      <c r="F61" s="560">
        <f>F58+F59+F60</f>
        <v>2452800.8800000064</v>
      </c>
      <c r="G61" s="560">
        <v>0</v>
      </c>
      <c r="H61" s="96">
        <f>F61+G61</f>
        <v>2452800.8800000064</v>
      </c>
    </row>
    <row r="62" spans="1:9" x14ac:dyDescent="0.25">
      <c r="A62" s="116"/>
      <c r="B62" s="131"/>
      <c r="C62" s="558"/>
      <c r="D62" s="558"/>
      <c r="E62" s="558"/>
      <c r="F62" s="558"/>
      <c r="G62" s="558"/>
      <c r="H62" s="563"/>
    </row>
    <row r="63" spans="1:9" ht="15.75" x14ac:dyDescent="0.3">
      <c r="A63" s="116">
        <v>38</v>
      </c>
      <c r="B63" s="132" t="s">
        <v>164</v>
      </c>
      <c r="C63" s="560">
        <f>C56-C61</f>
        <v>-34369998.939999968</v>
      </c>
      <c r="D63" s="560">
        <f>D56-D61</f>
        <v>20539050.189999994</v>
      </c>
      <c r="E63" s="95">
        <f>C63+D63</f>
        <v>-13830948.749999974</v>
      </c>
      <c r="F63" s="560">
        <f>F56-F61</f>
        <v>851446.40999998897</v>
      </c>
      <c r="G63" s="560">
        <f>G56-G61</f>
        <v>22200618.690000005</v>
      </c>
      <c r="H63" s="96">
        <f>F63+G63</f>
        <v>23052065.099999994</v>
      </c>
    </row>
    <row r="64" spans="1:9" ht="15.75" x14ac:dyDescent="0.3">
      <c r="A64" s="112">
        <v>39</v>
      </c>
      <c r="B64" s="120" t="s">
        <v>165</v>
      </c>
      <c r="C64" s="558">
        <v>0</v>
      </c>
      <c r="D64" s="558">
        <v>0</v>
      </c>
      <c r="E64" s="95">
        <f>C64+D64</f>
        <v>0</v>
      </c>
      <c r="F64" s="558">
        <v>2810492</v>
      </c>
      <c r="G64" s="558">
        <v>0</v>
      </c>
      <c r="H64" s="96">
        <f>F64+G64</f>
        <v>2810492</v>
      </c>
    </row>
    <row r="65" spans="1:8" ht="15.75" x14ac:dyDescent="0.3">
      <c r="A65" s="116">
        <v>40</v>
      </c>
      <c r="B65" s="127" t="s">
        <v>166</v>
      </c>
      <c r="C65" s="560">
        <f>C63-C64</f>
        <v>-34369998.939999968</v>
      </c>
      <c r="D65" s="560">
        <f>D63-D64</f>
        <v>20539050.189999994</v>
      </c>
      <c r="E65" s="95">
        <f>C65+D65</f>
        <v>-13830948.749999974</v>
      </c>
      <c r="F65" s="560">
        <f>F63-F64</f>
        <v>-1959045.590000011</v>
      </c>
      <c r="G65" s="560">
        <f>G63-G64</f>
        <v>22200618.690000005</v>
      </c>
      <c r="H65" s="96">
        <f>F65+G65</f>
        <v>20241573.099999994</v>
      </c>
    </row>
    <row r="66" spans="1:8" ht="15.75" x14ac:dyDescent="0.3">
      <c r="A66" s="112">
        <v>41</v>
      </c>
      <c r="B66" s="120" t="s">
        <v>167</v>
      </c>
      <c r="C66" s="558">
        <v>0</v>
      </c>
      <c r="D66" s="558">
        <v>0</v>
      </c>
      <c r="E66" s="95">
        <f>C66+D66</f>
        <v>0</v>
      </c>
      <c r="F66" s="558">
        <v>0</v>
      </c>
      <c r="G66" s="558">
        <v>0</v>
      </c>
      <c r="H66" s="96">
        <f>F66+G66</f>
        <v>0</v>
      </c>
    </row>
    <row r="67" spans="1:8" ht="16.5" thickBot="1" x14ac:dyDescent="0.35">
      <c r="A67" s="133">
        <v>42</v>
      </c>
      <c r="B67" s="134" t="s">
        <v>168</v>
      </c>
      <c r="C67" s="564">
        <f>C65+C66</f>
        <v>-34369998.939999968</v>
      </c>
      <c r="D67" s="564">
        <f>D65+D66</f>
        <v>20539050.189999994</v>
      </c>
      <c r="E67" s="102">
        <f>C67+D67</f>
        <v>-13830948.749999974</v>
      </c>
      <c r="F67" s="564">
        <f>F65+F66</f>
        <v>-1959045.590000011</v>
      </c>
      <c r="G67" s="564">
        <f>G65+G66</f>
        <v>22200618.690000005</v>
      </c>
      <c r="H67" s="103">
        <f>F67+G67</f>
        <v>20241573.099999994</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249977111117893"/>
    <pageSetUpPr fitToPage="1"/>
  </sheetPr>
  <dimension ref="A1:L54"/>
  <sheetViews>
    <sheetView topLeftCell="A26" zoomScaleNormal="100" workbookViewId="0">
      <selection activeCell="XEJ1048571" sqref="XEJ1048571"/>
    </sheetView>
  </sheetViews>
  <sheetFormatPr defaultRowHeight="15" x14ac:dyDescent="0.25"/>
  <cols>
    <col min="1" max="1" width="9.5703125" bestFit="1" customWidth="1"/>
    <col min="2" max="2" width="72.28515625" customWidth="1"/>
    <col min="3" max="3" width="14" style="48" bestFit="1" customWidth="1"/>
    <col min="4" max="4" width="14.140625" style="48" customWidth="1"/>
    <col min="5" max="5" width="14.85546875" style="48" customWidth="1"/>
    <col min="6" max="6" width="12.7109375" style="48" customWidth="1"/>
    <col min="7" max="7" width="13.5703125" style="48" bestFit="1" customWidth="1"/>
    <col min="8" max="8" width="14.140625" style="48" customWidth="1"/>
    <col min="9" max="9" width="14.85546875" style="48" customWidth="1"/>
    <col min="10" max="10" width="11.5703125" style="48" bestFit="1" customWidth="1"/>
    <col min="11" max="11" width="11.42578125" customWidth="1"/>
    <col min="12" max="12" width="11.5703125" bestFit="1" customWidth="1"/>
  </cols>
  <sheetData>
    <row r="1" spans="1:10" x14ac:dyDescent="0.25">
      <c r="A1" s="22" t="s">
        <v>29</v>
      </c>
      <c r="B1" s="22" t="str">
        <f>'1. key ratios'!B1</f>
        <v>სს ტერაბანკი</v>
      </c>
      <c r="C1"/>
      <c r="D1"/>
      <c r="E1"/>
      <c r="F1"/>
      <c r="G1"/>
      <c r="H1"/>
      <c r="I1"/>
      <c r="J1"/>
    </row>
    <row r="2" spans="1:10" x14ac:dyDescent="0.25">
      <c r="A2" s="22" t="s">
        <v>31</v>
      </c>
      <c r="B2" s="82">
        <v>44196</v>
      </c>
      <c r="C2"/>
      <c r="D2"/>
      <c r="E2"/>
      <c r="F2"/>
      <c r="G2"/>
      <c r="H2"/>
      <c r="I2"/>
      <c r="J2"/>
    </row>
    <row r="3" spans="1:10" x14ac:dyDescent="0.25">
      <c r="A3" s="22"/>
      <c r="C3"/>
      <c r="D3"/>
      <c r="E3"/>
      <c r="F3" s="135"/>
      <c r="G3"/>
      <c r="H3"/>
      <c r="I3"/>
      <c r="J3"/>
    </row>
    <row r="4" spans="1:10" ht="16.5" thickBot="1" x14ac:dyDescent="0.35">
      <c r="A4" s="22" t="s">
        <v>169</v>
      </c>
      <c r="B4" s="22"/>
      <c r="C4" s="136"/>
      <c r="D4" s="136"/>
      <c r="E4" s="136"/>
      <c r="F4" s="137"/>
      <c r="G4" s="137"/>
      <c r="H4" s="138" t="s">
        <v>67</v>
      </c>
      <c r="I4"/>
      <c r="J4"/>
    </row>
    <row r="5" spans="1:10" ht="15.75" x14ac:dyDescent="0.3">
      <c r="A5" s="581" t="s">
        <v>33</v>
      </c>
      <c r="B5" s="583" t="s">
        <v>170</v>
      </c>
      <c r="C5" s="585" t="s">
        <v>68</v>
      </c>
      <c r="D5" s="585"/>
      <c r="E5" s="585"/>
      <c r="F5" s="585" t="s">
        <v>69</v>
      </c>
      <c r="G5" s="585"/>
      <c r="H5" s="586"/>
      <c r="I5"/>
      <c r="J5"/>
    </row>
    <row r="6" spans="1:10" x14ac:dyDescent="0.25">
      <c r="A6" s="582"/>
      <c r="B6" s="584"/>
      <c r="C6" s="91" t="s">
        <v>71</v>
      </c>
      <c r="D6" s="91" t="s">
        <v>72</v>
      </c>
      <c r="E6" s="91" t="s">
        <v>73</v>
      </c>
      <c r="F6" s="91" t="s">
        <v>71</v>
      </c>
      <c r="G6" s="91" t="s">
        <v>72</v>
      </c>
      <c r="H6" s="92" t="s">
        <v>73</v>
      </c>
      <c r="I6"/>
      <c r="J6"/>
    </row>
    <row r="7" spans="1:10" s="21" customFormat="1" x14ac:dyDescent="0.25">
      <c r="A7" s="139">
        <v>1</v>
      </c>
      <c r="B7" s="140" t="s">
        <v>171</v>
      </c>
      <c r="C7" s="550">
        <v>123566244.53999996</v>
      </c>
      <c r="D7" s="550">
        <v>51288941.219399989</v>
      </c>
      <c r="E7" s="565">
        <f>C7+D7</f>
        <v>174855185.75939995</v>
      </c>
      <c r="F7" s="550">
        <v>32702900.100000028</v>
      </c>
      <c r="G7" s="550">
        <v>33561731.450000003</v>
      </c>
      <c r="H7" s="551">
        <f t="shared" ref="H7:H53" si="0">F7+G7</f>
        <v>66264631.550000027</v>
      </c>
      <c r="I7" s="141"/>
      <c r="J7" s="141"/>
    </row>
    <row r="8" spans="1:10" s="21" customFormat="1" x14ac:dyDescent="0.25">
      <c r="A8" s="139">
        <v>1.1000000000000001</v>
      </c>
      <c r="B8" s="142" t="s">
        <v>172</v>
      </c>
      <c r="C8" s="550">
        <v>23240972.93</v>
      </c>
      <c r="D8" s="550">
        <v>21704449.7894</v>
      </c>
      <c r="E8" s="565">
        <f t="shared" ref="E8:E53" si="1">C8+D8</f>
        <v>44945422.719400004</v>
      </c>
      <c r="F8" s="550">
        <v>19929003.359999999</v>
      </c>
      <c r="G8" s="550">
        <v>17393231.57</v>
      </c>
      <c r="H8" s="551">
        <f t="shared" si="0"/>
        <v>37322234.93</v>
      </c>
      <c r="I8" s="141"/>
      <c r="J8" s="141"/>
    </row>
    <row r="9" spans="1:10" s="21" customFormat="1" x14ac:dyDescent="0.25">
      <c r="A9" s="139">
        <v>1.2</v>
      </c>
      <c r="B9" s="142" t="s">
        <v>173</v>
      </c>
      <c r="C9" s="550">
        <v>1640000</v>
      </c>
      <c r="D9" s="550">
        <v>5646826.0099999998</v>
      </c>
      <c r="E9" s="565">
        <f t="shared" si="1"/>
        <v>7286826.0099999998</v>
      </c>
      <c r="F9" s="550">
        <v>1736900</v>
      </c>
      <c r="G9" s="550">
        <v>2274923.35</v>
      </c>
      <c r="H9" s="551">
        <f t="shared" si="0"/>
        <v>4011823.35</v>
      </c>
      <c r="I9" s="141"/>
      <c r="J9" s="141"/>
    </row>
    <row r="10" spans="1:10" s="21" customFormat="1" x14ac:dyDescent="0.25">
      <c r="A10" s="139">
        <v>1.3</v>
      </c>
      <c r="B10" s="142" t="s">
        <v>174</v>
      </c>
      <c r="C10" s="550">
        <v>13275117.519999966</v>
      </c>
      <c r="D10" s="550">
        <v>11726389.379999999</v>
      </c>
      <c r="E10" s="565">
        <f t="shared" si="1"/>
        <v>25001506.899999965</v>
      </c>
      <c r="F10" s="550">
        <v>11036996.740000028</v>
      </c>
      <c r="G10" s="550">
        <v>13593901.879999999</v>
      </c>
      <c r="H10" s="551">
        <f t="shared" si="0"/>
        <v>24630898.620000027</v>
      </c>
      <c r="I10" s="141"/>
      <c r="J10" s="141"/>
    </row>
    <row r="11" spans="1:10" s="21" customFormat="1" x14ac:dyDescent="0.25">
      <c r="A11" s="139">
        <v>1.4</v>
      </c>
      <c r="B11" s="142" t="s">
        <v>175</v>
      </c>
      <c r="C11" s="550">
        <v>85410154.089999989</v>
      </c>
      <c r="D11" s="550">
        <v>12211276.039999995</v>
      </c>
      <c r="E11" s="565">
        <f t="shared" si="1"/>
        <v>97621430.12999998</v>
      </c>
      <c r="F11" s="550">
        <v>0</v>
      </c>
      <c r="G11" s="550">
        <v>299674.65000000002</v>
      </c>
      <c r="H11" s="551">
        <f t="shared" si="0"/>
        <v>299674.65000000002</v>
      </c>
      <c r="I11" s="141"/>
      <c r="J11" s="141"/>
    </row>
    <row r="12" spans="1:10" s="21" customFormat="1" ht="29.25" customHeight="1" x14ac:dyDescent="0.25">
      <c r="A12" s="139">
        <v>2</v>
      </c>
      <c r="B12" s="140" t="s">
        <v>176</v>
      </c>
      <c r="C12" s="550">
        <v>85410154.089999989</v>
      </c>
      <c r="D12" s="550">
        <v>12211276.039999995</v>
      </c>
      <c r="E12" s="565">
        <f t="shared" si="1"/>
        <v>97621430.12999998</v>
      </c>
      <c r="F12" s="550">
        <v>0</v>
      </c>
      <c r="G12" s="550">
        <v>299674.65000000002</v>
      </c>
      <c r="H12" s="551">
        <f t="shared" si="0"/>
        <v>299674.65000000002</v>
      </c>
      <c r="I12" s="141"/>
      <c r="J12" s="141"/>
    </row>
    <row r="13" spans="1:10" s="21" customFormat="1" ht="25.5" x14ac:dyDescent="0.25">
      <c r="A13" s="139">
        <v>3</v>
      </c>
      <c r="B13" s="140" t="s">
        <v>177</v>
      </c>
      <c r="C13" s="550">
        <v>0</v>
      </c>
      <c r="D13" s="550">
        <v>0</v>
      </c>
      <c r="E13" s="565">
        <f t="shared" si="1"/>
        <v>0</v>
      </c>
      <c r="F13" s="550">
        <v>12526000</v>
      </c>
      <c r="G13" s="550">
        <v>0</v>
      </c>
      <c r="H13" s="551">
        <f t="shared" si="0"/>
        <v>12526000</v>
      </c>
      <c r="I13" s="141"/>
      <c r="J13" s="141"/>
    </row>
    <row r="14" spans="1:10" s="21" customFormat="1" x14ac:dyDescent="0.25">
      <c r="A14" s="139">
        <v>3.1</v>
      </c>
      <c r="B14" s="142" t="s">
        <v>178</v>
      </c>
      <c r="C14" s="550">
        <v>0</v>
      </c>
      <c r="D14" s="550">
        <v>0</v>
      </c>
      <c r="E14" s="565">
        <f t="shared" si="1"/>
        <v>0</v>
      </c>
      <c r="F14" s="550">
        <v>12526000</v>
      </c>
      <c r="G14" s="550">
        <v>0</v>
      </c>
      <c r="H14" s="551">
        <f t="shared" si="0"/>
        <v>12526000</v>
      </c>
      <c r="I14" s="141"/>
      <c r="J14" s="141"/>
    </row>
    <row r="15" spans="1:10" s="21" customFormat="1" x14ac:dyDescent="0.25">
      <c r="A15" s="139">
        <v>3.2</v>
      </c>
      <c r="B15" s="142" t="s">
        <v>179</v>
      </c>
      <c r="C15" s="550">
        <v>0</v>
      </c>
      <c r="D15" s="550">
        <v>0</v>
      </c>
      <c r="E15" s="565">
        <f t="shared" si="1"/>
        <v>0</v>
      </c>
      <c r="F15" s="550">
        <v>0</v>
      </c>
      <c r="G15" s="550">
        <v>0</v>
      </c>
      <c r="H15" s="551">
        <f t="shared" si="0"/>
        <v>0</v>
      </c>
      <c r="I15" s="141"/>
      <c r="J15" s="141"/>
    </row>
    <row r="16" spans="1:10" s="21" customFormat="1" x14ac:dyDescent="0.25">
      <c r="A16" s="139">
        <v>4</v>
      </c>
      <c r="B16" s="140" t="s">
        <v>180</v>
      </c>
      <c r="C16" s="550">
        <v>201609747.4800005</v>
      </c>
      <c r="D16" s="550">
        <v>430153948.5200004</v>
      </c>
      <c r="E16" s="565">
        <f t="shared" si="1"/>
        <v>631763696.00000095</v>
      </c>
      <c r="F16" s="550">
        <v>168575231.24999979</v>
      </c>
      <c r="G16" s="550">
        <v>371096305.64000058</v>
      </c>
      <c r="H16" s="551">
        <f t="shared" si="0"/>
        <v>539671536.89000034</v>
      </c>
      <c r="J16" s="141"/>
    </row>
    <row r="17" spans="1:10" s="21" customFormat="1" x14ac:dyDescent="0.25">
      <c r="A17" s="139">
        <v>4.0999999999999996</v>
      </c>
      <c r="B17" s="142" t="s">
        <v>181</v>
      </c>
      <c r="C17" s="550">
        <v>3725841.8499999996</v>
      </c>
      <c r="D17" s="550">
        <v>0</v>
      </c>
      <c r="E17" s="565">
        <f t="shared" si="1"/>
        <v>3725841.8499999996</v>
      </c>
      <c r="F17" s="550">
        <v>168575231.24999979</v>
      </c>
      <c r="G17" s="550">
        <v>371096305.64000058</v>
      </c>
      <c r="H17" s="551">
        <f t="shared" si="0"/>
        <v>539671536.89000034</v>
      </c>
      <c r="J17" s="141"/>
    </row>
    <row r="18" spans="1:10" s="21" customFormat="1" x14ac:dyDescent="0.25">
      <c r="A18" s="139">
        <v>4.2</v>
      </c>
      <c r="B18" s="142" t="s">
        <v>182</v>
      </c>
      <c r="C18" s="550">
        <v>0</v>
      </c>
      <c r="D18" s="550">
        <v>0</v>
      </c>
      <c r="E18" s="565">
        <f t="shared" si="1"/>
        <v>0</v>
      </c>
      <c r="F18" s="550">
        <v>0</v>
      </c>
      <c r="G18" s="550">
        <v>0</v>
      </c>
      <c r="H18" s="551">
        <f t="shared" si="0"/>
        <v>0</v>
      </c>
      <c r="I18" s="141"/>
      <c r="J18" s="141"/>
    </row>
    <row r="19" spans="1:10" s="21" customFormat="1" ht="25.5" x14ac:dyDescent="0.25">
      <c r="A19" s="139">
        <v>5</v>
      </c>
      <c r="B19" s="140" t="s">
        <v>183</v>
      </c>
      <c r="C19" s="550">
        <v>83614000</v>
      </c>
      <c r="D19" s="550">
        <v>0</v>
      </c>
      <c r="E19" s="565">
        <f t="shared" si="1"/>
        <v>83614000</v>
      </c>
      <c r="F19" s="550">
        <v>638012608.5</v>
      </c>
      <c r="G19" s="550">
        <v>886506966.74000013</v>
      </c>
      <c r="H19" s="551">
        <f t="shared" si="0"/>
        <v>1524519575.2400002</v>
      </c>
      <c r="I19" s="141"/>
      <c r="J19" s="141"/>
    </row>
    <row r="20" spans="1:10" s="21" customFormat="1" x14ac:dyDescent="0.25">
      <c r="A20" s="139">
        <v>5.0999999999999996</v>
      </c>
      <c r="B20" s="142" t="s">
        <v>184</v>
      </c>
      <c r="C20" s="550">
        <v>816948022.3599999</v>
      </c>
      <c r="D20" s="550">
        <v>1019951590.8900001</v>
      </c>
      <c r="E20" s="565">
        <f t="shared" si="1"/>
        <v>1836899613.25</v>
      </c>
      <c r="F20" s="550">
        <v>14030617.689999999</v>
      </c>
      <c r="G20" s="550">
        <v>33072079.979999997</v>
      </c>
      <c r="H20" s="551">
        <f t="shared" si="0"/>
        <v>47102697.669999994</v>
      </c>
      <c r="I20" s="141"/>
      <c r="J20" s="141"/>
    </row>
    <row r="21" spans="1:10" s="21" customFormat="1" x14ac:dyDescent="0.25">
      <c r="A21" s="139">
        <v>5.2</v>
      </c>
      <c r="B21" s="142" t="s">
        <v>185</v>
      </c>
      <c r="C21" s="550">
        <v>25007974.639999997</v>
      </c>
      <c r="D21" s="550">
        <v>42637980.390000008</v>
      </c>
      <c r="E21" s="565">
        <f t="shared" si="1"/>
        <v>67645955.030000001</v>
      </c>
      <c r="F21" s="550">
        <v>67108829.899999999</v>
      </c>
      <c r="G21" s="550">
        <v>19925221.639999997</v>
      </c>
      <c r="H21" s="551">
        <f t="shared" si="0"/>
        <v>87034051.539999992</v>
      </c>
      <c r="I21" s="141"/>
      <c r="J21" s="141"/>
    </row>
    <row r="22" spans="1:10" s="21" customFormat="1" x14ac:dyDescent="0.25">
      <c r="A22" s="139">
        <v>5.3</v>
      </c>
      <c r="B22" s="142" t="s">
        <v>186</v>
      </c>
      <c r="C22" s="550">
        <v>43337194.74000001</v>
      </c>
      <c r="D22" s="550">
        <v>9771742.6500000004</v>
      </c>
      <c r="E22" s="565">
        <f t="shared" si="1"/>
        <v>53108937.390000008</v>
      </c>
      <c r="F22" s="550">
        <v>514857303.44</v>
      </c>
      <c r="G22" s="550">
        <v>805079571.53000009</v>
      </c>
      <c r="H22" s="551">
        <f t="shared" si="0"/>
        <v>1319936874.97</v>
      </c>
      <c r="I22" s="141"/>
      <c r="J22" s="141"/>
    </row>
    <row r="23" spans="1:10" s="21" customFormat="1" x14ac:dyDescent="0.25">
      <c r="A23" s="139" t="s">
        <v>187</v>
      </c>
      <c r="B23" s="143" t="s">
        <v>188</v>
      </c>
      <c r="C23" s="550">
        <v>644977306.42999995</v>
      </c>
      <c r="D23" s="550">
        <v>944483453.16000009</v>
      </c>
      <c r="E23" s="565">
        <f t="shared" si="1"/>
        <v>1589460759.5900002</v>
      </c>
      <c r="F23" s="550">
        <v>308987583.22000009</v>
      </c>
      <c r="G23" s="550">
        <v>334710877.72000021</v>
      </c>
      <c r="H23" s="551">
        <f t="shared" si="0"/>
        <v>643698460.9400003</v>
      </c>
      <c r="I23" s="141"/>
      <c r="J23" s="141"/>
    </row>
    <row r="24" spans="1:10" s="21" customFormat="1" x14ac:dyDescent="0.25">
      <c r="A24" s="139" t="s">
        <v>189</v>
      </c>
      <c r="B24" s="143" t="s">
        <v>190</v>
      </c>
      <c r="C24" s="550">
        <v>382166364.40999991</v>
      </c>
      <c r="D24" s="550">
        <v>381489999.05000007</v>
      </c>
      <c r="E24" s="565">
        <f t="shared" si="1"/>
        <v>763656363.46000004</v>
      </c>
      <c r="F24" s="550">
        <v>116988777.47999988</v>
      </c>
      <c r="G24" s="550">
        <v>277195209.10999978</v>
      </c>
      <c r="H24" s="551">
        <f t="shared" si="0"/>
        <v>394183986.58999968</v>
      </c>
      <c r="I24" s="141"/>
      <c r="J24" s="141"/>
    </row>
    <row r="25" spans="1:10" s="21" customFormat="1" x14ac:dyDescent="0.25">
      <c r="A25" s="139" t="s">
        <v>191</v>
      </c>
      <c r="B25" s="144" t="s">
        <v>192</v>
      </c>
      <c r="C25" s="550">
        <v>150339379.96000013</v>
      </c>
      <c r="D25" s="550">
        <v>335864617.00000018</v>
      </c>
      <c r="E25" s="565">
        <f t="shared" si="1"/>
        <v>486203996.96000028</v>
      </c>
      <c r="F25" s="550">
        <v>12325236.970000003</v>
      </c>
      <c r="G25" s="550">
        <v>19247043.460000005</v>
      </c>
      <c r="H25" s="551">
        <f t="shared" si="0"/>
        <v>31572280.430000007</v>
      </c>
      <c r="I25" s="141"/>
      <c r="J25" s="141"/>
    </row>
    <row r="26" spans="1:10" s="21" customFormat="1" x14ac:dyDescent="0.25">
      <c r="A26" s="139" t="s">
        <v>193</v>
      </c>
      <c r="B26" s="143" t="s">
        <v>194</v>
      </c>
      <c r="C26" s="550">
        <v>19146954.809999991</v>
      </c>
      <c r="D26" s="550">
        <v>21396776.169999998</v>
      </c>
      <c r="E26" s="565">
        <f t="shared" si="1"/>
        <v>40543730.979999989</v>
      </c>
      <c r="F26" s="550">
        <v>49494915.399999969</v>
      </c>
      <c r="G26" s="550">
        <v>72035061.700000003</v>
      </c>
      <c r="H26" s="551">
        <f t="shared" si="0"/>
        <v>121529977.09999996</v>
      </c>
      <c r="I26" s="141"/>
      <c r="J26" s="141"/>
    </row>
    <row r="27" spans="1:10" s="21" customFormat="1" x14ac:dyDescent="0.25">
      <c r="A27" s="139" t="s">
        <v>195</v>
      </c>
      <c r="B27" s="143" t="s">
        <v>196</v>
      </c>
      <c r="C27" s="550">
        <v>73678101.389999971</v>
      </c>
      <c r="D27" s="550">
        <v>86758736.939999998</v>
      </c>
      <c r="E27" s="565">
        <f t="shared" si="1"/>
        <v>160436838.32999998</v>
      </c>
      <c r="F27" s="550">
        <v>27060790.370000016</v>
      </c>
      <c r="G27" s="550">
        <v>101891379.54000004</v>
      </c>
      <c r="H27" s="551">
        <f t="shared" si="0"/>
        <v>128952169.91000006</v>
      </c>
      <c r="I27" s="141"/>
      <c r="J27" s="141"/>
    </row>
    <row r="28" spans="1:10" s="21" customFormat="1" x14ac:dyDescent="0.25">
      <c r="A28" s="139">
        <v>5.4</v>
      </c>
      <c r="B28" s="142" t="s">
        <v>197</v>
      </c>
      <c r="C28" s="550">
        <v>19646505.859999999</v>
      </c>
      <c r="D28" s="550">
        <v>118973323.99999999</v>
      </c>
      <c r="E28" s="565">
        <f t="shared" si="1"/>
        <v>138619829.85999998</v>
      </c>
      <c r="F28" s="550">
        <v>13614099.699999994</v>
      </c>
      <c r="G28" s="550">
        <v>14681845.710000014</v>
      </c>
      <c r="H28" s="551">
        <f t="shared" si="0"/>
        <v>28295945.410000008</v>
      </c>
      <c r="I28" s="141"/>
      <c r="J28" s="141"/>
    </row>
    <row r="29" spans="1:10" s="21" customFormat="1" x14ac:dyDescent="0.25">
      <c r="A29" s="139">
        <v>5.5</v>
      </c>
      <c r="B29" s="142" t="s">
        <v>198</v>
      </c>
      <c r="C29" s="550">
        <v>18215392.460000001</v>
      </c>
      <c r="D29" s="550">
        <v>10847138.650000002</v>
      </c>
      <c r="E29" s="565">
        <f t="shared" si="1"/>
        <v>29062531.110000003</v>
      </c>
      <c r="F29" s="550">
        <v>0</v>
      </c>
      <c r="G29" s="550">
        <v>0</v>
      </c>
      <c r="H29" s="551">
        <f t="shared" si="0"/>
        <v>0</v>
      </c>
      <c r="I29" s="141"/>
      <c r="J29" s="141"/>
    </row>
    <row r="30" spans="1:10" s="21" customFormat="1" x14ac:dyDescent="0.25">
      <c r="A30" s="139">
        <v>5.6</v>
      </c>
      <c r="B30" s="142" t="s">
        <v>199</v>
      </c>
      <c r="C30" s="550">
        <v>0</v>
      </c>
      <c r="D30" s="550">
        <v>0</v>
      </c>
      <c r="E30" s="565">
        <f t="shared" si="1"/>
        <v>0</v>
      </c>
      <c r="F30" s="550">
        <v>0</v>
      </c>
      <c r="G30" s="550">
        <v>0</v>
      </c>
      <c r="H30" s="551">
        <f t="shared" si="0"/>
        <v>0</v>
      </c>
      <c r="I30" s="141"/>
      <c r="J30" s="141"/>
    </row>
    <row r="31" spans="1:10" s="21" customFormat="1" x14ac:dyDescent="0.25">
      <c r="A31" s="139">
        <v>5.7</v>
      </c>
      <c r="B31" s="142" t="s">
        <v>200</v>
      </c>
      <c r="C31" s="550">
        <v>0</v>
      </c>
      <c r="D31" s="550">
        <v>0</v>
      </c>
      <c r="E31" s="565">
        <f t="shared" si="1"/>
        <v>0</v>
      </c>
      <c r="F31" s="550">
        <v>28401757.770000003</v>
      </c>
      <c r="G31" s="550">
        <v>13748247.880000003</v>
      </c>
      <c r="H31" s="551">
        <f t="shared" si="0"/>
        <v>42150005.650000006</v>
      </c>
      <c r="I31" s="141"/>
      <c r="J31" s="141"/>
    </row>
    <row r="32" spans="1:10" s="21" customFormat="1" x14ac:dyDescent="0.25">
      <c r="A32" s="139">
        <v>6</v>
      </c>
      <c r="B32" s="140" t="s">
        <v>201</v>
      </c>
      <c r="C32" s="550">
        <v>0</v>
      </c>
      <c r="D32" s="550">
        <v>0</v>
      </c>
      <c r="E32" s="565">
        <f t="shared" si="1"/>
        <v>0</v>
      </c>
      <c r="F32" s="550">
        <v>10722741.949999999</v>
      </c>
      <c r="G32" s="550">
        <v>83795245.979999989</v>
      </c>
      <c r="H32" s="551">
        <f t="shared" si="0"/>
        <v>94517987.929999992</v>
      </c>
      <c r="I32" s="141"/>
      <c r="J32" s="141"/>
    </row>
    <row r="33" spans="1:12" s="21" customFormat="1" ht="25.5" x14ac:dyDescent="0.25">
      <c r="A33" s="139">
        <v>6.1</v>
      </c>
      <c r="B33" s="142" t="s">
        <v>202</v>
      </c>
      <c r="C33" s="550">
        <v>0</v>
      </c>
      <c r="D33" s="550">
        <v>0</v>
      </c>
      <c r="E33" s="565">
        <f t="shared" si="1"/>
        <v>0</v>
      </c>
      <c r="F33" s="550">
        <v>10722741.949999999</v>
      </c>
      <c r="G33" s="550">
        <v>36692756.329999998</v>
      </c>
      <c r="H33" s="551">
        <f t="shared" si="0"/>
        <v>47415498.280000001</v>
      </c>
      <c r="I33" s="141"/>
      <c r="J33" s="141"/>
    </row>
    <row r="34" spans="1:12" s="21" customFormat="1" ht="25.5" x14ac:dyDescent="0.25">
      <c r="A34" s="139">
        <v>6.2</v>
      </c>
      <c r="B34" s="142" t="s">
        <v>203</v>
      </c>
      <c r="C34" s="550">
        <v>0</v>
      </c>
      <c r="D34" s="550">
        <v>0</v>
      </c>
      <c r="E34" s="565">
        <f t="shared" si="1"/>
        <v>0</v>
      </c>
      <c r="F34" s="550">
        <v>0</v>
      </c>
      <c r="G34" s="550">
        <v>47102489.649999999</v>
      </c>
      <c r="H34" s="551">
        <f t="shared" si="0"/>
        <v>47102489.649999999</v>
      </c>
      <c r="I34" s="141"/>
      <c r="J34" s="141"/>
    </row>
    <row r="35" spans="1:12" s="21" customFormat="1" ht="25.5" x14ac:dyDescent="0.25">
      <c r="A35" s="139">
        <v>6.3</v>
      </c>
      <c r="B35" s="142" t="s">
        <v>204</v>
      </c>
      <c r="C35" s="550">
        <v>0</v>
      </c>
      <c r="D35" s="550">
        <v>0</v>
      </c>
      <c r="E35" s="565">
        <f t="shared" si="1"/>
        <v>0</v>
      </c>
      <c r="F35" s="550">
        <v>0</v>
      </c>
      <c r="G35" s="550">
        <v>0</v>
      </c>
      <c r="H35" s="551">
        <f t="shared" si="0"/>
        <v>0</v>
      </c>
      <c r="I35" s="145"/>
      <c r="J35" s="141"/>
    </row>
    <row r="36" spans="1:12" s="21" customFormat="1" x14ac:dyDescent="0.25">
      <c r="A36" s="139">
        <v>6.4</v>
      </c>
      <c r="B36" s="142" t="s">
        <v>205</v>
      </c>
      <c r="C36" s="550">
        <v>0</v>
      </c>
      <c r="D36" s="550">
        <v>0</v>
      </c>
      <c r="E36" s="565">
        <f t="shared" si="1"/>
        <v>0</v>
      </c>
      <c r="F36" s="550">
        <v>0</v>
      </c>
      <c r="G36" s="550">
        <v>0</v>
      </c>
      <c r="H36" s="551">
        <f t="shared" si="0"/>
        <v>0</v>
      </c>
      <c r="I36" s="141"/>
      <c r="J36" s="141"/>
    </row>
    <row r="37" spans="1:12" s="21" customFormat="1" x14ac:dyDescent="0.25">
      <c r="A37" s="139">
        <v>6.5</v>
      </c>
      <c r="B37" s="142" t="s">
        <v>206</v>
      </c>
      <c r="C37" s="550">
        <v>0</v>
      </c>
      <c r="D37" s="550">
        <v>0</v>
      </c>
      <c r="E37" s="565">
        <f t="shared" si="1"/>
        <v>0</v>
      </c>
      <c r="F37" s="550">
        <v>0</v>
      </c>
      <c r="G37" s="550">
        <v>0</v>
      </c>
      <c r="H37" s="551">
        <f t="shared" si="0"/>
        <v>0</v>
      </c>
      <c r="I37" s="141"/>
      <c r="J37" s="141"/>
    </row>
    <row r="38" spans="1:12" s="21" customFormat="1" ht="25.5" x14ac:dyDescent="0.25">
      <c r="A38" s="139">
        <v>6.6</v>
      </c>
      <c r="B38" s="142" t="s">
        <v>207</v>
      </c>
      <c r="C38" s="550">
        <v>0</v>
      </c>
      <c r="D38" s="550">
        <v>0</v>
      </c>
      <c r="E38" s="565">
        <f t="shared" si="1"/>
        <v>0</v>
      </c>
      <c r="F38" s="550">
        <v>0</v>
      </c>
      <c r="G38" s="550">
        <v>0</v>
      </c>
      <c r="H38" s="551">
        <f t="shared" si="0"/>
        <v>0</v>
      </c>
      <c r="I38" s="141"/>
      <c r="J38" s="145"/>
      <c r="K38" s="146"/>
      <c r="L38" s="146"/>
    </row>
    <row r="39" spans="1:12" s="21" customFormat="1" ht="25.5" x14ac:dyDescent="0.25">
      <c r="A39" s="139">
        <v>6.7</v>
      </c>
      <c r="B39" s="142" t="s">
        <v>208</v>
      </c>
      <c r="C39" s="550">
        <v>0</v>
      </c>
      <c r="D39" s="550">
        <v>0</v>
      </c>
      <c r="E39" s="565">
        <f t="shared" si="1"/>
        <v>0</v>
      </c>
      <c r="F39" s="550">
        <v>0</v>
      </c>
      <c r="G39" s="550">
        <v>0</v>
      </c>
      <c r="H39" s="551">
        <f t="shared" si="0"/>
        <v>0</v>
      </c>
      <c r="I39" s="141"/>
      <c r="J39" s="141"/>
    </row>
    <row r="40" spans="1:12" s="21" customFormat="1" x14ac:dyDescent="0.25">
      <c r="A40" s="139">
        <v>7</v>
      </c>
      <c r="B40" s="140" t="s">
        <v>209</v>
      </c>
      <c r="C40" s="550">
        <v>0</v>
      </c>
      <c r="D40" s="550">
        <v>0</v>
      </c>
      <c r="E40" s="565">
        <f t="shared" si="1"/>
        <v>0</v>
      </c>
      <c r="F40" s="550">
        <v>0</v>
      </c>
      <c r="G40" s="550">
        <v>0</v>
      </c>
      <c r="H40" s="551">
        <f t="shared" si="0"/>
        <v>0</v>
      </c>
      <c r="I40" s="141"/>
      <c r="J40" s="141"/>
    </row>
    <row r="41" spans="1:12" s="21" customFormat="1" ht="25.5" x14ac:dyDescent="0.25">
      <c r="A41" s="139">
        <v>7.1</v>
      </c>
      <c r="B41" s="142" t="s">
        <v>210</v>
      </c>
      <c r="C41" s="550">
        <v>584666.38</v>
      </c>
      <c r="D41" s="550">
        <v>4181873.6082999995</v>
      </c>
      <c r="E41" s="565">
        <f t="shared" si="1"/>
        <v>4766539.9882999994</v>
      </c>
      <c r="F41" s="550">
        <v>1252867.6500000006</v>
      </c>
      <c r="G41" s="550">
        <v>14122.345300000001</v>
      </c>
      <c r="H41" s="551">
        <f t="shared" si="0"/>
        <v>1266989.9953000005</v>
      </c>
      <c r="I41" s="141"/>
      <c r="J41" s="141"/>
    </row>
    <row r="42" spans="1:12" s="21" customFormat="1" ht="25.5" x14ac:dyDescent="0.25">
      <c r="A42" s="139">
        <v>7.2</v>
      </c>
      <c r="B42" s="142" t="s">
        <v>211</v>
      </c>
      <c r="C42" s="550">
        <v>991859.59999999963</v>
      </c>
      <c r="D42" s="550">
        <v>1216306.4971000003</v>
      </c>
      <c r="E42" s="565">
        <f t="shared" si="1"/>
        <v>2208166.0970999999</v>
      </c>
      <c r="F42" s="550">
        <v>999296.26000000071</v>
      </c>
      <c r="G42" s="550">
        <v>1132247.8729000003</v>
      </c>
      <c r="H42" s="551">
        <f t="shared" si="0"/>
        <v>2131544.132900001</v>
      </c>
      <c r="I42" s="147"/>
      <c r="J42" s="141"/>
    </row>
    <row r="43" spans="1:12" s="21" customFormat="1" ht="25.5" x14ac:dyDescent="0.25">
      <c r="A43" s="139">
        <v>7.3</v>
      </c>
      <c r="B43" s="142" t="s">
        <v>212</v>
      </c>
      <c r="C43" s="550">
        <v>5911100.3100000164</v>
      </c>
      <c r="D43" s="550">
        <v>18315209.558499999</v>
      </c>
      <c r="E43" s="565">
        <f t="shared" si="1"/>
        <v>24226309.868500017</v>
      </c>
      <c r="F43" s="550">
        <v>6199777.3766000057</v>
      </c>
      <c r="G43" s="550">
        <v>15283751.5798</v>
      </c>
      <c r="H43" s="551">
        <f t="shared" si="0"/>
        <v>21483528.956400007</v>
      </c>
      <c r="I43" s="141"/>
      <c r="J43" s="141"/>
      <c r="K43" s="141"/>
      <c r="L43" s="141"/>
    </row>
    <row r="44" spans="1:12" s="21" customFormat="1" ht="25.5" x14ac:dyDescent="0.25">
      <c r="A44" s="139">
        <v>7.4</v>
      </c>
      <c r="B44" s="142" t="s">
        <v>213</v>
      </c>
      <c r="C44" s="550">
        <v>10689366.39000001</v>
      </c>
      <c r="D44" s="550">
        <v>56179152.343199998</v>
      </c>
      <c r="E44" s="565">
        <f t="shared" si="1"/>
        <v>66868518.733200006</v>
      </c>
      <c r="F44" s="550">
        <v>42691613.589999951</v>
      </c>
      <c r="G44" s="550">
        <v>75943013.245099992</v>
      </c>
      <c r="H44" s="551">
        <f t="shared" si="0"/>
        <v>118634626.83509994</v>
      </c>
      <c r="I44" s="147"/>
      <c r="J44" s="141"/>
    </row>
    <row r="45" spans="1:12" s="21" customFormat="1" x14ac:dyDescent="0.25">
      <c r="A45" s="139">
        <v>8</v>
      </c>
      <c r="B45" s="140" t="s">
        <v>214</v>
      </c>
      <c r="C45" s="550">
        <v>0</v>
      </c>
      <c r="D45" s="550">
        <v>0</v>
      </c>
      <c r="E45" s="565">
        <f t="shared" si="1"/>
        <v>0</v>
      </c>
      <c r="F45" s="550">
        <v>0</v>
      </c>
      <c r="G45" s="550">
        <v>0</v>
      </c>
      <c r="H45" s="551">
        <f t="shared" si="0"/>
        <v>0</v>
      </c>
      <c r="I45" s="141"/>
      <c r="J45" s="141"/>
    </row>
    <row r="46" spans="1:12" s="21" customFormat="1" x14ac:dyDescent="0.25">
      <c r="A46" s="139">
        <v>8.1</v>
      </c>
      <c r="B46" s="142" t="s">
        <v>215</v>
      </c>
      <c r="C46" s="550">
        <v>0</v>
      </c>
      <c r="D46" s="550">
        <v>0</v>
      </c>
      <c r="E46" s="565">
        <f t="shared" si="1"/>
        <v>0</v>
      </c>
      <c r="F46" s="550">
        <v>0</v>
      </c>
      <c r="G46" s="550">
        <v>0</v>
      </c>
      <c r="H46" s="551">
        <f t="shared" si="0"/>
        <v>0</v>
      </c>
      <c r="I46" s="141"/>
      <c r="J46" s="141"/>
    </row>
    <row r="47" spans="1:12" s="21" customFormat="1" x14ac:dyDescent="0.25">
      <c r="A47" s="139">
        <v>8.1999999999999993</v>
      </c>
      <c r="B47" s="142" t="s">
        <v>216</v>
      </c>
      <c r="C47" s="550">
        <v>0</v>
      </c>
      <c r="D47" s="550">
        <v>0</v>
      </c>
      <c r="E47" s="565">
        <f t="shared" si="1"/>
        <v>0</v>
      </c>
      <c r="F47" s="550">
        <v>0</v>
      </c>
      <c r="G47" s="550">
        <v>0</v>
      </c>
      <c r="H47" s="551">
        <f t="shared" si="0"/>
        <v>0</v>
      </c>
      <c r="I47" s="141"/>
      <c r="J47" s="141"/>
    </row>
    <row r="48" spans="1:12" s="21" customFormat="1" x14ac:dyDescent="0.25">
      <c r="A48" s="139">
        <v>8.3000000000000007</v>
      </c>
      <c r="B48" s="142" t="s">
        <v>217</v>
      </c>
      <c r="C48" s="550">
        <v>0</v>
      </c>
      <c r="D48" s="550">
        <v>0</v>
      </c>
      <c r="E48" s="565">
        <f t="shared" si="1"/>
        <v>0</v>
      </c>
      <c r="F48" s="550">
        <v>0</v>
      </c>
      <c r="G48" s="550">
        <v>0</v>
      </c>
      <c r="H48" s="551">
        <f t="shared" si="0"/>
        <v>0</v>
      </c>
      <c r="I48" s="141"/>
      <c r="J48" s="141"/>
    </row>
    <row r="49" spans="1:10" s="21" customFormat="1" x14ac:dyDescent="0.25">
      <c r="A49" s="139">
        <v>8.4</v>
      </c>
      <c r="B49" s="142" t="s">
        <v>218</v>
      </c>
      <c r="C49" s="550">
        <v>0</v>
      </c>
      <c r="D49" s="550">
        <v>0</v>
      </c>
      <c r="E49" s="565">
        <f t="shared" si="1"/>
        <v>0</v>
      </c>
      <c r="F49" s="550">
        <v>0</v>
      </c>
      <c r="G49" s="550">
        <v>0</v>
      </c>
      <c r="H49" s="551">
        <f t="shared" si="0"/>
        <v>0</v>
      </c>
      <c r="I49" s="141"/>
      <c r="J49" s="141"/>
    </row>
    <row r="50" spans="1:10" s="21" customFormat="1" x14ac:dyDescent="0.25">
      <c r="A50" s="139">
        <v>8.5</v>
      </c>
      <c r="B50" s="142" t="s">
        <v>219</v>
      </c>
      <c r="C50" s="550">
        <v>0</v>
      </c>
      <c r="D50" s="550">
        <v>0</v>
      </c>
      <c r="E50" s="565">
        <f t="shared" si="1"/>
        <v>0</v>
      </c>
      <c r="F50" s="550">
        <v>0</v>
      </c>
      <c r="G50" s="550">
        <v>0</v>
      </c>
      <c r="H50" s="551">
        <f t="shared" si="0"/>
        <v>0</v>
      </c>
      <c r="I50" s="141"/>
      <c r="J50" s="141"/>
    </row>
    <row r="51" spans="1:10" s="21" customFormat="1" x14ac:dyDescent="0.25">
      <c r="A51" s="139">
        <v>8.6</v>
      </c>
      <c r="B51" s="142" t="s">
        <v>220</v>
      </c>
      <c r="C51" s="550">
        <v>0</v>
      </c>
      <c r="D51" s="550">
        <v>0</v>
      </c>
      <c r="E51" s="565">
        <f t="shared" si="1"/>
        <v>0</v>
      </c>
      <c r="F51" s="550">
        <v>0</v>
      </c>
      <c r="G51" s="550">
        <v>0</v>
      </c>
      <c r="H51" s="551">
        <f t="shared" si="0"/>
        <v>0</v>
      </c>
      <c r="I51" s="141"/>
      <c r="J51" s="141"/>
    </row>
    <row r="52" spans="1:10" s="21" customFormat="1" x14ac:dyDescent="0.25">
      <c r="A52" s="139">
        <v>8.6999999999999993</v>
      </c>
      <c r="B52" s="142" t="s">
        <v>221</v>
      </c>
      <c r="C52" s="550">
        <v>0</v>
      </c>
      <c r="D52" s="550">
        <v>0</v>
      </c>
      <c r="E52" s="565">
        <f t="shared" si="1"/>
        <v>0</v>
      </c>
      <c r="F52" s="550">
        <v>0</v>
      </c>
      <c r="G52" s="550">
        <v>0</v>
      </c>
      <c r="H52" s="551">
        <f t="shared" si="0"/>
        <v>0</v>
      </c>
      <c r="I52" s="141"/>
      <c r="J52" s="141"/>
    </row>
    <row r="53" spans="1:10" s="21" customFormat="1" ht="26.25" thickBot="1" x14ac:dyDescent="0.3">
      <c r="A53" s="148">
        <v>9</v>
      </c>
      <c r="B53" s="149" t="s">
        <v>222</v>
      </c>
      <c r="C53" s="566">
        <v>0</v>
      </c>
      <c r="D53" s="566">
        <v>0</v>
      </c>
      <c r="E53" s="567">
        <f t="shared" si="1"/>
        <v>0</v>
      </c>
      <c r="F53" s="566">
        <v>0</v>
      </c>
      <c r="G53" s="566">
        <v>0</v>
      </c>
      <c r="H53" s="557">
        <f t="shared" si="0"/>
        <v>0</v>
      </c>
      <c r="I53" s="141"/>
      <c r="J53" s="141"/>
    </row>
    <row r="54" spans="1:10" x14ac:dyDescent="0.25">
      <c r="B54" s="150"/>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pageSetUpPr fitToPage="1"/>
  </sheetPr>
  <dimension ref="A1:H20"/>
  <sheetViews>
    <sheetView zoomScaleNormal="100" workbookViewId="0">
      <pane xSplit="1" ySplit="4" topLeftCell="B8"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ColWidth="9.140625" defaultRowHeight="12.75" x14ac:dyDescent="0.2"/>
  <cols>
    <col min="1" max="1" width="9.5703125" style="22" bestFit="1" customWidth="1"/>
    <col min="2" max="2" width="93.5703125" style="22" customWidth="1"/>
    <col min="3" max="4" width="12.7109375" style="22" customWidth="1"/>
    <col min="5" max="6" width="12.28515625" style="123" bestFit="1" customWidth="1"/>
    <col min="7" max="7" width="10.85546875" style="123" bestFit="1" customWidth="1"/>
    <col min="8" max="11" width="9.7109375" style="123" customWidth="1"/>
    <col min="12" max="16384" width="9.140625" style="123"/>
  </cols>
  <sheetData>
    <row r="1" spans="1:8" ht="15" x14ac:dyDescent="0.3">
      <c r="A1" s="23" t="s">
        <v>29</v>
      </c>
      <c r="B1" s="22" t="str">
        <f>'1. key ratios'!B1</f>
        <v>სს ტერაბანკი</v>
      </c>
      <c r="C1" s="24"/>
    </row>
    <row r="2" spans="1:8" ht="15" x14ac:dyDescent="0.3">
      <c r="A2" s="23" t="s">
        <v>31</v>
      </c>
      <c r="B2" s="82">
        <v>44196</v>
      </c>
      <c r="C2" s="26"/>
      <c r="D2" s="27"/>
      <c r="E2" s="151"/>
      <c r="F2" s="151"/>
      <c r="G2" s="151"/>
      <c r="H2" s="151"/>
    </row>
    <row r="3" spans="1:8" ht="15" x14ac:dyDescent="0.3">
      <c r="A3" s="23"/>
      <c r="B3" s="24"/>
      <c r="C3" s="26"/>
      <c r="D3" s="27"/>
      <c r="E3" s="151"/>
      <c r="F3" s="151"/>
      <c r="G3" s="151"/>
      <c r="H3" s="151"/>
    </row>
    <row r="4" spans="1:8" ht="15" customHeight="1" thickBot="1" x14ac:dyDescent="0.35">
      <c r="A4" s="152" t="s">
        <v>223</v>
      </c>
      <c r="B4" s="153" t="s">
        <v>16</v>
      </c>
      <c r="C4" s="152"/>
      <c r="D4" s="154" t="s">
        <v>67</v>
      </c>
    </row>
    <row r="5" spans="1:8" ht="15" customHeight="1" x14ac:dyDescent="0.2">
      <c r="A5" s="155" t="s">
        <v>33</v>
      </c>
      <c r="B5" s="156"/>
      <c r="C5" s="157" t="s">
        <v>503</v>
      </c>
      <c r="D5" s="157" t="s">
        <v>504</v>
      </c>
      <c r="E5" s="157" t="s">
        <v>505</v>
      </c>
      <c r="F5" s="157" t="s">
        <v>506</v>
      </c>
      <c r="G5" s="157" t="s">
        <v>507</v>
      </c>
    </row>
    <row r="6" spans="1:8" ht="15" customHeight="1" x14ac:dyDescent="0.2">
      <c r="A6" s="158">
        <v>1</v>
      </c>
      <c r="B6" s="159" t="s">
        <v>224</v>
      </c>
      <c r="C6" s="160">
        <f>C7+C9+C10</f>
        <v>936027383.49900103</v>
      </c>
      <c r="D6" s="161">
        <f>D7+D9+D10</f>
        <v>935764698.66924989</v>
      </c>
      <c r="E6" s="162">
        <f>E7+E9+E10</f>
        <v>827944616.15124869</v>
      </c>
      <c r="F6" s="161">
        <f>F7+F9+F10</f>
        <v>846068887.66124678</v>
      </c>
      <c r="G6" s="163">
        <f>G7+G9+G10</f>
        <v>797634690.69449782</v>
      </c>
    </row>
    <row r="7" spans="1:8" ht="15" customHeight="1" x14ac:dyDescent="0.2">
      <c r="A7" s="158">
        <v>1.1000000000000001</v>
      </c>
      <c r="B7" s="164" t="s">
        <v>225</v>
      </c>
      <c r="C7" s="165">
        <v>911613986.37750101</v>
      </c>
      <c r="D7" s="166">
        <v>913548060.09149981</v>
      </c>
      <c r="E7" s="165">
        <v>807035272.63699865</v>
      </c>
      <c r="F7" s="166">
        <v>823574155.41899681</v>
      </c>
      <c r="G7" s="167">
        <v>776466636.99699783</v>
      </c>
    </row>
    <row r="8" spans="1:8" ht="25.5" x14ac:dyDescent="0.2">
      <c r="A8" s="158" t="s">
        <v>226</v>
      </c>
      <c r="B8" s="168" t="s">
        <v>227</v>
      </c>
      <c r="C8" s="165">
        <v>0</v>
      </c>
      <c r="D8" s="166">
        <v>0</v>
      </c>
      <c r="E8" s="165">
        <v>0</v>
      </c>
      <c r="F8" s="166">
        <v>0</v>
      </c>
      <c r="G8" s="167">
        <v>0</v>
      </c>
    </row>
    <row r="9" spans="1:8" ht="15" customHeight="1" x14ac:dyDescent="0.2">
      <c r="A9" s="158">
        <v>1.2</v>
      </c>
      <c r="B9" s="164" t="s">
        <v>228</v>
      </c>
      <c r="C9" s="165">
        <v>22852479.733499989</v>
      </c>
      <c r="D9" s="166">
        <v>20669861.617749996</v>
      </c>
      <c r="E9" s="165">
        <v>19912269.87425001</v>
      </c>
      <c r="F9" s="166">
        <v>21240642.607250009</v>
      </c>
      <c r="G9" s="167">
        <v>20226003.904500008</v>
      </c>
    </row>
    <row r="10" spans="1:8" ht="15" customHeight="1" x14ac:dyDescent="0.2">
      <c r="A10" s="158">
        <v>1.3</v>
      </c>
      <c r="B10" s="169" t="s">
        <v>27</v>
      </c>
      <c r="C10" s="170">
        <v>1560917.388</v>
      </c>
      <c r="D10" s="166">
        <v>1546776.96</v>
      </c>
      <c r="E10" s="170">
        <v>997073.64</v>
      </c>
      <c r="F10" s="166">
        <v>1254089.635</v>
      </c>
      <c r="G10" s="171">
        <v>942049.79299999995</v>
      </c>
    </row>
    <row r="11" spans="1:8" ht="15" customHeight="1" x14ac:dyDescent="0.2">
      <c r="A11" s="158">
        <v>2</v>
      </c>
      <c r="B11" s="159" t="s">
        <v>229</v>
      </c>
      <c r="C11" s="165">
        <v>24635876.009999685</v>
      </c>
      <c r="D11" s="166">
        <v>24977298.170000218</v>
      </c>
      <c r="E11" s="165">
        <v>23259196.719999805</v>
      </c>
      <c r="F11" s="166">
        <v>22417519.999999769</v>
      </c>
      <c r="G11" s="167">
        <v>7225299.2899999106</v>
      </c>
    </row>
    <row r="12" spans="1:8" ht="15" customHeight="1" x14ac:dyDescent="0.2">
      <c r="A12" s="158">
        <v>3</v>
      </c>
      <c r="B12" s="172" t="s">
        <v>230</v>
      </c>
      <c r="C12" s="170">
        <v>99313156.550000012</v>
      </c>
      <c r="D12" s="166">
        <v>93832535.96875</v>
      </c>
      <c r="E12" s="170">
        <v>93832535.96875</v>
      </c>
      <c r="F12" s="166">
        <v>93832535.96875</v>
      </c>
      <c r="G12" s="171">
        <v>93832535.96875</v>
      </c>
    </row>
    <row r="13" spans="1:8" ht="15" customHeight="1" thickBot="1" x14ac:dyDescent="0.25">
      <c r="A13" s="173">
        <v>4</v>
      </c>
      <c r="B13" s="174" t="s">
        <v>231</v>
      </c>
      <c r="C13" s="175">
        <f>C6+C11+C12</f>
        <v>1059976416.0590007</v>
      </c>
      <c r="D13" s="176">
        <f>D6+D11+D12</f>
        <v>1054574532.8080001</v>
      </c>
      <c r="E13" s="177">
        <f>E6+E11+E12</f>
        <v>945036348.83999848</v>
      </c>
      <c r="F13" s="176">
        <f>F6+F11+F12</f>
        <v>962318943.62999654</v>
      </c>
      <c r="G13" s="178">
        <f>G6+G11+G12</f>
        <v>898692525.95324779</v>
      </c>
    </row>
    <row r="14" spans="1:8" ht="15" customHeight="1" x14ac:dyDescent="0.2">
      <c r="A14" s="179"/>
      <c r="B14" s="180"/>
      <c r="C14" s="181"/>
      <c r="D14" s="181"/>
    </row>
    <row r="15" spans="1:8" ht="25.5" x14ac:dyDescent="0.2">
      <c r="B15" s="182" t="s">
        <v>232</v>
      </c>
      <c r="C15" s="183"/>
    </row>
    <row r="16" spans="1:8" x14ac:dyDescent="0.2">
      <c r="B16" s="182"/>
      <c r="C16" s="183"/>
    </row>
    <row r="17" spans="2:3" x14ac:dyDescent="0.2">
      <c r="B17" s="182"/>
      <c r="C17" s="183"/>
    </row>
    <row r="18" spans="2:3" x14ac:dyDescent="0.2">
      <c r="B18" s="182"/>
      <c r="C18" s="183"/>
    </row>
    <row r="19" spans="2:3" x14ac:dyDescent="0.2">
      <c r="B19" s="182"/>
    </row>
    <row r="20" spans="2:3" x14ac:dyDescent="0.2">
      <c r="B20" s="182"/>
    </row>
  </sheetData>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sheetPr>
  <dimension ref="A1:D33"/>
  <sheetViews>
    <sheetView zoomScaleNormal="100" workbookViewId="0">
      <pane xSplit="1" ySplit="4" topLeftCell="B5"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RowHeight="15.75" x14ac:dyDescent="0.3"/>
  <cols>
    <col min="1" max="1" width="9.5703125" style="22" bestFit="1" customWidth="1"/>
    <col min="2" max="2" width="65.42578125" style="184" customWidth="1"/>
    <col min="3" max="3" width="21.5703125" style="184" customWidth="1"/>
    <col min="4" max="4" width="8.85546875" style="184"/>
  </cols>
  <sheetData>
    <row r="1" spans="1:4" x14ac:dyDescent="0.3">
      <c r="A1" s="22" t="s">
        <v>29</v>
      </c>
      <c r="B1" s="184" t="str">
        <f>'1. key ratios'!B1</f>
        <v>სს ტერაბანკი</v>
      </c>
    </row>
    <row r="2" spans="1:4" x14ac:dyDescent="0.3">
      <c r="A2" s="22" t="s">
        <v>31</v>
      </c>
      <c r="B2" s="185">
        <v>44196</v>
      </c>
    </row>
    <row r="4" spans="1:4" ht="16.5" customHeight="1" thickBot="1" x14ac:dyDescent="0.35">
      <c r="A4" s="186" t="s">
        <v>233</v>
      </c>
      <c r="B4" s="574" t="s">
        <v>17</v>
      </c>
      <c r="C4" s="187"/>
      <c r="D4" s="187"/>
    </row>
    <row r="5" spans="1:4" x14ac:dyDescent="0.3">
      <c r="A5" s="188"/>
      <c r="B5" s="189" t="s">
        <v>234</v>
      </c>
      <c r="C5" s="190"/>
      <c r="D5" s="191"/>
    </row>
    <row r="6" spans="1:4" x14ac:dyDescent="0.3">
      <c r="A6" s="192">
        <v>1</v>
      </c>
      <c r="B6" s="193" t="s">
        <v>235</v>
      </c>
      <c r="C6" s="195"/>
      <c r="D6"/>
    </row>
    <row r="7" spans="1:4" x14ac:dyDescent="0.3">
      <c r="A7" s="192">
        <v>2</v>
      </c>
      <c r="B7" s="193" t="s">
        <v>236</v>
      </c>
      <c r="C7" s="195"/>
      <c r="D7" s="194"/>
    </row>
    <row r="8" spans="1:4" x14ac:dyDescent="0.3">
      <c r="A8" s="192">
        <v>3</v>
      </c>
      <c r="B8" s="193" t="s">
        <v>237</v>
      </c>
      <c r="C8" s="195"/>
      <c r="D8" s="194"/>
    </row>
    <row r="9" spans="1:4" x14ac:dyDescent="0.3">
      <c r="A9" s="192">
        <v>4</v>
      </c>
      <c r="B9" s="193" t="s">
        <v>238</v>
      </c>
      <c r="C9" s="196"/>
      <c r="D9" s="197"/>
    </row>
    <row r="10" spans="1:4" x14ac:dyDescent="0.3">
      <c r="A10" s="192">
        <v>5</v>
      </c>
      <c r="B10" s="193" t="s">
        <v>239</v>
      </c>
      <c r="C10" s="196"/>
      <c r="D10" s="197"/>
    </row>
    <row r="11" spans="1:4" x14ac:dyDescent="0.3">
      <c r="A11" s="192">
        <v>6</v>
      </c>
      <c r="B11" s="193" t="s">
        <v>240</v>
      </c>
      <c r="C11" s="196"/>
      <c r="D11" s="197"/>
    </row>
    <row r="12" spans="1:4" x14ac:dyDescent="0.3">
      <c r="A12" s="192"/>
      <c r="B12" s="193"/>
      <c r="C12" s="195"/>
      <c r="D12" s="194"/>
    </row>
    <row r="13" spans="1:4" x14ac:dyDescent="0.3">
      <c r="A13" s="198"/>
      <c r="B13" s="199"/>
      <c r="C13" s="195"/>
      <c r="D13" s="194"/>
    </row>
    <row r="14" spans="1:4" x14ac:dyDescent="0.3">
      <c r="A14" s="198"/>
      <c r="B14" s="200" t="s">
        <v>241</v>
      </c>
      <c r="C14" s="201"/>
      <c r="D14" s="191"/>
    </row>
    <row r="15" spans="1:4" x14ac:dyDescent="0.3">
      <c r="A15" s="192">
        <v>1</v>
      </c>
      <c r="B15" s="193" t="s">
        <v>508</v>
      </c>
      <c r="C15" s="202"/>
      <c r="D15" s="203"/>
    </row>
    <row r="16" spans="1:4" x14ac:dyDescent="0.3">
      <c r="A16" s="192">
        <v>2</v>
      </c>
      <c r="B16" s="193" t="s">
        <v>509</v>
      </c>
      <c r="C16" s="202"/>
      <c r="D16" s="203"/>
    </row>
    <row r="17" spans="1:4" x14ac:dyDescent="0.3">
      <c r="A17" s="192">
        <v>3</v>
      </c>
      <c r="B17" s="193" t="s">
        <v>510</v>
      </c>
      <c r="C17" s="202"/>
      <c r="D17" s="203"/>
    </row>
    <row r="18" spans="1:4" x14ac:dyDescent="0.3">
      <c r="A18" s="192">
        <v>4</v>
      </c>
      <c r="B18" s="193" t="s">
        <v>511</v>
      </c>
      <c r="C18" s="202"/>
      <c r="D18" s="203"/>
    </row>
    <row r="19" spans="1:4" x14ac:dyDescent="0.3">
      <c r="A19" s="192">
        <v>5</v>
      </c>
      <c r="B19" s="193" t="s">
        <v>512</v>
      </c>
      <c r="C19" s="202"/>
      <c r="D19" s="203"/>
    </row>
    <row r="20" spans="1:4" ht="15.75" customHeight="1" x14ac:dyDescent="0.3">
      <c r="A20" s="198"/>
      <c r="B20" s="193"/>
      <c r="C20" s="196"/>
      <c r="D20" s="197"/>
    </row>
    <row r="21" spans="1:4" ht="30" customHeight="1" x14ac:dyDescent="0.25">
      <c r="A21" s="198"/>
      <c r="B21" s="587" t="s">
        <v>242</v>
      </c>
      <c r="C21" s="588"/>
      <c r="D21" s="204"/>
    </row>
    <row r="22" spans="1:4" x14ac:dyDescent="0.3">
      <c r="A22" s="192">
        <v>1</v>
      </c>
      <c r="B22" s="193" t="s">
        <v>4</v>
      </c>
      <c r="C22" s="205">
        <v>0.65</v>
      </c>
      <c r="D22" s="206"/>
    </row>
    <row r="23" spans="1:4" x14ac:dyDescent="0.3">
      <c r="A23" s="192">
        <v>2</v>
      </c>
      <c r="B23" s="193" t="s">
        <v>243</v>
      </c>
      <c r="C23" s="205">
        <v>0.15</v>
      </c>
      <c r="D23" s="206"/>
    </row>
    <row r="24" spans="1:4" x14ac:dyDescent="0.3">
      <c r="A24" s="192">
        <v>3</v>
      </c>
      <c r="B24" s="193" t="s">
        <v>244</v>
      </c>
      <c r="C24" s="205">
        <v>0.15</v>
      </c>
      <c r="D24" s="206"/>
    </row>
    <row r="25" spans="1:4" x14ac:dyDescent="0.3">
      <c r="A25" s="192">
        <v>4</v>
      </c>
      <c r="B25" s="193" t="s">
        <v>245</v>
      </c>
      <c r="C25" s="205">
        <v>0.05</v>
      </c>
      <c r="D25" s="206"/>
    </row>
    <row r="26" spans="1:4" x14ac:dyDescent="0.3">
      <c r="A26" s="192"/>
      <c r="B26" s="193"/>
      <c r="C26" s="205"/>
      <c r="D26" s="206"/>
    </row>
    <row r="27" spans="1:4" ht="15.75" customHeight="1" x14ac:dyDescent="0.3">
      <c r="A27" s="198"/>
      <c r="B27" s="193"/>
      <c r="C27" s="195"/>
      <c r="D27" s="194"/>
    </row>
    <row r="28" spans="1:4" ht="29.25" customHeight="1" x14ac:dyDescent="0.25">
      <c r="A28" s="198"/>
      <c r="B28" s="587" t="s">
        <v>246</v>
      </c>
      <c r="C28" s="588"/>
      <c r="D28" s="204"/>
    </row>
    <row r="29" spans="1:4" x14ac:dyDescent="0.3">
      <c r="A29" s="192">
        <v>1</v>
      </c>
      <c r="B29" s="193" t="s">
        <v>4</v>
      </c>
      <c r="C29" s="205">
        <v>0.65</v>
      </c>
      <c r="D29" s="206"/>
    </row>
    <row r="30" spans="1:4" x14ac:dyDescent="0.3">
      <c r="A30" s="192">
        <v>2</v>
      </c>
      <c r="B30" s="193" t="s">
        <v>243</v>
      </c>
      <c r="C30" s="207">
        <v>0.15</v>
      </c>
      <c r="D30" s="206"/>
    </row>
    <row r="31" spans="1:4" x14ac:dyDescent="0.3">
      <c r="A31" s="192">
        <v>3</v>
      </c>
      <c r="B31" s="193" t="s">
        <v>244</v>
      </c>
      <c r="C31" s="207">
        <v>0.15</v>
      </c>
      <c r="D31" s="206"/>
    </row>
    <row r="32" spans="1:4" x14ac:dyDescent="0.3">
      <c r="A32" s="192">
        <v>4</v>
      </c>
      <c r="B32" s="193" t="s">
        <v>245</v>
      </c>
      <c r="C32" s="207">
        <v>0.05</v>
      </c>
      <c r="D32" s="206"/>
    </row>
    <row r="33" spans="1:4" ht="16.5" thickBot="1" x14ac:dyDescent="0.35">
      <c r="A33" s="208"/>
      <c r="B33" s="209"/>
      <c r="C33" s="210"/>
      <c r="D33" s="206"/>
    </row>
  </sheetData>
  <mergeCells count="2">
    <mergeCell ref="B21:C21"/>
    <mergeCell ref="B28:C28"/>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249977111117893"/>
    <pageSetUpPr fitToPage="1"/>
  </sheetPr>
  <dimension ref="A1:K37"/>
  <sheetViews>
    <sheetView zoomScale="75" zoomScaleNormal="75" workbookViewId="0">
      <selection activeCell="XEJ1048571" sqref="XEJ1048571"/>
    </sheetView>
  </sheetViews>
  <sheetFormatPr defaultRowHeight="15" x14ac:dyDescent="0.25"/>
  <cols>
    <col min="1" max="1" width="9.5703125" style="22" bestFit="1" customWidth="1"/>
    <col min="2" max="2" width="47.5703125" style="22" customWidth="1"/>
    <col min="3" max="3" width="28" style="22" customWidth="1"/>
    <col min="4" max="4" width="22.42578125" style="22" customWidth="1"/>
    <col min="5" max="5" width="18.85546875" style="22" customWidth="1"/>
    <col min="6" max="6" width="11.140625" bestFit="1" customWidth="1"/>
    <col min="7" max="7" width="16" bestFit="1" customWidth="1"/>
    <col min="11" max="11" width="12" bestFit="1" customWidth="1"/>
  </cols>
  <sheetData>
    <row r="1" spans="1:10" ht="15.75" x14ac:dyDescent="0.3">
      <c r="A1" s="23" t="s">
        <v>29</v>
      </c>
      <c r="B1" s="22" t="str">
        <f>'1. key ratios'!B1</f>
        <v>სს ტერაბანკი</v>
      </c>
    </row>
    <row r="2" spans="1:10" s="211" customFormat="1" ht="15.75" customHeight="1" x14ac:dyDescent="0.3">
      <c r="A2" s="211" t="s">
        <v>31</v>
      </c>
      <c r="B2" s="82">
        <v>44196</v>
      </c>
    </row>
    <row r="3" spans="1:10" s="211" customFormat="1" ht="15.75" customHeight="1" x14ac:dyDescent="0.3"/>
    <row r="4" spans="1:10" s="211" customFormat="1" ht="15.75" customHeight="1" thickBot="1" x14ac:dyDescent="0.35">
      <c r="A4" s="212" t="s">
        <v>247</v>
      </c>
      <c r="B4" s="213" t="s">
        <v>18</v>
      </c>
      <c r="C4" s="214"/>
      <c r="D4" s="214"/>
      <c r="E4" s="214"/>
    </row>
    <row r="5" spans="1:10" s="219" customFormat="1" ht="17.45" customHeight="1" x14ac:dyDescent="0.25">
      <c r="A5" s="215"/>
      <c r="B5" s="216"/>
      <c r="C5" s="217" t="s">
        <v>248</v>
      </c>
      <c r="D5" s="217" t="s">
        <v>249</v>
      </c>
      <c r="E5" s="218" t="s">
        <v>250</v>
      </c>
    </row>
    <row r="6" spans="1:10" s="221" customFormat="1" ht="14.45" customHeight="1" x14ac:dyDescent="0.25">
      <c r="A6" s="220"/>
      <c r="B6" s="589" t="s">
        <v>251</v>
      </c>
      <c r="C6" s="589" t="s">
        <v>252</v>
      </c>
      <c r="D6" s="590" t="s">
        <v>253</v>
      </c>
      <c r="E6" s="591"/>
      <c r="G6"/>
    </row>
    <row r="7" spans="1:10" s="221" customFormat="1" ht="99.6" customHeight="1" x14ac:dyDescent="0.25">
      <c r="A7" s="220"/>
      <c r="B7" s="589"/>
      <c r="C7" s="589"/>
      <c r="D7" s="222" t="s">
        <v>254</v>
      </c>
      <c r="E7" s="223" t="s">
        <v>255</v>
      </c>
      <c r="G7"/>
    </row>
    <row r="8" spans="1:10" x14ac:dyDescent="0.25">
      <c r="A8" s="224">
        <v>1</v>
      </c>
      <c r="B8" s="225" t="s">
        <v>74</v>
      </c>
      <c r="C8" s="226">
        <f>'2. RC'!E7</f>
        <v>43772972.150000006</v>
      </c>
      <c r="D8" s="227"/>
      <c r="E8" s="228">
        <f>C8-D8</f>
        <v>43772972.150000006</v>
      </c>
      <c r="J8" s="229"/>
    </row>
    <row r="9" spans="1:10" x14ac:dyDescent="0.25">
      <c r="A9" s="224">
        <v>2</v>
      </c>
      <c r="B9" s="225" t="s">
        <v>75</v>
      </c>
      <c r="C9" s="226">
        <f>'2. RC'!E8</f>
        <v>167630282.37</v>
      </c>
      <c r="D9" s="227"/>
      <c r="E9" s="228">
        <f t="shared" ref="E9:E20" si="0">C9-D9</f>
        <v>167630282.37</v>
      </c>
      <c r="J9" s="229"/>
    </row>
    <row r="10" spans="1:10" x14ac:dyDescent="0.25">
      <c r="A10" s="224">
        <v>3</v>
      </c>
      <c r="B10" s="225" t="s">
        <v>256</v>
      </c>
      <c r="C10" s="226">
        <f>'2. RC'!E9</f>
        <v>25717316.330000002</v>
      </c>
      <c r="D10" s="227"/>
      <c r="E10" s="228">
        <f t="shared" si="0"/>
        <v>25717316.330000002</v>
      </c>
      <c r="J10" s="229"/>
    </row>
    <row r="11" spans="1:10" ht="25.5" x14ac:dyDescent="0.25">
      <c r="A11" s="224">
        <v>4</v>
      </c>
      <c r="B11" s="225" t="s">
        <v>77</v>
      </c>
      <c r="C11" s="226">
        <f>'2. RC'!E10</f>
        <v>0</v>
      </c>
      <c r="D11" s="227"/>
      <c r="E11" s="228">
        <f t="shared" si="0"/>
        <v>0</v>
      </c>
      <c r="J11" s="229"/>
    </row>
    <row r="12" spans="1:10" x14ac:dyDescent="0.25">
      <c r="A12" s="224">
        <v>5</v>
      </c>
      <c r="B12" s="225" t="s">
        <v>78</v>
      </c>
      <c r="C12" s="226">
        <f>'2. RC'!E11</f>
        <v>86034475.840000004</v>
      </c>
      <c r="D12" s="227"/>
      <c r="E12" s="228">
        <f t="shared" si="0"/>
        <v>86034475.840000004</v>
      </c>
      <c r="J12" s="229"/>
    </row>
    <row r="13" spans="1:10" x14ac:dyDescent="0.25">
      <c r="A13" s="224">
        <v>6.1</v>
      </c>
      <c r="B13" s="225" t="s">
        <v>79</v>
      </c>
      <c r="C13" s="226">
        <f>'2. RC'!E12</f>
        <v>927340972.31000209</v>
      </c>
      <c r="D13" s="227"/>
      <c r="E13" s="228">
        <f t="shared" si="0"/>
        <v>927340972.31000209</v>
      </c>
      <c r="F13" s="54"/>
      <c r="G13" s="48"/>
      <c r="J13" s="229"/>
    </row>
    <row r="14" spans="1:10" x14ac:dyDescent="0.25">
      <c r="A14" s="224">
        <v>6.2</v>
      </c>
      <c r="B14" s="230" t="s">
        <v>80</v>
      </c>
      <c r="C14" s="231">
        <f>'2. RC'!E13</f>
        <v>-54819486.380000547</v>
      </c>
      <c r="D14" s="227"/>
      <c r="E14" s="228">
        <f t="shared" si="0"/>
        <v>-54819486.380000547</v>
      </c>
      <c r="G14" s="48"/>
      <c r="J14" s="229"/>
    </row>
    <row r="15" spans="1:10" x14ac:dyDescent="0.25">
      <c r="A15" s="224">
        <v>6</v>
      </c>
      <c r="B15" s="225" t="s">
        <v>257</v>
      </c>
      <c r="C15" s="226">
        <f>'2. RC'!E14</f>
        <v>872521485.9300015</v>
      </c>
      <c r="D15" s="227"/>
      <c r="E15" s="228">
        <f t="shared" si="0"/>
        <v>872521485.9300015</v>
      </c>
      <c r="G15" s="48"/>
      <c r="J15" s="229"/>
    </row>
    <row r="16" spans="1:10" ht="25.5" x14ac:dyDescent="0.25">
      <c r="A16" s="224">
        <v>7</v>
      </c>
      <c r="B16" s="225" t="s">
        <v>82</v>
      </c>
      <c r="C16" s="226">
        <f>'2. RC'!E15</f>
        <v>11654488.269999994</v>
      </c>
      <c r="D16" s="227"/>
      <c r="E16" s="228">
        <f t="shared" si="0"/>
        <v>11654488.269999994</v>
      </c>
      <c r="G16" s="48"/>
      <c r="J16" s="229"/>
    </row>
    <row r="17" spans="1:11" x14ac:dyDescent="0.25">
      <c r="A17" s="224">
        <v>8</v>
      </c>
      <c r="B17" s="225" t="s">
        <v>83</v>
      </c>
      <c r="C17" s="226">
        <f>'2. RC'!E16</f>
        <v>2925491.7600000296</v>
      </c>
      <c r="D17" s="227"/>
      <c r="E17" s="228">
        <f t="shared" si="0"/>
        <v>2925491.7600000296</v>
      </c>
      <c r="F17" s="232"/>
      <c r="G17" s="48"/>
      <c r="J17" s="229"/>
      <c r="K17" s="233"/>
    </row>
    <row r="18" spans="1:11" x14ac:dyDescent="0.25">
      <c r="A18" s="224">
        <v>9</v>
      </c>
      <c r="B18" s="225" t="s">
        <v>84</v>
      </c>
      <c r="C18" s="226">
        <f>'2. RC'!E17</f>
        <v>0</v>
      </c>
      <c r="D18" s="227"/>
      <c r="E18" s="228">
        <f t="shared" si="0"/>
        <v>0</v>
      </c>
      <c r="G18" s="48"/>
      <c r="J18" s="229"/>
    </row>
    <row r="19" spans="1:11" ht="25.5" x14ac:dyDescent="0.25">
      <c r="A19" s="224">
        <v>10</v>
      </c>
      <c r="B19" s="225" t="s">
        <v>85</v>
      </c>
      <c r="C19" s="226">
        <f>'2. RC'!E18</f>
        <v>46763488.780000001</v>
      </c>
      <c r="D19" s="227">
        <f>'9. Capital'!C15</f>
        <v>22952848</v>
      </c>
      <c r="E19" s="228">
        <f t="shared" si="0"/>
        <v>23810640.780000001</v>
      </c>
      <c r="G19" s="48"/>
      <c r="J19" s="229"/>
    </row>
    <row r="20" spans="1:11" x14ac:dyDescent="0.25">
      <c r="A20" s="224">
        <v>11</v>
      </c>
      <c r="B20" s="225" t="s">
        <v>86</v>
      </c>
      <c r="C20" s="226">
        <f>'2. RC'!E19</f>
        <v>6701337.0199999996</v>
      </c>
      <c r="D20" s="227"/>
      <c r="E20" s="228">
        <f t="shared" si="0"/>
        <v>6701337.0199999996</v>
      </c>
      <c r="G20" s="48"/>
      <c r="J20" s="229"/>
    </row>
    <row r="21" spans="1:11" ht="51.75" thickBot="1" x14ac:dyDescent="0.3">
      <c r="A21" s="234"/>
      <c r="B21" s="235" t="s">
        <v>258</v>
      </c>
      <c r="C21" s="236">
        <f>SUM(C8:C12)+SUM(C15:C20)</f>
        <v>1263721338.4500015</v>
      </c>
      <c r="D21" s="236">
        <f>SUM(D8:D12)+SUM(D15:D20)</f>
        <v>22952848</v>
      </c>
      <c r="E21" s="237">
        <f>SUM(E8:E12)+SUM(E15:E20)</f>
        <v>1240768490.4500015</v>
      </c>
      <c r="G21" s="48"/>
    </row>
    <row r="22" spans="1:11" x14ac:dyDescent="0.25">
      <c r="A22"/>
      <c r="C22"/>
      <c r="D22"/>
      <c r="E22" s="233"/>
      <c r="G22" s="48"/>
    </row>
    <row r="23" spans="1:11" x14ac:dyDescent="0.25">
      <c r="A23"/>
      <c r="B23" s="238"/>
      <c r="C23" s="48"/>
      <c r="D23" s="48"/>
      <c r="E23" s="48"/>
      <c r="G23" s="48"/>
    </row>
    <row r="24" spans="1:11" x14ac:dyDescent="0.25">
      <c r="B24" s="239"/>
      <c r="C24" s="240"/>
      <c r="D24" s="240"/>
      <c r="E24" s="240"/>
    </row>
    <row r="25" spans="1:11" s="22" customFormat="1" x14ac:dyDescent="0.25">
      <c r="B25" s="241"/>
      <c r="E25" s="242"/>
      <c r="F25"/>
      <c r="G25"/>
    </row>
    <row r="26" spans="1:11" s="22" customFormat="1" x14ac:dyDescent="0.25">
      <c r="B26" s="243"/>
      <c r="D26" s="104"/>
      <c r="E26" s="242"/>
      <c r="F26"/>
      <c r="G26"/>
    </row>
    <row r="27" spans="1:11" s="22" customFormat="1" x14ac:dyDescent="0.25">
      <c r="B27" s="241"/>
      <c r="D27" s="104"/>
      <c r="F27"/>
      <c r="G27"/>
    </row>
    <row r="28" spans="1:11" s="22" customFormat="1" x14ac:dyDescent="0.25">
      <c r="B28" s="241"/>
      <c r="F28"/>
      <c r="G28"/>
    </row>
    <row r="29" spans="1:11" s="22" customFormat="1" x14ac:dyDescent="0.25">
      <c r="B29" s="241"/>
      <c r="F29"/>
      <c r="G29"/>
    </row>
    <row r="30" spans="1:11" s="22" customFormat="1" x14ac:dyDescent="0.25">
      <c r="B30" s="241"/>
      <c r="F30"/>
      <c r="G30"/>
    </row>
    <row r="31" spans="1:11" s="22" customFormat="1" x14ac:dyDescent="0.25">
      <c r="B31" s="241"/>
      <c r="F31"/>
      <c r="G31"/>
    </row>
    <row r="32" spans="1:11" s="22" customFormat="1" x14ac:dyDescent="0.25">
      <c r="B32" s="243"/>
      <c r="F32"/>
      <c r="G32"/>
    </row>
    <row r="33" spans="2:7" s="22" customFormat="1" x14ac:dyDescent="0.25">
      <c r="B33" s="243"/>
      <c r="F33"/>
      <c r="G33"/>
    </row>
    <row r="34" spans="2:7" s="22" customFormat="1" x14ac:dyDescent="0.25">
      <c r="B34" s="243"/>
      <c r="F34"/>
      <c r="G34"/>
    </row>
    <row r="35" spans="2:7" s="22" customFormat="1" x14ac:dyDescent="0.25">
      <c r="B35" s="243"/>
      <c r="F35"/>
      <c r="G35"/>
    </row>
    <row r="36" spans="2:7" s="22" customFormat="1" x14ac:dyDescent="0.25">
      <c r="B36" s="243"/>
      <c r="F36"/>
      <c r="G36"/>
    </row>
    <row r="37" spans="2:7" s="22" customFormat="1" x14ac:dyDescent="0.25">
      <c r="B37" s="243"/>
      <c r="F37"/>
      <c r="G37"/>
    </row>
  </sheetData>
  <mergeCells count="3">
    <mergeCell ref="B6:B7"/>
    <mergeCell ref="C6:C7"/>
    <mergeCell ref="D6:E6"/>
  </mergeCell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249977111117893"/>
    <pageSetUpPr fitToPage="1"/>
  </sheetPr>
  <dimension ref="A1:I33"/>
  <sheetViews>
    <sheetView zoomScaleNormal="100" workbookViewId="0">
      <pane xSplit="1" ySplit="4" topLeftCell="B5" activePane="bottomRight" state="frozen"/>
      <selection activeCell="XEJ1048571" sqref="XEJ1048571"/>
      <selection pane="topRight" activeCell="XEJ1048571" sqref="XEJ1048571"/>
      <selection pane="bottomLeft" activeCell="XEJ1048571" sqref="XEJ1048571"/>
      <selection pane="bottomRight" activeCell="XEJ1048571" sqref="XEJ1048571"/>
    </sheetView>
  </sheetViews>
  <sheetFormatPr defaultRowHeight="15" outlineLevelRow="1" x14ac:dyDescent="0.25"/>
  <cols>
    <col min="1" max="1" width="9.5703125" style="22" bestFit="1" customWidth="1"/>
    <col min="2" max="2" width="114.28515625" style="22" customWidth="1"/>
    <col min="3" max="3" width="18.85546875" style="244"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23" t="s">
        <v>29</v>
      </c>
      <c r="B1" s="22" t="str">
        <f>'1. key ratios'!B1</f>
        <v>სს ტერაბანკი</v>
      </c>
    </row>
    <row r="2" spans="1:6" s="211" customFormat="1" ht="15.75" customHeight="1" x14ac:dyDescent="0.3">
      <c r="A2" s="211" t="s">
        <v>31</v>
      </c>
      <c r="B2" s="82">
        <f>'1. key ratios'!B2</f>
        <v>44196</v>
      </c>
      <c r="C2" s="244"/>
      <c r="D2"/>
      <c r="E2"/>
      <c r="F2"/>
    </row>
    <row r="3" spans="1:6" s="211" customFormat="1" ht="15.75" customHeight="1" x14ac:dyDescent="0.3">
      <c r="C3" s="244"/>
      <c r="D3"/>
      <c r="E3"/>
      <c r="F3"/>
    </row>
    <row r="4" spans="1:6" s="211" customFormat="1" ht="26.25" thickBot="1" x14ac:dyDescent="0.35">
      <c r="A4" s="211" t="s">
        <v>259</v>
      </c>
      <c r="B4" s="245" t="s">
        <v>19</v>
      </c>
      <c r="C4" s="246" t="s">
        <v>67</v>
      </c>
      <c r="D4"/>
      <c r="E4"/>
      <c r="F4"/>
    </row>
    <row r="5" spans="1:6" ht="26.25" x14ac:dyDescent="0.25">
      <c r="A5" s="247">
        <v>1</v>
      </c>
      <c r="B5" s="248" t="s">
        <v>260</v>
      </c>
      <c r="C5" s="568">
        <v>1240768490.4500015</v>
      </c>
    </row>
    <row r="6" spans="1:6" s="15" customFormat="1" x14ac:dyDescent="0.25">
      <c r="A6" s="249">
        <v>2.1</v>
      </c>
      <c r="B6" s="250" t="s">
        <v>261</v>
      </c>
      <c r="C6" s="569">
        <v>69851475.229999885</v>
      </c>
      <c r="D6" s="251"/>
    </row>
    <row r="7" spans="1:6" s="255" customFormat="1" ht="25.5" outlineLevel="1" x14ac:dyDescent="0.25">
      <c r="A7" s="252">
        <v>2.2000000000000002</v>
      </c>
      <c r="B7" s="253" t="s">
        <v>262</v>
      </c>
      <c r="C7" s="570">
        <v>78045869.400000006</v>
      </c>
      <c r="D7" s="254"/>
    </row>
    <row r="8" spans="1:6" s="255" customFormat="1" ht="26.25" x14ac:dyDescent="0.25">
      <c r="A8" s="252">
        <v>3</v>
      </c>
      <c r="B8" s="256" t="s">
        <v>263</v>
      </c>
      <c r="C8" s="571">
        <f>SUM(C5:C7)</f>
        <v>1388665835.0800014</v>
      </c>
      <c r="D8" s="254"/>
    </row>
    <row r="9" spans="1:6" s="15" customFormat="1" x14ac:dyDescent="0.25">
      <c r="A9" s="249">
        <v>4</v>
      </c>
      <c r="B9" s="257" t="s">
        <v>264</v>
      </c>
      <c r="C9" s="572">
        <v>14210771.210000055</v>
      </c>
      <c r="D9" s="251"/>
    </row>
    <row r="10" spans="1:6" s="255" customFormat="1" ht="25.5" outlineLevel="1" x14ac:dyDescent="0.25">
      <c r="A10" s="252">
        <v>5.0999999999999996</v>
      </c>
      <c r="B10" s="253" t="s">
        <v>265</v>
      </c>
      <c r="C10" s="570">
        <v>-33050196.917999946</v>
      </c>
    </row>
    <row r="11" spans="1:6" s="255" customFormat="1" ht="25.5" outlineLevel="1" x14ac:dyDescent="0.25">
      <c r="A11" s="252">
        <v>5.2</v>
      </c>
      <c r="B11" s="253" t="s">
        <v>266</v>
      </c>
      <c r="C11" s="570">
        <v>-76484952.012000009</v>
      </c>
    </row>
    <row r="12" spans="1:6" s="255" customFormat="1" x14ac:dyDescent="0.25">
      <c r="A12" s="252">
        <v>6</v>
      </c>
      <c r="B12" s="258" t="s">
        <v>267</v>
      </c>
      <c r="C12" s="570">
        <v>2560084.71</v>
      </c>
    </row>
    <row r="13" spans="1:6" s="255" customFormat="1" ht="15.75" thickBot="1" x14ac:dyDescent="0.3">
      <c r="A13" s="259">
        <v>7</v>
      </c>
      <c r="B13" s="260" t="s">
        <v>268</v>
      </c>
      <c r="C13" s="573">
        <f>SUM(C8:C12)</f>
        <v>1295901542.0700014</v>
      </c>
      <c r="D13" s="254"/>
    </row>
    <row r="14" spans="1:6" x14ac:dyDescent="0.25">
      <c r="C14" s="261"/>
      <c r="D14" s="54"/>
      <c r="E14" s="54"/>
    </row>
    <row r="15" spans="1:6" ht="26.25" x14ac:dyDescent="0.25">
      <c r="B15" s="79" t="s">
        <v>269</v>
      </c>
      <c r="D15" s="233"/>
    </row>
    <row r="16" spans="1:6" x14ac:dyDescent="0.25">
      <c r="C16" s="262"/>
      <c r="D16" s="233"/>
    </row>
    <row r="17" spans="1:9" s="22" customFormat="1" x14ac:dyDescent="0.25">
      <c r="A17" s="54"/>
      <c r="B17"/>
      <c r="C17"/>
      <c r="D17"/>
      <c r="E17"/>
      <c r="F17"/>
    </row>
    <row r="18" spans="1:9" s="22" customFormat="1" x14ac:dyDescent="0.25">
      <c r="A18"/>
      <c r="B18"/>
      <c r="C18"/>
      <c r="D18"/>
      <c r="E18"/>
      <c r="F18"/>
    </row>
    <row r="19" spans="1:9" s="22" customFormat="1" x14ac:dyDescent="0.25">
      <c r="A19"/>
      <c r="B19"/>
      <c r="C19"/>
      <c r="D19"/>
      <c r="E19"/>
      <c r="F19"/>
    </row>
    <row r="20" spans="1:9" s="22" customFormat="1" x14ac:dyDescent="0.25">
      <c r="B20" s="243"/>
      <c r="C20" s="263"/>
      <c r="D20" s="54"/>
      <c r="E20"/>
      <c r="F20"/>
      <c r="G20"/>
      <c r="H20"/>
      <c r="I20"/>
    </row>
    <row r="21" spans="1:9" s="22" customFormat="1" x14ac:dyDescent="0.25">
      <c r="B21" s="241"/>
      <c r="C21" s="244"/>
      <c r="D21"/>
      <c r="E21"/>
      <c r="F21"/>
      <c r="G21"/>
      <c r="H21"/>
      <c r="I21"/>
    </row>
    <row r="22" spans="1:9" s="22" customFormat="1" x14ac:dyDescent="0.25">
      <c r="B22" s="243"/>
      <c r="C22" s="264"/>
      <c r="D22"/>
      <c r="E22"/>
      <c r="F22"/>
      <c r="G22"/>
      <c r="H22"/>
      <c r="I22"/>
    </row>
    <row r="23" spans="1:9" s="22" customFormat="1" x14ac:dyDescent="0.25">
      <c r="B23" s="241"/>
      <c r="C23" s="264"/>
      <c r="D23"/>
      <c r="E23"/>
      <c r="F23"/>
      <c r="G23"/>
      <c r="H23"/>
      <c r="I23"/>
    </row>
    <row r="24" spans="1:9" s="22" customFormat="1" x14ac:dyDescent="0.25">
      <c r="B24" s="241"/>
      <c r="C24" s="244"/>
      <c r="D24"/>
      <c r="E24"/>
      <c r="F24"/>
      <c r="G24"/>
      <c r="H24"/>
      <c r="I24"/>
    </row>
    <row r="25" spans="1:9" s="22" customFormat="1" x14ac:dyDescent="0.25">
      <c r="B25" s="241"/>
      <c r="C25" s="244"/>
      <c r="D25"/>
      <c r="E25"/>
      <c r="F25"/>
      <c r="G25"/>
      <c r="H25"/>
      <c r="I25"/>
    </row>
    <row r="26" spans="1:9" s="22" customFormat="1" x14ac:dyDescent="0.25">
      <c r="B26" s="241"/>
      <c r="C26" s="244"/>
      <c r="D26"/>
      <c r="E26"/>
      <c r="F26"/>
      <c r="G26"/>
      <c r="H26"/>
      <c r="I26"/>
    </row>
    <row r="27" spans="1:9" s="22" customFormat="1" x14ac:dyDescent="0.25">
      <c r="B27" s="241"/>
      <c r="C27" s="244"/>
      <c r="D27"/>
      <c r="E27"/>
      <c r="F27"/>
      <c r="G27"/>
      <c r="H27"/>
      <c r="I27"/>
    </row>
    <row r="28" spans="1:9" s="22" customFormat="1" x14ac:dyDescent="0.25">
      <c r="B28" s="243"/>
      <c r="C28" s="244"/>
      <c r="D28"/>
      <c r="E28"/>
      <c r="F28"/>
      <c r="G28"/>
      <c r="H28"/>
      <c r="I28"/>
    </row>
    <row r="29" spans="1:9" s="22" customFormat="1" x14ac:dyDescent="0.25">
      <c r="B29" s="243"/>
      <c r="C29" s="244"/>
      <c r="D29"/>
      <c r="E29"/>
      <c r="F29"/>
      <c r="G29"/>
      <c r="H29"/>
      <c r="I29"/>
    </row>
    <row r="30" spans="1:9" s="22" customFormat="1" x14ac:dyDescent="0.25">
      <c r="B30" s="243"/>
      <c r="C30" s="244"/>
      <c r="D30"/>
      <c r="E30"/>
      <c r="F30"/>
      <c r="G30"/>
      <c r="H30"/>
      <c r="I30"/>
    </row>
    <row r="31" spans="1:9" s="22" customFormat="1" x14ac:dyDescent="0.25">
      <c r="B31" s="243"/>
      <c r="C31" s="244"/>
      <c r="D31"/>
      <c r="E31"/>
      <c r="F31"/>
      <c r="G31"/>
      <c r="H31"/>
      <c r="I31"/>
    </row>
    <row r="32" spans="1:9" s="22" customFormat="1" x14ac:dyDescent="0.25">
      <c r="B32" s="243"/>
      <c r="C32" s="244"/>
      <c r="D32"/>
      <c r="E32"/>
      <c r="F32"/>
      <c r="G32"/>
      <c r="H32"/>
      <c r="I32"/>
    </row>
    <row r="33" spans="2:9" s="22" customFormat="1" x14ac:dyDescent="0.25">
      <c r="B33" s="243"/>
      <c r="C33" s="244"/>
      <c r="D33"/>
      <c r="E33"/>
      <c r="F33"/>
      <c r="G33"/>
      <c r="H33"/>
      <c r="I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hkB4glUxRHwLAZ3LBjY+2zxjjgDi2sjMK4M6cifVFjk=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CpU4aDbImBsVjf/Xt+git0HRL56dfoWuL4w6bSarMTU=</DigestValue>
    </Reference>
  </SignedInfo>
  <SignatureValue>T/AMMHehw0eGyRYw3YMsnyVHaKKaQiJnu9iocdb//qq8VGHFuCwltMaAHETsQ4rUGbewPz2LnHqj
NgMMdwPxXAgEuaGvdNQRYiOpHY1Kis8uQnQd+qI4l7+wMKiuqKLcXVLrdRo/rwz3EmzhT1Ui4f1N
UTtwxSEFiJuuVfKOIX2Et2JuLya0SRBn51D6HTcSCZLC2zaG1QcD+JBKRbTutP08wxABSHpkS4xF
GwD84rKgLfs7bTnOTroPBwfplTOM8vo0LeXYPLvcuzy/sp65dcZBkgxuCfscYlu3gBlIrKMGpxbV
iwPeoybDlMeOASywS/Lgf2vDdOEzkIbd7QoklA==</SignatureValue>
  <KeyInfo>
    <X509Data>
      <X509Certificate>MIIGOjCCBSKgAwIBAgIKbUnumwACAAGmOzANBgkqhkiG9w0BAQsFADBKMRIwEAYKCZImiZPyLGQBGRYCZ2UxEzARBgoJkiaJk/IsZAEZFgNuYmcxHzAdBgNVBAMTFk5CRyBDbGFzcyAyIElOVCBTdWIgQ0EwHhcNMjAwOTEwMTQzOTIzWhcNMjExMjIyMDk0NjU2WjA4MRUwEwYDVQQKEwxKU0MgVGVyYWJhbmsxHzAdBgNVBAMTFkJLUyAtIE5hdGlhIEJlbmFzaHZpbGkwggEiMA0GCSqGSIb3DQEBAQUAA4IBDwAwggEKAoIBAQDbdxwykj9wI77B3YONxgb5MCFLumccgTJMKl3OrIu4Fi6aswhdQIc83yPw+gDhb1IJXrbk+WOpKkeOxxTn6wq9MDw5O+pjLscDhxYwYLJbi1J78VUFZSxvsNmB15kdFkVphkFCKVXwPRhJWUS3PE5zeMTwBhAf5JbOLf1rUQpiFwg1wbCTbi0q8LkSQAIbT1ajr9GdgI8WAuTk93Nrmtw7qrh8h5UZyzcaCHAEj8iMihF4+8kJRyQeBgh6/2Bgb3u9ZbEl4S2VyNn/nSoqjouE4Xa1RZllMrunBrd8gCoZcvmo/ifGSYHEiZRVqYpzsrZalStvZEmJ+dKJ1QLmxKphAgMBAAGjggMyMIIDLjA8BgkrBgEEAYI3FQcELzAtBiUrBgEEAYI3FQjmsmCDjfVEhoGZCYO4oUqDvoRxBIPEkTOEg4hdAgFkAgEjMB0GA1UdJQQWMBQGCCsGAQUFBwMCBggrBgEFBQcDBDALBgNVHQ8EBAMCB4AwJwYJKwYBBAGCNxUKBBowGDAKBggrBgEFBQcDAjAKBggrBgEFBQcDBDAdBgNVHQ4EFgQUw6UJLkVlikb0S7C+rrSMVvVRoL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p/6IhmdjEoynI8H644romT3wDI6UkO4cWdnA22XA/TAlCFaC5VBi4oaSKkjEkTUxgawm4KvG5fi8GobKIiqA/m92t5R3rgO92p367E8+oxkincS2ONtqgSTbKhwD0wUanx6VCE74UtSUu/uiNELV0R+aCpY6Drtjx4iYTYqvQg2veK4DTcXbumTzHl/yQBSOZPGOctvB27zefqsdey9eaQG8sAsakGZIWGehex423MokHFwAP9b+9udYI83doYkXwLA4Q7OQ8M9d9mQX3AmSAs27GCQNfe8/hldRtxv2XrDTTjy6Jdt05yEHc1U1jsY+lJyT1VMi75vQBZkigxQ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UbXKvd/ye11RABFlAB8pY5t+OfUtpO2UTdO0UcD8+Bc=</DigestValue>
      </Reference>
      <Reference URI="/xl/drawings/drawing1.xml?ContentType=application/vnd.openxmlformats-officedocument.drawing+xml">
        <DigestMethod Algorithm="http://www.w3.org/2001/04/xmlenc#sha256"/>
        <DigestValue>cxOJR/swIPcBftuHaO0Qc5aQBLWWyPK1XkbMhUQQmos=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orzNkq524aE3jkpeoZAlsaGlKcNmpDYJn2/28toIPDA=</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eWliDAJmdOpJC9Wo+3RvhYFVkD+3r4A+/XaS29QpOvY=</DigestValue>
      </Reference>
      <Reference URI="/xl/externalLinks/externalLink3.xml?ContentType=application/vnd.openxmlformats-officedocument.spreadsheetml.externalLink+xml">
        <DigestMethod Algorithm="http://www.w3.org/2001/04/xmlenc#sha256"/>
        <DigestValue>6JnUOBSq3qQvivt7ufR97pp2ohiag4WY+ApzR/9Roh4=</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AGjFfwb4p1T7dbuFpbL92LYUYhQRP98cHdWGsah47Gs=</DigestValue>
      </Reference>
      <Reference URI="/xl/printerSettings/printerSettings10.bin?ContentType=application/vnd.openxmlformats-officedocument.spreadsheetml.printerSettings">
        <DigestMethod Algorithm="http://www.w3.org/2001/04/xmlenc#sha256"/>
        <DigestValue>AGjFfwb4p1T7dbuFpbL92LYUYhQRP98cHdWGsah47Gs=</DigestValue>
      </Reference>
      <Reference URI="/xl/printerSettings/printerSettings11.bin?ContentType=application/vnd.openxmlformats-officedocument.spreadsheetml.printerSettings">
        <DigestMethod Algorithm="http://www.w3.org/2001/04/xmlenc#sha256"/>
        <DigestValue>AGjFfwb4p1T7dbuFpbL92LYUYhQRP98cHdWGsah47Gs=</DigestValue>
      </Reference>
      <Reference URI="/xl/printerSettings/printerSettings12.bin?ContentType=application/vnd.openxmlformats-officedocument.spreadsheetml.printerSettings">
        <DigestMethod Algorithm="http://www.w3.org/2001/04/xmlenc#sha256"/>
        <DigestValue>AGjFfwb4p1T7dbuFpbL92LYUYhQRP98cHdWGsah47Gs=</DigestValue>
      </Reference>
      <Reference URI="/xl/printerSettings/printerSettings13.bin?ContentType=application/vnd.openxmlformats-officedocument.spreadsheetml.printerSettings">
        <DigestMethod Algorithm="http://www.w3.org/2001/04/xmlenc#sha256"/>
        <DigestValue>8HNB2H9v934Jtu4r6ndg+fS0554EkucnHFsz61z8YF0=</DigestValue>
      </Reference>
      <Reference URI="/xl/printerSettings/printerSettings14.bin?ContentType=application/vnd.openxmlformats-officedocument.spreadsheetml.printerSettings">
        <DigestMethod Algorithm="http://www.w3.org/2001/04/xmlenc#sha256"/>
        <DigestValue>8HNB2H9v934Jtu4r6ndg+fS0554EkucnHFsz61z8YF0=</DigestValue>
      </Reference>
      <Reference URI="/xl/printerSettings/printerSettings15.bin?ContentType=application/vnd.openxmlformats-officedocument.spreadsheetml.printerSettings">
        <DigestMethod Algorithm="http://www.w3.org/2001/04/xmlenc#sha256"/>
        <DigestValue>8HNB2H9v934Jtu4r6ndg+fS0554EkucnHFsz61z8YF0=</DigestValue>
      </Reference>
      <Reference URI="/xl/printerSettings/printerSettings16.bin?ContentType=application/vnd.openxmlformats-officedocument.spreadsheetml.printerSettings">
        <DigestMethod Algorithm="http://www.w3.org/2001/04/xmlenc#sha256"/>
        <DigestValue>8HNB2H9v934Jtu4r6ndg+fS0554EkucnHFsz61z8YF0=</DigestValue>
      </Reference>
      <Reference URI="/xl/printerSettings/printerSettings17.bin?ContentType=application/vnd.openxmlformats-officedocument.spreadsheetml.printerSettings">
        <DigestMethod Algorithm="http://www.w3.org/2001/04/xmlenc#sha256"/>
        <DigestValue>8HNB2H9v934Jtu4r6ndg+fS0554EkucnHFsz61z8YF0=</DigestValue>
      </Reference>
      <Reference URI="/xl/printerSettings/printerSettings18.bin?ContentType=application/vnd.openxmlformats-officedocument.spreadsheetml.printerSettings">
        <DigestMethod Algorithm="http://www.w3.org/2001/04/xmlenc#sha256"/>
        <DigestValue>blnDHTggVV/Ug4gZAxTPPs5ccN2rgFTEpGS9NvIESmM=</DigestValue>
      </Reference>
      <Reference URI="/xl/printerSettings/printerSettings2.bin?ContentType=application/vnd.openxmlformats-officedocument.spreadsheetml.printerSettings">
        <DigestMethod Algorithm="http://www.w3.org/2001/04/xmlenc#sha256"/>
        <DigestValue>AGjFfwb4p1T7dbuFpbL92LYUYhQRP98cHdWGsah47Gs=</DigestValue>
      </Reference>
      <Reference URI="/xl/printerSettings/printerSettings3.bin?ContentType=application/vnd.openxmlformats-officedocument.spreadsheetml.printerSettings">
        <DigestMethod Algorithm="http://www.w3.org/2001/04/xmlenc#sha256"/>
        <DigestValue>AGjFfwb4p1T7dbuFpbL92LYUYhQRP98cHdWGsah47Gs=</DigestValue>
      </Reference>
      <Reference URI="/xl/printerSettings/printerSettings4.bin?ContentType=application/vnd.openxmlformats-officedocument.spreadsheetml.printerSettings">
        <DigestMethod Algorithm="http://www.w3.org/2001/04/xmlenc#sha256"/>
        <DigestValue>AGjFfwb4p1T7dbuFpbL92LYUYhQRP98cHdWGsah47Gs=</DigestValue>
      </Reference>
      <Reference URI="/xl/printerSettings/printerSettings5.bin?ContentType=application/vnd.openxmlformats-officedocument.spreadsheetml.printerSettings">
        <DigestMethod Algorithm="http://www.w3.org/2001/04/xmlenc#sha256"/>
        <DigestValue>AGjFfwb4p1T7dbuFpbL92LYUYhQRP98cHdWGsah47Gs=</DigestValue>
      </Reference>
      <Reference URI="/xl/printerSettings/printerSettings6.bin?ContentType=application/vnd.openxmlformats-officedocument.spreadsheetml.printerSettings">
        <DigestMethod Algorithm="http://www.w3.org/2001/04/xmlenc#sha256"/>
        <DigestValue>AGjFfwb4p1T7dbuFpbL92LYUYhQRP98cHdWGsah47Gs=</DigestValue>
      </Reference>
      <Reference URI="/xl/printerSettings/printerSettings7.bin?ContentType=application/vnd.openxmlformats-officedocument.spreadsheetml.printerSettings">
        <DigestMethod Algorithm="http://www.w3.org/2001/04/xmlenc#sha256"/>
        <DigestValue>AGjFfwb4p1T7dbuFpbL92LYUYhQRP98cHdWGsah47Gs=</DigestValue>
      </Reference>
      <Reference URI="/xl/printerSettings/printerSettings8.bin?ContentType=application/vnd.openxmlformats-officedocument.spreadsheetml.printerSettings">
        <DigestMethod Algorithm="http://www.w3.org/2001/04/xmlenc#sha256"/>
        <DigestValue>8HNB2H9v934Jtu4r6ndg+fS0554EkucnHFsz61z8YF0=</DigestValue>
      </Reference>
      <Reference URI="/xl/printerSettings/printerSettings9.bin?ContentType=application/vnd.openxmlformats-officedocument.spreadsheetml.printerSettings">
        <DigestMethod Algorithm="http://www.w3.org/2001/04/xmlenc#sha256"/>
        <DigestValue>AGjFfwb4p1T7dbuFpbL92LYUYhQRP98cHdWGsah47Gs=</DigestValue>
      </Reference>
      <Reference URI="/xl/sharedStrings.xml?ContentType=application/vnd.openxmlformats-officedocument.spreadsheetml.sharedStrings+xml">
        <DigestMethod Algorithm="http://www.w3.org/2001/04/xmlenc#sha256"/>
        <DigestValue>NHH7e9DD6VPVckWQvqD7H/9obN930gGPcqDNsGXoeuU=</DigestValue>
      </Reference>
      <Reference URI="/xl/styles.xml?ContentType=application/vnd.openxmlformats-officedocument.spreadsheetml.styles+xml">
        <DigestMethod Algorithm="http://www.w3.org/2001/04/xmlenc#sha256"/>
        <DigestValue>BhoLUfh/xfTm/+JG8Dm7qOKZ+Dl021zqbegGw7vrr5Q=</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MnjGsvLxWxWvPPKaAMEqqHs+HfO/m3sYwgGQQ1LFGyQ=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PB+rTBQCQcAjOXyoXTuiU8wfJ1Tb2DFtY7QBCp9f8k0=</DigestValue>
      </Reference>
      <Reference URI="/xl/worksheets/sheet10.xml?ContentType=application/vnd.openxmlformats-officedocument.spreadsheetml.worksheet+xml">
        <DigestMethod Algorithm="http://www.w3.org/2001/04/xmlenc#sha256"/>
        <DigestValue>15dVcsbAwMnTHGwA5bSgITfE7Qcg1CuBsNcNvhXUP14=</DigestValue>
      </Reference>
      <Reference URI="/xl/worksheets/sheet11.xml?ContentType=application/vnd.openxmlformats-officedocument.spreadsheetml.worksheet+xml">
        <DigestMethod Algorithm="http://www.w3.org/2001/04/xmlenc#sha256"/>
        <DigestValue>dUB3jPd+1Fv+7ZeJfad28P1GbpHacMMUMoBXYbz58rE=</DigestValue>
      </Reference>
      <Reference URI="/xl/worksheets/sheet12.xml?ContentType=application/vnd.openxmlformats-officedocument.spreadsheetml.worksheet+xml">
        <DigestMethod Algorithm="http://www.w3.org/2001/04/xmlenc#sha256"/>
        <DigestValue>ZfuLms9GUQD43WXRgSR0xegN0hPtzJTqm2fGzQxP2rY=</DigestValue>
      </Reference>
      <Reference URI="/xl/worksheets/sheet13.xml?ContentType=application/vnd.openxmlformats-officedocument.spreadsheetml.worksheet+xml">
        <DigestMethod Algorithm="http://www.w3.org/2001/04/xmlenc#sha256"/>
        <DigestValue>3xKu4DemsV5BbgTfEZ0FGIBwX7t64Q6C5vdjmSv5Cww=</DigestValue>
      </Reference>
      <Reference URI="/xl/worksheets/sheet14.xml?ContentType=application/vnd.openxmlformats-officedocument.spreadsheetml.worksheet+xml">
        <DigestMethod Algorithm="http://www.w3.org/2001/04/xmlenc#sha256"/>
        <DigestValue>MP1Ju3qTFrQm9bNQmWQ9r/VNHDRjjIjtQw5QR5OKMKw=</DigestValue>
      </Reference>
      <Reference URI="/xl/worksheets/sheet15.xml?ContentType=application/vnd.openxmlformats-officedocument.spreadsheetml.worksheet+xml">
        <DigestMethod Algorithm="http://www.w3.org/2001/04/xmlenc#sha256"/>
        <DigestValue>YB3Nn21a/7gkvw9LqCBRP2wXed/OAXKORI40EqswM80=</DigestValue>
      </Reference>
      <Reference URI="/xl/worksheets/sheet16.xml?ContentType=application/vnd.openxmlformats-officedocument.spreadsheetml.worksheet+xml">
        <DigestMethod Algorithm="http://www.w3.org/2001/04/xmlenc#sha256"/>
        <DigestValue>/QgtgeFG4wqziZdU37UzzmKejosjO/wIilcl0wad2OA=</DigestValue>
      </Reference>
      <Reference URI="/xl/worksheets/sheet17.xml?ContentType=application/vnd.openxmlformats-officedocument.spreadsheetml.worksheet+xml">
        <DigestMethod Algorithm="http://www.w3.org/2001/04/xmlenc#sha256"/>
        <DigestValue>XKXwQQBJpc1wDvjhcw1U6KEcGXRrEM3fgQK6hcCTSMI=</DigestValue>
      </Reference>
      <Reference URI="/xl/worksheets/sheet18.xml?ContentType=application/vnd.openxmlformats-officedocument.spreadsheetml.worksheet+xml">
        <DigestMethod Algorithm="http://www.w3.org/2001/04/xmlenc#sha256"/>
        <DigestValue>I3U7r744cuwP5wG548zu/yx/JIu0l4lNJ+hLyopayvk=</DigestValue>
      </Reference>
      <Reference URI="/xl/worksheets/sheet2.xml?ContentType=application/vnd.openxmlformats-officedocument.spreadsheetml.worksheet+xml">
        <DigestMethod Algorithm="http://www.w3.org/2001/04/xmlenc#sha256"/>
        <DigestValue>gvWCEEivoiBbr0CZfYyNBNsov/nKuevE1ROyPUS5ONE=</DigestValue>
      </Reference>
      <Reference URI="/xl/worksheets/sheet3.xml?ContentType=application/vnd.openxmlformats-officedocument.spreadsheetml.worksheet+xml">
        <DigestMethod Algorithm="http://www.w3.org/2001/04/xmlenc#sha256"/>
        <DigestValue>6+qylNdR+tqcsh8gSIOPqGjPWooNb8xFreADE/Id9qI=</DigestValue>
      </Reference>
      <Reference URI="/xl/worksheets/sheet4.xml?ContentType=application/vnd.openxmlformats-officedocument.spreadsheetml.worksheet+xml">
        <DigestMethod Algorithm="http://www.w3.org/2001/04/xmlenc#sha256"/>
        <DigestValue>TOXYnsxaHRR1uJvOpgGYMjjMiqj8ejcm7J+pIqc7KzU=</DigestValue>
      </Reference>
      <Reference URI="/xl/worksheets/sheet5.xml?ContentType=application/vnd.openxmlformats-officedocument.spreadsheetml.worksheet+xml">
        <DigestMethod Algorithm="http://www.w3.org/2001/04/xmlenc#sha256"/>
        <DigestValue>HgETvpJgk8cAXF5463lwZgWI+Vk3KdPMSl6R72bfFGw=</DigestValue>
      </Reference>
      <Reference URI="/xl/worksheets/sheet6.xml?ContentType=application/vnd.openxmlformats-officedocument.spreadsheetml.worksheet+xml">
        <DigestMethod Algorithm="http://www.w3.org/2001/04/xmlenc#sha256"/>
        <DigestValue>UEUXsQMdq26BiUBj8lWbhOsHjwOWfbaEivxPQMGLyLY=</DigestValue>
      </Reference>
      <Reference URI="/xl/worksheets/sheet7.xml?ContentType=application/vnd.openxmlformats-officedocument.spreadsheetml.worksheet+xml">
        <DigestMethod Algorithm="http://www.w3.org/2001/04/xmlenc#sha256"/>
        <DigestValue>oD+QlLHbin4OFitGYoI60lx1ey4W2WFRIhOsm1vcaZ8=</DigestValue>
      </Reference>
      <Reference URI="/xl/worksheets/sheet8.xml?ContentType=application/vnd.openxmlformats-officedocument.spreadsheetml.worksheet+xml">
        <DigestMethod Algorithm="http://www.w3.org/2001/04/xmlenc#sha256"/>
        <DigestValue>ReYkIaMEjXrLgoOQnItAulldS7chhWWcTiLjrDkDf5g=</DigestValue>
      </Reference>
      <Reference URI="/xl/worksheets/sheet9.xml?ContentType=application/vnd.openxmlformats-officedocument.spreadsheetml.worksheet+xml">
        <DigestMethod Algorithm="http://www.w3.org/2001/04/xmlenc#sha256"/>
        <DigestValue>hSm8jarG22YEDCcRqv01Us9xL6Hi3L6dYtqnhFegAMs=</DigestValue>
      </Reference>
    </Manifest>
    <SignatureProperties>
      <SignatureProperty Id="idSignatureTime" Target="#idPackageSignature">
        <mdssi:SignatureTime xmlns:mdssi="http://schemas.openxmlformats.org/package/2006/digital-signature">
          <mdssi:Format>YYYY-MM-DDThh:mm:ssTZD</mdssi:Format>
          <mdssi:Value>2021-02-01T06:21:16Z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2021-02-01T06:21:16Z</xd:SigningTime>
          <xd:SigningCertificate>
            <xd:Cert>
              <xd:CertDigest>
                <DigestMethod Algorithm="http://www.w3.org/2001/04/xmlenc#sha256"/>
                <DigestValue>vi7OIC/UgzSg1azrOTla26HMWT2jdyeAkTAZwJ3/Y/E=</DigestValue>
              </xd:CertDigest>
              <xd:IssuerSerial>
                <X509IssuerName>CN=NBG Class 2 INT Sub CA, DC=nbg, DC=ge</X509IssuerName>
                <X509SerialNumber>516101752286183132603963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w7VHVPKaqA2JDR1+4bwUe11yJwLSUbd3X6XBYk79pBM=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tJuauWpSH0QDW9htjSC5Yux0oiPj4rSH9Rwj16vkcUU=</DigestValue>
    </Reference>
  </SignedInfo>
  <SignatureValue>t49+t+gOX8E9TiURDj79BLNE0zQGp4qZfwBaoLV/8rUhurUHVgf3AvY577qCahPjLkAUTplZBP/U
FKNJHd6JkvVb94CrwW53C+COKt7EhzR7b+tut3Fn1WRBFvasdyrf4dArU+EIaiEZGrr9W4WH3SvE
1uVxuQH1bUSJggC1ibdZXf1qT66MhECPb4BnYNu3fTCfgcnx2eyOnMrAulmlP7o0Uq1Y7kDcFusv
GTVp9Nc7uHkMNUYeS63W3H9kq8r60WUvHmhpdBzvEY1DBxNBeLPQydcz4YNS5mz/730FhUST0eUy
FPaFI6kwnFgVvGPG2/vjML3MROoxwYrnGW2zIA==</SignatureValue>
  <KeyInfo>
    <X509Data>
      <X509Certificate>MIIGNzCCBR+gAwIBAgIKciOLlQACAAEQSjANBgkqhkiG9w0BAQsFADBKMRIwEAYKCZImiZPyLGQBGRYCZ2UxEzARBgoJkiaJk/IsZAEZFgNuYmcxHzAdBgNVBAMTFk5CRyBDbGFzcyAyIElOVCBTdWIgQ0EwHhcNMTkwMjI2MTMzODA3WhcNMjEwMjI1MTMzODA3WjA1MRUwEwYDVQQKEwxKU0MgVGVyYWJhbmsxHDAaBgNVBAMTE0JLUyAtIFNvcGhpZSBKdWdlbGkwggEiMA0GCSqGSIb3DQEBAQUAA4IBDwAwggEKAoIBAQDohH+d9PVu7GNwEsMQcCfY8Ku9uM0WhDFo9bTUfeJ4W1DOL+pND5rrR5lWnlesTj4JNLny2wtzOrNJbkMu11LjyXMr+nNHuwyNy9s9PxJmWFnR1nicJjZ9i4kCZijtKb9zkVEkG2TIYPLBwUvbfDTT+GzOfTbax3XwNGZrawZ1V35e8tZmQdDsf/E/nWkToufTsXwt68+Joie1ViQexFJ8ahciAqlipOZVFs7z8noB9u9iKr0RN/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aUU73ZKLJDH9g3mCFejppY/Wm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X3ZE4t4Hhssl6PTbEYkwnOTjqIa+JaqvKsiSy6wtmfsSFAC/xhAFB9qZXQqWP17uHsck5Sav6gZJYPA0Q5771/DomIG1AwRVpO/RSLHVJPivlP46EU8TFntI2PFZ+IvFZLTfNJ5K7ndjBegfVop2ridRYb99Itra/DckTBKRFy8wzrwkf9D58U08W7WhgpwgeTXmF71fp9c14f89Dfs3TuqEzie9vKArX32lD8P6B29CUgcjsQHtTbBalKSrMpezjNgnb3kEjQbDBGlRAnsS8Di5x8I4W7PQBmqvjhJcgyX+Y3SXXl+alOHaIqJ6/VI1H5YVMLNNvxJ46oGWN3w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UbXKvd/ye11RABFlAB8pY5t+OfUtpO2UTdO0UcD8+Bc=</DigestValue>
      </Reference>
      <Reference URI="/xl/drawings/drawing1.xml?ContentType=application/vnd.openxmlformats-officedocument.drawing+xml">
        <DigestMethod Algorithm="http://www.w3.org/2001/04/xmlenc#sha256"/>
        <DigestValue>cxOJR/swIPcBftuHaO0Qc5aQBLWWyPK1XkbMhUQQmos=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orzNkq524aE3jkpeoZAlsaGlKcNmpDYJn2/28toIPDA=</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eWliDAJmdOpJC9Wo+3RvhYFVkD+3r4A+/XaS29QpOvY=</DigestValue>
      </Reference>
      <Reference URI="/xl/externalLinks/externalLink3.xml?ContentType=application/vnd.openxmlformats-officedocument.spreadsheetml.externalLink+xml">
        <DigestMethod Algorithm="http://www.w3.org/2001/04/xmlenc#sha256"/>
        <DigestValue>6JnUOBSq3qQvivt7ufR97pp2ohiag4WY+ApzR/9Roh4=</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AGjFfwb4p1T7dbuFpbL92LYUYhQRP98cHdWGsah47Gs=</DigestValue>
      </Reference>
      <Reference URI="/xl/printerSettings/printerSettings10.bin?ContentType=application/vnd.openxmlformats-officedocument.spreadsheetml.printerSettings">
        <DigestMethod Algorithm="http://www.w3.org/2001/04/xmlenc#sha256"/>
        <DigestValue>AGjFfwb4p1T7dbuFpbL92LYUYhQRP98cHdWGsah47Gs=</DigestValue>
      </Reference>
      <Reference URI="/xl/printerSettings/printerSettings11.bin?ContentType=application/vnd.openxmlformats-officedocument.spreadsheetml.printerSettings">
        <DigestMethod Algorithm="http://www.w3.org/2001/04/xmlenc#sha256"/>
        <DigestValue>AGjFfwb4p1T7dbuFpbL92LYUYhQRP98cHdWGsah47Gs=</DigestValue>
      </Reference>
      <Reference URI="/xl/printerSettings/printerSettings12.bin?ContentType=application/vnd.openxmlformats-officedocument.spreadsheetml.printerSettings">
        <DigestMethod Algorithm="http://www.w3.org/2001/04/xmlenc#sha256"/>
        <DigestValue>AGjFfwb4p1T7dbuFpbL92LYUYhQRP98cHdWGsah47Gs=</DigestValue>
      </Reference>
      <Reference URI="/xl/printerSettings/printerSettings13.bin?ContentType=application/vnd.openxmlformats-officedocument.spreadsheetml.printerSettings">
        <DigestMethod Algorithm="http://www.w3.org/2001/04/xmlenc#sha256"/>
        <DigestValue>8HNB2H9v934Jtu4r6ndg+fS0554EkucnHFsz61z8YF0=</DigestValue>
      </Reference>
      <Reference URI="/xl/printerSettings/printerSettings14.bin?ContentType=application/vnd.openxmlformats-officedocument.spreadsheetml.printerSettings">
        <DigestMethod Algorithm="http://www.w3.org/2001/04/xmlenc#sha256"/>
        <DigestValue>8HNB2H9v934Jtu4r6ndg+fS0554EkucnHFsz61z8YF0=</DigestValue>
      </Reference>
      <Reference URI="/xl/printerSettings/printerSettings15.bin?ContentType=application/vnd.openxmlformats-officedocument.spreadsheetml.printerSettings">
        <DigestMethod Algorithm="http://www.w3.org/2001/04/xmlenc#sha256"/>
        <DigestValue>8HNB2H9v934Jtu4r6ndg+fS0554EkucnHFsz61z8YF0=</DigestValue>
      </Reference>
      <Reference URI="/xl/printerSettings/printerSettings16.bin?ContentType=application/vnd.openxmlformats-officedocument.spreadsheetml.printerSettings">
        <DigestMethod Algorithm="http://www.w3.org/2001/04/xmlenc#sha256"/>
        <DigestValue>8HNB2H9v934Jtu4r6ndg+fS0554EkucnHFsz61z8YF0=</DigestValue>
      </Reference>
      <Reference URI="/xl/printerSettings/printerSettings17.bin?ContentType=application/vnd.openxmlformats-officedocument.spreadsheetml.printerSettings">
        <DigestMethod Algorithm="http://www.w3.org/2001/04/xmlenc#sha256"/>
        <DigestValue>8HNB2H9v934Jtu4r6ndg+fS0554EkucnHFsz61z8YF0=</DigestValue>
      </Reference>
      <Reference URI="/xl/printerSettings/printerSettings18.bin?ContentType=application/vnd.openxmlformats-officedocument.spreadsheetml.printerSettings">
        <DigestMethod Algorithm="http://www.w3.org/2001/04/xmlenc#sha256"/>
        <DigestValue>blnDHTggVV/Ug4gZAxTPPs5ccN2rgFTEpGS9NvIESmM=</DigestValue>
      </Reference>
      <Reference URI="/xl/printerSettings/printerSettings2.bin?ContentType=application/vnd.openxmlformats-officedocument.spreadsheetml.printerSettings">
        <DigestMethod Algorithm="http://www.w3.org/2001/04/xmlenc#sha256"/>
        <DigestValue>AGjFfwb4p1T7dbuFpbL92LYUYhQRP98cHdWGsah47Gs=</DigestValue>
      </Reference>
      <Reference URI="/xl/printerSettings/printerSettings3.bin?ContentType=application/vnd.openxmlformats-officedocument.spreadsheetml.printerSettings">
        <DigestMethod Algorithm="http://www.w3.org/2001/04/xmlenc#sha256"/>
        <DigestValue>AGjFfwb4p1T7dbuFpbL92LYUYhQRP98cHdWGsah47Gs=</DigestValue>
      </Reference>
      <Reference URI="/xl/printerSettings/printerSettings4.bin?ContentType=application/vnd.openxmlformats-officedocument.spreadsheetml.printerSettings">
        <DigestMethod Algorithm="http://www.w3.org/2001/04/xmlenc#sha256"/>
        <DigestValue>AGjFfwb4p1T7dbuFpbL92LYUYhQRP98cHdWGsah47Gs=</DigestValue>
      </Reference>
      <Reference URI="/xl/printerSettings/printerSettings5.bin?ContentType=application/vnd.openxmlformats-officedocument.spreadsheetml.printerSettings">
        <DigestMethod Algorithm="http://www.w3.org/2001/04/xmlenc#sha256"/>
        <DigestValue>AGjFfwb4p1T7dbuFpbL92LYUYhQRP98cHdWGsah47Gs=</DigestValue>
      </Reference>
      <Reference URI="/xl/printerSettings/printerSettings6.bin?ContentType=application/vnd.openxmlformats-officedocument.spreadsheetml.printerSettings">
        <DigestMethod Algorithm="http://www.w3.org/2001/04/xmlenc#sha256"/>
        <DigestValue>AGjFfwb4p1T7dbuFpbL92LYUYhQRP98cHdWGsah47Gs=</DigestValue>
      </Reference>
      <Reference URI="/xl/printerSettings/printerSettings7.bin?ContentType=application/vnd.openxmlformats-officedocument.spreadsheetml.printerSettings">
        <DigestMethod Algorithm="http://www.w3.org/2001/04/xmlenc#sha256"/>
        <DigestValue>AGjFfwb4p1T7dbuFpbL92LYUYhQRP98cHdWGsah47Gs=</DigestValue>
      </Reference>
      <Reference URI="/xl/printerSettings/printerSettings8.bin?ContentType=application/vnd.openxmlformats-officedocument.spreadsheetml.printerSettings">
        <DigestMethod Algorithm="http://www.w3.org/2001/04/xmlenc#sha256"/>
        <DigestValue>8HNB2H9v934Jtu4r6ndg+fS0554EkucnHFsz61z8YF0=</DigestValue>
      </Reference>
      <Reference URI="/xl/printerSettings/printerSettings9.bin?ContentType=application/vnd.openxmlformats-officedocument.spreadsheetml.printerSettings">
        <DigestMethod Algorithm="http://www.w3.org/2001/04/xmlenc#sha256"/>
        <DigestValue>AGjFfwb4p1T7dbuFpbL92LYUYhQRP98cHdWGsah47Gs=</DigestValue>
      </Reference>
      <Reference URI="/xl/sharedStrings.xml?ContentType=application/vnd.openxmlformats-officedocument.spreadsheetml.sharedStrings+xml">
        <DigestMethod Algorithm="http://www.w3.org/2001/04/xmlenc#sha256"/>
        <DigestValue>NHH7e9DD6VPVckWQvqD7H/9obN930gGPcqDNsGXoeuU=</DigestValue>
      </Reference>
      <Reference URI="/xl/styles.xml?ContentType=application/vnd.openxmlformats-officedocument.spreadsheetml.styles+xml">
        <DigestMethod Algorithm="http://www.w3.org/2001/04/xmlenc#sha256"/>
        <DigestValue>BhoLUfh/xfTm/+JG8Dm7qOKZ+Dl021zqbegGw7vrr5Q=</DigestValue>
      </Reference>
      <Reference URI="/xl/theme/theme1.xml?ContentType=application/vnd.openxmlformats-officedocument.theme+xml">
        <DigestMethod Algorithm="http://www.w3.org/2001/04/xmlenc#sha256"/>
        <DigestValue>oN9UzXxQfkhQYaC6PedQPrgfbfqMxwHuRHhDm98m37s=</DigestValue>
      </Reference>
      <Reference URI="/xl/workbook.xml?ContentType=application/vnd.openxmlformats-officedocument.spreadsheetml.sheet.main+xml">
        <DigestMethod Algorithm="http://www.w3.org/2001/04/xmlenc#sha256"/>
        <DigestValue>MnjGsvLxWxWvPPKaAMEqqHs+HfO/m3sYwgGQQ1LFGyQ=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PB+rTBQCQcAjOXyoXTuiU8wfJ1Tb2DFtY7QBCp9f8k0=</DigestValue>
      </Reference>
      <Reference URI="/xl/worksheets/sheet10.xml?ContentType=application/vnd.openxmlformats-officedocument.spreadsheetml.worksheet+xml">
        <DigestMethod Algorithm="http://www.w3.org/2001/04/xmlenc#sha256"/>
        <DigestValue>15dVcsbAwMnTHGwA5bSgITfE7Qcg1CuBsNcNvhXUP14=</DigestValue>
      </Reference>
      <Reference URI="/xl/worksheets/sheet11.xml?ContentType=application/vnd.openxmlformats-officedocument.spreadsheetml.worksheet+xml">
        <DigestMethod Algorithm="http://www.w3.org/2001/04/xmlenc#sha256"/>
        <DigestValue>dUB3jPd+1Fv+7ZeJfad28P1GbpHacMMUMoBXYbz58rE=</DigestValue>
      </Reference>
      <Reference URI="/xl/worksheets/sheet12.xml?ContentType=application/vnd.openxmlformats-officedocument.spreadsheetml.worksheet+xml">
        <DigestMethod Algorithm="http://www.w3.org/2001/04/xmlenc#sha256"/>
        <DigestValue>ZfuLms9GUQD43WXRgSR0xegN0hPtzJTqm2fGzQxP2rY=</DigestValue>
      </Reference>
      <Reference URI="/xl/worksheets/sheet13.xml?ContentType=application/vnd.openxmlformats-officedocument.spreadsheetml.worksheet+xml">
        <DigestMethod Algorithm="http://www.w3.org/2001/04/xmlenc#sha256"/>
        <DigestValue>3xKu4DemsV5BbgTfEZ0FGIBwX7t64Q6C5vdjmSv5Cww=</DigestValue>
      </Reference>
      <Reference URI="/xl/worksheets/sheet14.xml?ContentType=application/vnd.openxmlformats-officedocument.spreadsheetml.worksheet+xml">
        <DigestMethod Algorithm="http://www.w3.org/2001/04/xmlenc#sha256"/>
        <DigestValue>MP1Ju3qTFrQm9bNQmWQ9r/VNHDRjjIjtQw5QR5OKMKw=</DigestValue>
      </Reference>
      <Reference URI="/xl/worksheets/sheet15.xml?ContentType=application/vnd.openxmlformats-officedocument.spreadsheetml.worksheet+xml">
        <DigestMethod Algorithm="http://www.w3.org/2001/04/xmlenc#sha256"/>
        <DigestValue>YB3Nn21a/7gkvw9LqCBRP2wXed/OAXKORI40EqswM80=</DigestValue>
      </Reference>
      <Reference URI="/xl/worksheets/sheet16.xml?ContentType=application/vnd.openxmlformats-officedocument.spreadsheetml.worksheet+xml">
        <DigestMethod Algorithm="http://www.w3.org/2001/04/xmlenc#sha256"/>
        <DigestValue>/QgtgeFG4wqziZdU37UzzmKejosjO/wIilcl0wad2OA=</DigestValue>
      </Reference>
      <Reference URI="/xl/worksheets/sheet17.xml?ContentType=application/vnd.openxmlformats-officedocument.spreadsheetml.worksheet+xml">
        <DigestMethod Algorithm="http://www.w3.org/2001/04/xmlenc#sha256"/>
        <DigestValue>XKXwQQBJpc1wDvjhcw1U6KEcGXRrEM3fgQK6hcCTSMI=</DigestValue>
      </Reference>
      <Reference URI="/xl/worksheets/sheet18.xml?ContentType=application/vnd.openxmlformats-officedocument.spreadsheetml.worksheet+xml">
        <DigestMethod Algorithm="http://www.w3.org/2001/04/xmlenc#sha256"/>
        <DigestValue>I3U7r744cuwP5wG548zu/yx/JIu0l4lNJ+hLyopayvk=</DigestValue>
      </Reference>
      <Reference URI="/xl/worksheets/sheet2.xml?ContentType=application/vnd.openxmlformats-officedocument.spreadsheetml.worksheet+xml">
        <DigestMethod Algorithm="http://www.w3.org/2001/04/xmlenc#sha256"/>
        <DigestValue>gvWCEEivoiBbr0CZfYyNBNsov/nKuevE1ROyPUS5ONE=</DigestValue>
      </Reference>
      <Reference URI="/xl/worksheets/sheet3.xml?ContentType=application/vnd.openxmlformats-officedocument.spreadsheetml.worksheet+xml">
        <DigestMethod Algorithm="http://www.w3.org/2001/04/xmlenc#sha256"/>
        <DigestValue>6+qylNdR+tqcsh8gSIOPqGjPWooNb8xFreADE/Id9qI=</DigestValue>
      </Reference>
      <Reference URI="/xl/worksheets/sheet4.xml?ContentType=application/vnd.openxmlformats-officedocument.spreadsheetml.worksheet+xml">
        <DigestMethod Algorithm="http://www.w3.org/2001/04/xmlenc#sha256"/>
        <DigestValue>TOXYnsxaHRR1uJvOpgGYMjjMiqj8ejcm7J+pIqc7KzU=</DigestValue>
      </Reference>
      <Reference URI="/xl/worksheets/sheet5.xml?ContentType=application/vnd.openxmlformats-officedocument.spreadsheetml.worksheet+xml">
        <DigestMethod Algorithm="http://www.w3.org/2001/04/xmlenc#sha256"/>
        <DigestValue>HgETvpJgk8cAXF5463lwZgWI+Vk3KdPMSl6R72bfFGw=</DigestValue>
      </Reference>
      <Reference URI="/xl/worksheets/sheet6.xml?ContentType=application/vnd.openxmlformats-officedocument.spreadsheetml.worksheet+xml">
        <DigestMethod Algorithm="http://www.w3.org/2001/04/xmlenc#sha256"/>
        <DigestValue>UEUXsQMdq26BiUBj8lWbhOsHjwOWfbaEivxPQMGLyLY=</DigestValue>
      </Reference>
      <Reference URI="/xl/worksheets/sheet7.xml?ContentType=application/vnd.openxmlformats-officedocument.spreadsheetml.worksheet+xml">
        <DigestMethod Algorithm="http://www.w3.org/2001/04/xmlenc#sha256"/>
        <DigestValue>oD+QlLHbin4OFitGYoI60lx1ey4W2WFRIhOsm1vcaZ8=</DigestValue>
      </Reference>
      <Reference URI="/xl/worksheets/sheet8.xml?ContentType=application/vnd.openxmlformats-officedocument.spreadsheetml.worksheet+xml">
        <DigestMethod Algorithm="http://www.w3.org/2001/04/xmlenc#sha256"/>
        <DigestValue>ReYkIaMEjXrLgoOQnItAulldS7chhWWcTiLjrDkDf5g=</DigestValue>
      </Reference>
      <Reference URI="/xl/worksheets/sheet9.xml?ContentType=application/vnd.openxmlformats-officedocument.spreadsheetml.worksheet+xml">
        <DigestMethod Algorithm="http://www.w3.org/2001/04/xmlenc#sha256"/>
        <DigestValue>hSm8jarG22YEDCcRqv01Us9xL6Hi3L6dYtqnhFegAMs=</DigestValue>
      </Reference>
    </Manifest>
    <SignatureProperties>
      <SignatureProperty Id="idSignatureTime" Target="#idPackageSignature">
        <mdssi:SignatureTime xmlns:mdssi="http://schemas.openxmlformats.org/package/2006/digital-signature">
          <mdssi:Format>YYYY-MM-DDThh:mm:ssTZD</mdssi:Format>
          <mdssi:Value>2021-02-01T06:21:37Z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2021-02-01T06:21:37Z</xd:SigningTime>
          <xd:SigningCertificate>
            <xd:Cert>
              <xd:CertDigest>
                <DigestMethod Algorithm="http://www.w3.org/2001/04/xmlenc#sha256"/>
                <DigestValue>VQYYDZ0JoHTN0GJ2qq1DwPUkycbicwdZJzjQx2KJdR8=</DigestValue>
              </xd:CertDigest>
              <xd:IssuerSerial>
                <X509IssuerName>CN=NBG Class 2 INT Sub CA, DC=nbg, DC=ge</X509IssuerName>
                <X509SerialNumber>539005473035070780543050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Davit Sarajishvili</dc:creator>
  <cp:lastModifiedBy>Natia Benashvili</cp:lastModifiedBy>
  <cp:lastPrinted>2021-01-29T13:33:02Z</cp:lastPrinted>
  <dcterms:created xsi:type="dcterms:W3CDTF">2021-01-28T14:02:36Z</dcterms:created>
  <dcterms:modified xsi:type="dcterms:W3CDTF">2021-02-01T06:15:20Z</dcterms:modified>
</cp:coreProperties>
</file>