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03\FinanceDep\NBG\Monthly Reports\2020\03\Reports\"/>
    </mc:Choice>
  </mc:AlternateContent>
  <bookViews>
    <workbookView xWindow="0" yWindow="0" windowWidth="20490" windowHeight="5355"/>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[2]Validation!$C$8:$C$15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#REF!</definedName>
    <definedName name="Date" hidden="1">'[1]Appl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[4]Sheet2!$H$5:$H$31</definedName>
    <definedName name="sub">[2]Validation!$D$8:$D$9</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6" i="18"/>
  <c r="C18" i="18"/>
  <c r="C8" i="18"/>
  <c r="C36" i="18" s="1"/>
  <c r="C38" i="18" s="1"/>
  <c r="B2" i="18"/>
  <c r="B1" i="18"/>
  <c r="E19" i="17"/>
  <c r="E18" i="17"/>
  <c r="E17" i="17"/>
  <c r="E16" i="17"/>
  <c r="E15" i="17"/>
  <c r="E14" i="17"/>
  <c r="C14" i="17"/>
  <c r="E12" i="17"/>
  <c r="E11" i="17"/>
  <c r="E10" i="17"/>
  <c r="E7" i="17" s="1"/>
  <c r="E21" i="17" s="1"/>
  <c r="C11" i="9" s="1"/>
  <c r="E9" i="17"/>
  <c r="E8" i="17"/>
  <c r="C7" i="17"/>
  <c r="C21" i="17" s="1"/>
  <c r="B2" i="17"/>
  <c r="B1" i="17"/>
  <c r="K23" i="16"/>
  <c r="J23" i="16"/>
  <c r="I23" i="16"/>
  <c r="I25" i="16" s="1"/>
  <c r="H23" i="16"/>
  <c r="G23" i="16"/>
  <c r="F23" i="16"/>
  <c r="J21" i="16"/>
  <c r="K21" i="16" s="1"/>
  <c r="I21" i="16"/>
  <c r="H21" i="16"/>
  <c r="G21" i="16"/>
  <c r="F21" i="16"/>
  <c r="D21" i="16"/>
  <c r="C21" i="16"/>
  <c r="E21" i="16" s="1"/>
  <c r="K20" i="16"/>
  <c r="H20" i="16"/>
  <c r="E20" i="16"/>
  <c r="K19" i="16"/>
  <c r="H19" i="16"/>
  <c r="E19" i="16"/>
  <c r="K18" i="16"/>
  <c r="H18" i="16"/>
  <c r="E18" i="16"/>
  <c r="J16" i="16"/>
  <c r="J24" i="16" s="1"/>
  <c r="I16" i="16"/>
  <c r="I24" i="16" s="1"/>
  <c r="G16" i="16"/>
  <c r="G24" i="16" s="1"/>
  <c r="F16" i="16"/>
  <c r="F24" i="16" s="1"/>
  <c r="D16" i="16"/>
  <c r="E16" i="16" s="1"/>
  <c r="C16" i="16"/>
  <c r="K15" i="16"/>
  <c r="H15" i="16"/>
  <c r="E15" i="16"/>
  <c r="K14" i="16"/>
  <c r="H14" i="16"/>
  <c r="E14" i="16"/>
  <c r="K13" i="16"/>
  <c r="H13" i="16"/>
  <c r="E13" i="16"/>
  <c r="K12" i="16"/>
  <c r="H12" i="16"/>
  <c r="E12" i="16"/>
  <c r="K11" i="16"/>
  <c r="H11" i="16"/>
  <c r="E11" i="16"/>
  <c r="K10" i="16"/>
  <c r="H10" i="16"/>
  <c r="E10" i="16"/>
  <c r="E22" i="15"/>
  <c r="D22" i="15"/>
  <c r="C22" i="15"/>
  <c r="F18" i="15"/>
  <c r="F14" i="15"/>
  <c r="G11" i="15"/>
  <c r="H11" i="15" s="1"/>
  <c r="F10" i="15"/>
  <c r="B2" i="15"/>
  <c r="B1" i="15"/>
  <c r="U21" i="14"/>
  <c r="T21" i="14"/>
  <c r="S21" i="14"/>
  <c r="R21" i="14"/>
  <c r="Q21" i="14"/>
  <c r="P21" i="14"/>
  <c r="O21" i="14"/>
  <c r="N21" i="14"/>
  <c r="M21" i="14"/>
  <c r="L21" i="14"/>
  <c r="K21" i="14"/>
  <c r="J21" i="14"/>
  <c r="I21" i="14"/>
  <c r="H21" i="14"/>
  <c r="G21" i="14"/>
  <c r="F21" i="14"/>
  <c r="E21" i="14"/>
  <c r="D21" i="14"/>
  <c r="C21" i="14"/>
  <c r="V20" i="14"/>
  <c r="D20" i="14"/>
  <c r="V19" i="14"/>
  <c r="D19" i="14"/>
  <c r="D18" i="14"/>
  <c r="V18" i="14" s="1"/>
  <c r="G19" i="15" s="1"/>
  <c r="H19" i="15" s="1"/>
  <c r="V17" i="14"/>
  <c r="D17" i="14"/>
  <c r="D16" i="14"/>
  <c r="V16" i="14" s="1"/>
  <c r="V15" i="14"/>
  <c r="D15" i="14"/>
  <c r="D14" i="14"/>
  <c r="V14" i="14" s="1"/>
  <c r="G15" i="15" s="1"/>
  <c r="H15" i="15" s="1"/>
  <c r="V13" i="14"/>
  <c r="D13" i="14"/>
  <c r="D12" i="14"/>
  <c r="V12" i="14" s="1"/>
  <c r="V11" i="14"/>
  <c r="D11" i="14"/>
  <c r="V10" i="14"/>
  <c r="D10" i="14"/>
  <c r="V9" i="14"/>
  <c r="D9" i="14"/>
  <c r="V8" i="14"/>
  <c r="D8" i="14"/>
  <c r="V7" i="14"/>
  <c r="D7" i="14"/>
  <c r="B2" i="14"/>
  <c r="B1" i="14"/>
  <c r="R22" i="13"/>
  <c r="Q22" i="13"/>
  <c r="P22" i="13"/>
  <c r="O22" i="13"/>
  <c r="N22" i="13"/>
  <c r="M22" i="13"/>
  <c r="L22" i="13"/>
  <c r="K22" i="13"/>
  <c r="J22" i="13"/>
  <c r="I22" i="13"/>
  <c r="H22" i="13"/>
  <c r="G22" i="13"/>
  <c r="F22" i="13"/>
  <c r="E22" i="13"/>
  <c r="D22" i="13"/>
  <c r="C22" i="13"/>
  <c r="S21" i="13"/>
  <c r="G21" i="15" s="1"/>
  <c r="H21" i="15" s="1"/>
  <c r="S20" i="13"/>
  <c r="G20" i="15" s="1"/>
  <c r="H20" i="15" s="1"/>
  <c r="S19" i="13"/>
  <c r="F19" i="15" s="1"/>
  <c r="S18" i="13"/>
  <c r="G18" i="15" s="1"/>
  <c r="H18" i="15" s="1"/>
  <c r="S17" i="13"/>
  <c r="S16" i="13"/>
  <c r="G16" i="15" s="1"/>
  <c r="H16" i="15" s="1"/>
  <c r="S15" i="13"/>
  <c r="F15" i="15" s="1"/>
  <c r="S14" i="13"/>
  <c r="G14" i="15" s="1"/>
  <c r="H14" i="15" s="1"/>
  <c r="S13" i="13"/>
  <c r="G13" i="15" s="1"/>
  <c r="H13" i="15" s="1"/>
  <c r="S12" i="13"/>
  <c r="G12" i="15" s="1"/>
  <c r="H12" i="15" s="1"/>
  <c r="S11" i="13"/>
  <c r="F11" i="15" s="1"/>
  <c r="S10" i="13"/>
  <c r="G10" i="15" s="1"/>
  <c r="H10" i="15" s="1"/>
  <c r="S9" i="13"/>
  <c r="G9" i="15" s="1"/>
  <c r="H9" i="15" s="1"/>
  <c r="S8" i="13"/>
  <c r="G8" i="15" s="1"/>
  <c r="B2" i="13"/>
  <c r="B1" i="13"/>
  <c r="C43" i="12"/>
  <c r="C39" i="12"/>
  <c r="C33" i="12"/>
  <c r="C29" i="12"/>
  <c r="C23" i="12"/>
  <c r="B2" i="12"/>
  <c r="B1" i="12"/>
  <c r="C21" i="11"/>
  <c r="C20" i="11"/>
  <c r="B16" i="2" s="1"/>
  <c r="C19" i="11"/>
  <c r="D19" i="11" s="1"/>
  <c r="B2" i="11"/>
  <c r="B1" i="11"/>
  <c r="C47" i="10"/>
  <c r="C43" i="10"/>
  <c r="C52" i="10" s="1"/>
  <c r="C35" i="10"/>
  <c r="C31" i="10"/>
  <c r="C30" i="10"/>
  <c r="C41" i="10" s="1"/>
  <c r="C12" i="10"/>
  <c r="C6" i="10"/>
  <c r="C28" i="10" s="1"/>
  <c r="B2" i="10"/>
  <c r="B1" i="10"/>
  <c r="B2" i="9"/>
  <c r="B1" i="9"/>
  <c r="D19" i="8"/>
  <c r="D21" i="8" s="1"/>
  <c r="B2" i="8"/>
  <c r="B1" i="8"/>
  <c r="B2" i="7"/>
  <c r="B1" i="7"/>
  <c r="D6" i="6"/>
  <c r="D13" i="6" s="1"/>
  <c r="C6" i="6"/>
  <c r="C13" i="6" s="1"/>
  <c r="B2" i="6"/>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E33" i="5"/>
  <c r="H32" i="5"/>
  <c r="E32" i="5"/>
  <c r="D32" i="5"/>
  <c r="C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D14" i="5"/>
  <c r="C14" i="5"/>
  <c r="E14" i="5" s="1"/>
  <c r="H13" i="5"/>
  <c r="E13" i="5"/>
  <c r="H12" i="5"/>
  <c r="E12" i="5"/>
  <c r="H11" i="5"/>
  <c r="E11" i="5"/>
  <c r="H10" i="5"/>
  <c r="E10" i="5"/>
  <c r="H9" i="5"/>
  <c r="E9" i="5"/>
  <c r="H8" i="5"/>
  <c r="E8" i="5"/>
  <c r="H7" i="5"/>
  <c r="D7" i="5"/>
  <c r="C7" i="5"/>
  <c r="E7" i="5" s="1"/>
  <c r="B2" i="5"/>
  <c r="B1" i="5"/>
  <c r="H66" i="4"/>
  <c r="E66" i="4"/>
  <c r="H64" i="4"/>
  <c r="E64" i="4"/>
  <c r="F61" i="4"/>
  <c r="H61" i="4" s="1"/>
  <c r="C61" i="4"/>
  <c r="E61" i="4" s="1"/>
  <c r="H60" i="4"/>
  <c r="E60" i="4"/>
  <c r="H59" i="4"/>
  <c r="E59" i="4"/>
  <c r="H58" i="4"/>
  <c r="E58" i="4"/>
  <c r="G53" i="4"/>
  <c r="F53" i="4"/>
  <c r="D53" i="4"/>
  <c r="C53" i="4"/>
  <c r="E53" i="4" s="1"/>
  <c r="H52" i="4"/>
  <c r="E52" i="4"/>
  <c r="H51" i="4"/>
  <c r="E51" i="4"/>
  <c r="H50" i="4"/>
  <c r="E50" i="4"/>
  <c r="H49" i="4"/>
  <c r="E49" i="4"/>
  <c r="H48" i="4"/>
  <c r="E48" i="4"/>
  <c r="H47" i="4"/>
  <c r="E47" i="4"/>
  <c r="H44" i="4"/>
  <c r="E44" i="4"/>
  <c r="H43" i="4"/>
  <c r="E43" i="4"/>
  <c r="H42" i="4"/>
  <c r="E42" i="4"/>
  <c r="H41" i="4"/>
  <c r="E41" i="4"/>
  <c r="H40" i="4"/>
  <c r="E40" i="4"/>
  <c r="H39" i="4"/>
  <c r="E39" i="4"/>
  <c r="H38" i="4"/>
  <c r="E38" i="4"/>
  <c r="H37" i="4"/>
  <c r="E37" i="4"/>
  <c r="H36" i="4"/>
  <c r="E36" i="4"/>
  <c r="H35" i="4"/>
  <c r="E35" i="4"/>
  <c r="G34" i="4"/>
  <c r="G45" i="4" s="1"/>
  <c r="F34" i="4"/>
  <c r="F45" i="4" s="1"/>
  <c r="D34" i="4"/>
  <c r="D45" i="4" s="1"/>
  <c r="D54" i="4" s="1"/>
  <c r="C34" i="4"/>
  <c r="G30" i="4"/>
  <c r="F30" i="4"/>
  <c r="H30" i="4" s="1"/>
  <c r="D30" i="4"/>
  <c r="C30" i="4"/>
  <c r="E30" i="4" s="1"/>
  <c r="H29" i="4"/>
  <c r="E29" i="4"/>
  <c r="H28" i="4"/>
  <c r="E28" i="4"/>
  <c r="H27" i="4"/>
  <c r="E27" i="4"/>
  <c r="H26" i="4"/>
  <c r="E26" i="4"/>
  <c r="H25" i="4"/>
  <c r="E25" i="4"/>
  <c r="H24" i="4"/>
  <c r="E24" i="4"/>
  <c r="H21" i="4"/>
  <c r="E21" i="4"/>
  <c r="H20" i="4"/>
  <c r="E20" i="4"/>
  <c r="H19" i="4"/>
  <c r="E19" i="4"/>
  <c r="H18" i="4"/>
  <c r="E18" i="4"/>
  <c r="H17" i="4"/>
  <c r="E17" i="4"/>
  <c r="H16" i="4"/>
  <c r="E16" i="4"/>
  <c r="H15" i="4"/>
  <c r="E15" i="4"/>
  <c r="H14" i="4"/>
  <c r="E14" i="4"/>
  <c r="H13" i="4"/>
  <c r="E13" i="4"/>
  <c r="H12" i="4"/>
  <c r="E12" i="4"/>
  <c r="H11" i="4"/>
  <c r="E11" i="4"/>
  <c r="H10" i="4"/>
  <c r="E10" i="4"/>
  <c r="G9" i="4"/>
  <c r="G22" i="4" s="1"/>
  <c r="G31" i="4" s="1"/>
  <c r="F9" i="4"/>
  <c r="F22" i="4" s="1"/>
  <c r="D9" i="4"/>
  <c r="D22" i="4" s="1"/>
  <c r="D31" i="4" s="1"/>
  <c r="C9" i="4"/>
  <c r="H8" i="4"/>
  <c r="E8" i="4"/>
  <c r="B2" i="4"/>
  <c r="B1" i="4"/>
  <c r="G41" i="3"/>
  <c r="C41" i="3"/>
  <c r="H40" i="3"/>
  <c r="E40" i="3"/>
  <c r="H39" i="3"/>
  <c r="E39" i="3"/>
  <c r="C44" i="12" s="1"/>
  <c r="H38" i="3"/>
  <c r="E38" i="3"/>
  <c r="H37" i="3"/>
  <c r="E37" i="3"/>
  <c r="C42" i="12" s="1"/>
  <c r="H36" i="3"/>
  <c r="E36" i="3"/>
  <c r="C41" i="12" s="1"/>
  <c r="H35" i="3"/>
  <c r="E35" i="3"/>
  <c r="C40" i="12" s="1"/>
  <c r="H34" i="3"/>
  <c r="E34" i="3"/>
  <c r="H33" i="3"/>
  <c r="E33" i="3"/>
  <c r="C38" i="12" s="1"/>
  <c r="G31" i="3"/>
  <c r="F31" i="3"/>
  <c r="F41" i="3" s="1"/>
  <c r="E31" i="3"/>
  <c r="C33" i="2" s="1"/>
  <c r="D31" i="3"/>
  <c r="D41" i="3" s="1"/>
  <c r="C31" i="3"/>
  <c r="H30" i="3"/>
  <c r="E30" i="3"/>
  <c r="C35" i="12" s="1"/>
  <c r="H29" i="3"/>
  <c r="E29" i="3"/>
  <c r="H28" i="3"/>
  <c r="E28" i="3"/>
  <c r="C32" i="12" s="1"/>
  <c r="H27" i="3"/>
  <c r="E27" i="3"/>
  <c r="C31" i="12" s="1"/>
  <c r="H26" i="3"/>
  <c r="E26" i="3"/>
  <c r="C30" i="12" s="1"/>
  <c r="H25" i="3"/>
  <c r="E25" i="3"/>
  <c r="H24" i="3"/>
  <c r="E24" i="3"/>
  <c r="H23" i="3"/>
  <c r="E23" i="3"/>
  <c r="C27" i="12" s="1"/>
  <c r="H22" i="3"/>
  <c r="E22" i="3"/>
  <c r="C26" i="12" s="1"/>
  <c r="H19" i="3"/>
  <c r="E19" i="3"/>
  <c r="H18" i="3"/>
  <c r="E18" i="3"/>
  <c r="C19" i="8" s="1"/>
  <c r="E19" i="8" s="1"/>
  <c r="H17" i="3"/>
  <c r="E17" i="3"/>
  <c r="H16" i="3"/>
  <c r="E16" i="3"/>
  <c r="C17" i="12" s="1"/>
  <c r="H15" i="3"/>
  <c r="E15" i="3"/>
  <c r="G14" i="3"/>
  <c r="G20" i="3" s="1"/>
  <c r="F14" i="3"/>
  <c r="H14" i="3" s="1"/>
  <c r="E14" i="3"/>
  <c r="C15" i="8" s="1"/>
  <c r="E15" i="8" s="1"/>
  <c r="D14" i="3"/>
  <c r="D20" i="3" s="1"/>
  <c r="C14" i="3"/>
  <c r="C20" i="3" s="1"/>
  <c r="E20" i="3" s="1"/>
  <c r="H13" i="3"/>
  <c r="E13" i="3"/>
  <c r="H12" i="3"/>
  <c r="E12" i="3"/>
  <c r="C11" i="12" s="1"/>
  <c r="H11" i="3"/>
  <c r="E11" i="3"/>
  <c r="H10" i="3"/>
  <c r="E10" i="3"/>
  <c r="C11" i="8" s="1"/>
  <c r="E11" i="8" s="1"/>
  <c r="H9" i="3"/>
  <c r="E9" i="3"/>
  <c r="H8" i="3"/>
  <c r="E8" i="3"/>
  <c r="C7" i="12" s="1"/>
  <c r="H7" i="3"/>
  <c r="E7" i="3"/>
  <c r="B2" i="3"/>
  <c r="B1" i="3"/>
  <c r="C36" i="2"/>
  <c r="C28" i="2"/>
  <c r="C17" i="2"/>
  <c r="B17" i="2"/>
  <c r="C16" i="2"/>
  <c r="C15" i="2"/>
  <c r="B15" i="2"/>
  <c r="D5" i="2"/>
  <c r="C5" i="2"/>
  <c r="C5" i="6" s="1"/>
  <c r="C29" i="2" l="1"/>
  <c r="C28" i="12"/>
  <c r="C34" i="2"/>
  <c r="H45" i="4"/>
  <c r="F54" i="4"/>
  <c r="V21" i="14"/>
  <c r="F25" i="16"/>
  <c r="J25" i="16"/>
  <c r="C37" i="12"/>
  <c r="C16" i="8"/>
  <c r="E16" i="8" s="1"/>
  <c r="C16" i="12"/>
  <c r="C24" i="12"/>
  <c r="C20" i="8"/>
  <c r="E20" i="8" s="1"/>
  <c r="D5" i="6"/>
  <c r="E5" i="2"/>
  <c r="F5" i="2" s="1"/>
  <c r="G5" i="2" s="1"/>
  <c r="C6" i="12"/>
  <c r="C8" i="8"/>
  <c r="C10" i="8"/>
  <c r="E10" i="8" s="1"/>
  <c r="C8" i="12"/>
  <c r="C10" i="12"/>
  <c r="C12" i="8"/>
  <c r="E12" i="8" s="1"/>
  <c r="C12" i="12"/>
  <c r="C27" i="2"/>
  <c r="C14" i="8"/>
  <c r="E14" i="8" s="1"/>
  <c r="D56" i="4"/>
  <c r="D63" i="4" s="1"/>
  <c r="D65" i="4" s="1"/>
  <c r="D67" i="4" s="1"/>
  <c r="G54" i="4"/>
  <c r="G56" i="4" s="1"/>
  <c r="G63" i="4" s="1"/>
  <c r="G65" i="4" s="1"/>
  <c r="G67" i="4" s="1"/>
  <c r="H53" i="4"/>
  <c r="D21" i="11"/>
  <c r="G25" i="16"/>
  <c r="C15" i="12"/>
  <c r="H8" i="15"/>
  <c r="C18" i="12"/>
  <c r="C18" i="8"/>
  <c r="E18" i="8" s="1"/>
  <c r="H41" i="3"/>
  <c r="C22" i="4"/>
  <c r="E9" i="4"/>
  <c r="C45" i="12"/>
  <c r="E41" i="3"/>
  <c r="H22" i="4"/>
  <c r="F31" i="4"/>
  <c r="C45" i="4"/>
  <c r="E34" i="4"/>
  <c r="D15" i="11"/>
  <c r="D9" i="11"/>
  <c r="D11" i="11"/>
  <c r="D13" i="11"/>
  <c r="D8" i="11"/>
  <c r="D17" i="11"/>
  <c r="D12" i="11"/>
  <c r="D7" i="11"/>
  <c r="D16" i="11"/>
  <c r="G17" i="15"/>
  <c r="H17" i="15" s="1"/>
  <c r="F20" i="3"/>
  <c r="H20" i="3" s="1"/>
  <c r="H9" i="4"/>
  <c r="H34" i="4"/>
  <c r="D20" i="11"/>
  <c r="C9" i="12"/>
  <c r="C22" i="12"/>
  <c r="F9" i="15"/>
  <c r="F13" i="15"/>
  <c r="F17" i="15"/>
  <c r="F21" i="15"/>
  <c r="K16" i="16"/>
  <c r="K24" i="16" s="1"/>
  <c r="K25" i="16" s="1"/>
  <c r="C9" i="8"/>
  <c r="E9" i="8" s="1"/>
  <c r="C13" i="8"/>
  <c r="E13" i="8" s="1"/>
  <c r="C17" i="8"/>
  <c r="E17" i="8" s="1"/>
  <c r="F8" i="15"/>
  <c r="F22" i="15" s="1"/>
  <c r="F12" i="15"/>
  <c r="F16" i="15"/>
  <c r="F20" i="15"/>
  <c r="H16" i="16"/>
  <c r="H24" i="16" s="1"/>
  <c r="C37" i="2" s="1"/>
  <c r="C38" i="2" s="1"/>
  <c r="H31" i="3"/>
  <c r="S22" i="13"/>
  <c r="C31" i="4" l="1"/>
  <c r="E22" i="4"/>
  <c r="G22" i="15"/>
  <c r="C21" i="8"/>
  <c r="E8" i="8"/>
  <c r="E21" i="8" s="1"/>
  <c r="C5" i="9" s="1"/>
  <c r="C8" i="9" s="1"/>
  <c r="C13" i="9" s="1"/>
  <c r="F56" i="4"/>
  <c r="H31" i="4"/>
  <c r="H25" i="16"/>
  <c r="C54" i="4"/>
  <c r="E54" i="4" s="1"/>
  <c r="E45" i="4"/>
  <c r="C25" i="12"/>
  <c r="H54" i="4"/>
  <c r="F63" i="4" l="1"/>
  <c r="H56" i="4"/>
  <c r="H22" i="15"/>
  <c r="C56" i="4"/>
  <c r="E31" i="4"/>
  <c r="E56" i="4" l="1"/>
  <c r="C63" i="4"/>
  <c r="F65" i="4"/>
  <c r="H63" i="4"/>
  <c r="C65" i="4" l="1"/>
  <c r="E63" i="4"/>
  <c r="F67" i="4"/>
  <c r="H67" i="4" s="1"/>
  <c r="H65" i="4"/>
  <c r="E65" i="4" l="1"/>
  <c r="C67" i="4"/>
  <c r="E67" i="4" s="1"/>
</calcChain>
</file>

<file path=xl/sharedStrings.xml><?xml version="1.0" encoding="utf-8"?>
<sst xmlns="http://schemas.openxmlformats.org/spreadsheetml/2006/main" count="737" uniqueCount="510">
  <si>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</si>
  <si>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</si>
  <si>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</si>
  <si>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</si>
  <si>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</si>
  <si>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</si>
  <si>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</si>
  <si>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</si>
  <si>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</si>
  <si>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</si>
  <si>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</si>
  <si>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</si>
  <si>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</si>
  <si>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</si>
  <si>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</si>
  <si>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</si>
  <si>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</si>
  <si>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</si>
  <si>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</si>
  <si>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</si>
  <si>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</si>
  <si>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</si>
  <si>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</si>
  <si>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</si>
  <si>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</si>
  <si>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</si>
  <si>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</si>
  <si>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</si>
  <si>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</si>
  <si>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</si>
  <si>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</si>
  <si>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</si>
  <si>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</si>
  <si>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</si>
  <si>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</si>
  <si>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</si>
  <si>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</si>
  <si>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</si>
  <si>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</si>
  <si>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</si>
  <si>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</si>
  <si>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</si>
  <si>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</si>
  <si>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</si>
  <si>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</si>
  <si>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</si>
  <si>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</si>
  <si>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</si>
  <si>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</si>
  <si>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</si>
  <si>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</si>
  <si>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</si>
  <si>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</si>
  <si>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</si>
  <si>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</si>
  <si>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</si>
  <si>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</si>
  <si>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</si>
  <si>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</si>
  <si>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</si>
  <si>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</si>
  <si>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</si>
  <si>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</si>
  <si>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</si>
  <si>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</si>
  <si>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</si>
  <si>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</si>
  <si>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</si>
  <si>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</si>
  <si>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</si>
  <si>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</si>
  <si>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</si>
  <si>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</si>
  <si>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</si>
  <si>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</si>
  <si>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</si>
  <si>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</si>
  <si>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</si>
  <si>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</si>
  <si>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</si>
  <si>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</si>
  <si>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</si>
  <si>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</si>
  <si>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</si>
  <si>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</si>
  <si>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</si>
  <si>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</si>
  <si>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</si>
  <si>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</si>
  <si>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</si>
  <si>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</si>
  <si>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</si>
  <si>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</si>
  <si>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</si>
  <si>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</si>
  <si>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</si>
  <si>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</si>
  <si>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</si>
  <si>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</si>
  <si>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</si>
  <si>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</si>
  <si>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</si>
  <si>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</si>
  <si>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</si>
  <si>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</si>
  <si>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</si>
  <si>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</si>
  <si>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</si>
  <si>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</si>
  <si>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</si>
  <si>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</si>
  <si>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</si>
  <si>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</si>
  <si>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</si>
  <si>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</si>
  <si>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</si>
  <si>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</si>
  <si>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</si>
  <si>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</si>
  <si>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</si>
  <si>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</si>
  <si>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</si>
  <si>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</si>
  <si>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</si>
  <si>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</si>
  <si>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</si>
  <si>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</si>
  <si>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</si>
  <si>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</si>
  <si>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</si>
  <si>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</si>
  <si>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</si>
  <si>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</si>
  <si>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</si>
  <si>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</si>
  <si>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</si>
  <si>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</si>
  <si>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</si>
  <si>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</si>
  <si>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</si>
  <si>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</si>
  <si>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</si>
  <si>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</si>
  <si>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</si>
  <si>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</si>
  <si>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</si>
  <si>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</si>
  <si>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</si>
  <si>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</si>
  <si>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</si>
  <si>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</si>
  <si>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</si>
  <si>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</si>
  <si>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</si>
  <si>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</si>
  <si>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</si>
  <si>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</si>
  <si>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</si>
  <si>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</si>
  <si>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</si>
  <si>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</si>
  <si>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</si>
  <si>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</si>
  <si>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</si>
  <si>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</si>
  <si>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</si>
  <si>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</si>
  <si>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</si>
  <si>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</si>
  <si>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</si>
  <si>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</si>
  <si>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</si>
  <si>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</si>
  <si>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</si>
  <si>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</si>
  <si>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</si>
  <si>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</si>
  <si>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</si>
  <si>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</si>
  <si>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</si>
  <si>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</si>
  <si>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</si>
  <si>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</si>
  <si>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</si>
  <si>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</si>
  <si>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</si>
  <si>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</si>
  <si>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</si>
  <si>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</si>
  <si>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</si>
  <si>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</si>
  <si>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</si>
  <si>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</si>
  <si>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</si>
  <si>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</si>
  <si>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</si>
  <si>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</si>
  <si>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</si>
  <si>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</si>
  <si>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</si>
  <si>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</si>
  <si>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</si>
  <si>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</si>
  <si>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</si>
  <si>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</si>
  <si>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</si>
  <si>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</si>
  <si>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</si>
  <si>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</si>
  <si>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</si>
  <si>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</si>
  <si>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</si>
  <si>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</si>
  <si>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</si>
  <si>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</si>
  <si>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</si>
  <si>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</si>
  <si>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</si>
  <si>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</si>
  <si>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</si>
  <si>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</si>
  <si>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</si>
  <si>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</si>
  <si>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</si>
  <si>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</si>
  <si>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 *</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</si>
  <si>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</si>
  <si>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</si>
  <si>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</si>
  <si>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</si>
  <si>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</si>
  <si>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</si>
  <si>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</si>
  <si>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</si>
  <si>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</si>
  <si>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</si>
  <si>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</si>
  <si>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</si>
  <si>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</si>
  <si>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</si>
  <si>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ნანა მიქაშავიძე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</si>
  <si>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</si>
  <si>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</si>
  <si>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</si>
  <si>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</si>
  <si>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</si>
  <si>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</si>
  <si>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ზურაბ აზარაშვილი (კომერციული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</si>
  <si>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</si>
  <si>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</si>
  <si>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</si>
  <si>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</si>
  <si>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</si>
  <si>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</si>
  <si>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</si>
  <si>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</si>
  <si>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</si>
  <si>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</si>
  <si>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</si>
  <si>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</si>
  <si>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</si>
  <si>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</si>
  <si>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</si>
  <si>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</si>
  <si>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</si>
  <si>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</si>
  <si>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</si>
  <si>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</si>
  <si>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</si>
  <si>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</si>
  <si>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</si>
  <si>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</si>
  <si>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</si>
  <si>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</si>
  <si>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</si>
  <si>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</si>
  <si>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</si>
  <si>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</si>
  <si>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</si>
  <si>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</si>
  <si>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</si>
  <si>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</si>
  <si>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</si>
  <si>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</si>
  <si>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</si>
  <si>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</si>
  <si>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</si>
  <si>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</si>
  <si>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</si>
  <si>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</si>
  <si>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</si>
  <si>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</si>
  <si>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</si>
  <si>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</si>
  <si>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</si>
  <si>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</si>
  <si>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</si>
  <si>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</si>
  <si>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</si>
  <si>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</si>
  <si>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</si>
  <si>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</si>
  <si>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</si>
  <si>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</si>
  <si>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</si>
  <si>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</si>
  <si>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</si>
  <si>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</si>
  <si>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</si>
  <si>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</si>
  <si>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</si>
  <si>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</si>
  <si>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</si>
  <si>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</si>
  <si>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</si>
  <si>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</si>
  <si>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</si>
  <si>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</si>
  <si>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</si>
  <si>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</si>
  <si>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</si>
  <si>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</si>
  <si>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</si>
  <si>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</si>
  <si>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</si>
  <si>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</si>
  <si>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</si>
  <si>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</si>
  <si>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</si>
  <si>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</si>
  <si>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</si>
  <si>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</si>
  <si>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</si>
  <si>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</si>
  <si>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</si>
  <si>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</si>
  <si>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</si>
  <si>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</si>
  <si>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</si>
  <si>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</si>
  <si>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</si>
  <si>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</si>
  <si>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</si>
  <si>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</si>
  <si>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</si>
  <si>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</si>
  <si>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</si>
  <si>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</si>
  <si>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</si>
  <si>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</si>
  <si>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</si>
  <si>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</si>
  <si>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</si>
  <si>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</si>
  <si>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</si>
  <si>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6.2.2</t>
  </si>
  <si>
    <t>მათ შორის COVID 19-თან დაკავშირებული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</si>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</sst>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8" fillId="0" borderId="71"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95">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6" fontId="0" fillId="0" borderId="0" xfId="1" applyNumberFormat="1" applyFont="1"/>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0" fontId="0" fillId="0" borderId="0" xfId="2" applyNumberFormat="1" applyFont="1"/>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165" fontId="8" fillId="0" borderId="1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10" fontId="8" fillId="0" borderId="14" xfId="2" applyNumberFormat="1" applyFont="1" applyFill="1" applyBorder="1" applyAlignment="1" applyProtection="1">
      <alignment vertical="center"/>
    </xf>
    <xf numFmtId="0" fontId="8" fillId="4" borderId="0" xfId="0" applyFont="1" applyFill="1" applyBorder="1" applyAlignment="1">
      <alignment horizontal="right" vertical="center"/>
    </xf>
    <xf numFmtId="165" fontId="8" fillId="0" borderId="0" xfId="0" applyNumberFormat="1" applyFont="1" applyFill="1" applyBorder="1" applyAlignment="1" applyProtection="1">
      <alignment vertical="center"/>
      <protection locked="0"/>
    </xf>
    <xf numFmtId="10" fontId="8" fillId="0" borderId="0" xfId="2" applyNumberFormat="1" applyFont="1" applyFill="1" applyBorder="1" applyAlignment="1" applyProtection="1">
      <alignment vertical="center"/>
    </xf>
    <xf numFmtId="0" fontId="8" fillId="0" borderId="0" xfId="0" applyFont="1" applyAlignment="1">
      <alignment horizontal="right"/>
    </xf>
    <xf numFmtId="0" fontId="3" fillId="0" borderId="0" xfId="0" applyFont="1" applyAlignment="1">
      <alignment wrapText="1"/>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3" fontId="29" fillId="0" borderId="1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3" fontId="29" fillId="0" borderId="1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14"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6" fillId="0" borderId="0" xfId="0" applyFont="1"/>
    <xf numFmtId="14" fontId="6"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19" xfId="0" applyFont="1" applyBorder="1" applyAlignment="1">
      <alignment wrapText="1"/>
    </xf>
    <xf numFmtId="0" fontId="6" fillId="0" borderId="27" xfId="0" applyFont="1" applyBorder="1" applyAlignment="1"/>
    <xf numFmtId="0" fontId="8" fillId="0" borderId="27" xfId="0" applyFont="1" applyBorder="1" applyAlignment="1">
      <alignment wrapText="1"/>
    </xf>
    <xf numFmtId="0" fontId="8" fillId="0" borderId="9" xfId="0" applyFont="1" applyBorder="1" applyAlignment="1">
      <alignment vertical="center"/>
    </xf>
    <xf numFmtId="0" fontId="8" fillId="0" borderId="27" xfId="0" applyFont="1" applyBorder="1" applyAlignment="1"/>
    <xf numFmtId="9" fontId="6" fillId="0" borderId="27" xfId="0" applyNumberFormat="1" applyFont="1" applyBorder="1" applyAlignment="1"/>
    <xf numFmtId="9" fontId="6" fillId="0" borderId="28" xfId="0" applyNumberFormat="1" applyFont="1" applyBorder="1" applyAlignment="1"/>
    <xf numFmtId="0" fontId="8" fillId="0" borderId="12" xfId="0" applyFont="1" applyBorder="1"/>
    <xf numFmtId="0" fontId="8" fillId="0" borderId="20" xfId="0" applyFont="1" applyBorder="1" applyAlignment="1">
      <alignment wrapText="1"/>
    </xf>
    <xf numFmtId="0" fontId="6" fillId="0" borderId="29"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1" fillId="0" borderId="25" xfId="0" applyFont="1" applyBorder="1" applyAlignment="1">
      <alignment vertical="center" wrapText="1"/>
    </xf>
    <xf numFmtId="166" fontId="32"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14" xfId="1" applyNumberFormat="1" applyFont="1" applyFill="1" applyBorder="1" applyAlignment="1">
      <alignment horizontal="center" vertical="center"/>
    </xf>
    <xf numFmtId="166" fontId="3" fillId="0" borderId="0" xfId="1" applyNumberFormat="1" applyFont="1"/>
    <xf numFmtId="0" fontId="6" fillId="0" borderId="0" xfId="0" applyFont="1" applyAlignment="1">
      <alignment vertical="center"/>
    </xf>
    <xf numFmtId="165" fontId="3" fillId="0" borderId="0" xfId="0" applyNumberFormat="1" applyFont="1"/>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1"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1"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1"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1" xfId="0" applyFont="1" applyFill="1" applyBorder="1" applyAlignment="1">
      <alignment vertical="center"/>
    </xf>
    <xf numFmtId="165" fontId="0" fillId="0" borderId="11" xfId="0" applyNumberFormat="1" applyFill="1" applyBorder="1" applyAlignment="1">
      <alignment horizontal="right"/>
    </xf>
    <xf numFmtId="0" fontId="3" fillId="0" borderId="31" xfId="0" applyFont="1" applyBorder="1" applyAlignment="1">
      <alignment wrapText="1"/>
    </xf>
    <xf numFmtId="0" fontId="3" fillId="0" borderId="12" xfId="0" applyFont="1" applyBorder="1" applyAlignment="1">
      <alignment horizontal="center" vertical="center" wrapText="1"/>
    </xf>
    <xf numFmtId="0" fontId="15" fillId="5" borderId="32" xfId="0" applyFont="1" applyFill="1" applyBorder="1" applyAlignment="1">
      <alignment wrapText="1"/>
    </xf>
    <xf numFmtId="165" fontId="0" fillId="5" borderId="14" xfId="0" applyNumberFormat="1" applyFill="1" applyBorder="1" applyAlignment="1">
      <alignment horizontal="right" vertical="center" wrapText="1"/>
    </xf>
    <xf numFmtId="169" fontId="0" fillId="0" borderId="0" xfId="0" applyNumberFormat="1" applyAlignment="1">
      <alignment horizontal="right"/>
    </xf>
    <xf numFmtId="0" fontId="6" fillId="0" borderId="0" xfId="0" applyFont="1" applyAlignment="1">
      <alignment horizontal="center" vertical="center"/>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3" fillId="0" borderId="12" xfId="13" applyNumberFormat="1" applyFont="1" applyFill="1" applyBorder="1" applyAlignment="1" applyProtection="1">
      <alignment horizontal="left" vertical="center"/>
      <protection locked="0"/>
    </xf>
    <xf numFmtId="0" fontId="34" fillId="0" borderId="13" xfId="9" applyFont="1" applyFill="1" applyBorder="1" applyAlignment="1" applyProtection="1">
      <alignment horizontal="left" vertical="center" wrapText="1"/>
      <protection locked="0"/>
    </xf>
    <xf numFmtId="10" fontId="34" fillId="0" borderId="13" xfId="2" applyNumberFormat="1" applyFont="1" applyFill="1" applyBorder="1" applyAlignment="1" applyProtection="1">
      <alignment horizontal="left" vertical="center"/>
    </xf>
    <xf numFmtId="166" fontId="7" fillId="0" borderId="14" xfId="1" applyNumberFormat="1" applyFont="1" applyFill="1" applyBorder="1" applyAlignment="1" applyProtection="1">
      <alignment horizontal="right" vertical="center"/>
    </xf>
    <xf numFmtId="0" fontId="13" fillId="0" borderId="0" xfId="5" applyFont="1" applyFill="1" applyBorder="1" applyProtection="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6" fillId="0" borderId="9" xfId="0" applyFont="1" applyBorder="1" applyAlignment="1">
      <alignment horizontal="center"/>
    </xf>
    <xf numFmtId="0" fontId="6" fillId="0" borderId="37" xfId="0" applyFont="1" applyBorder="1" applyAlignment="1">
      <alignment wrapText="1"/>
    </xf>
    <xf numFmtId="165" fontId="6" fillId="0" borderId="38" xfId="0" applyNumberFormat="1" applyFont="1" applyBorder="1" applyAlignment="1">
      <alignment vertical="center"/>
    </xf>
    <xf numFmtId="168" fontId="6" fillId="0" borderId="39" xfId="0" applyNumberFormat="1" applyFont="1" applyBorder="1" applyAlignment="1">
      <alignment horizontal="center"/>
    </xf>
    <xf numFmtId="168" fontId="0" fillId="0" borderId="0" xfId="0" applyNumberFormat="1" applyBorder="1" applyAlignment="1">
      <alignment horizontal="center"/>
    </xf>
    <xf numFmtId="0" fontId="6" fillId="0" borderId="40" xfId="0" applyFont="1" applyBorder="1" applyAlignment="1">
      <alignment wrapText="1"/>
    </xf>
    <xf numFmtId="168" fontId="6" fillId="0" borderId="41" xfId="0" applyNumberFormat="1" applyFont="1" applyBorder="1" applyAlignment="1">
      <alignment horizontal="center"/>
    </xf>
    <xf numFmtId="165" fontId="21" fillId="0" borderId="42" xfId="0" applyNumberFormat="1" applyFont="1" applyBorder="1" applyAlignment="1">
      <alignment vertical="center"/>
    </xf>
    <xf numFmtId="168" fontId="21" fillId="0" borderId="41" xfId="0" applyNumberFormat="1" applyFont="1" applyBorder="1" applyAlignment="1">
      <alignment horizontal="center"/>
    </xf>
    <xf numFmtId="168" fontId="26" fillId="0" borderId="0" xfId="0" applyNumberFormat="1" applyFont="1" applyBorder="1" applyAlignment="1">
      <alignment horizontal="center"/>
    </xf>
    <xf numFmtId="0" fontId="21" fillId="0" borderId="40" xfId="0" applyFont="1" applyBorder="1" applyAlignment="1">
      <alignment wrapText="1"/>
    </xf>
    <xf numFmtId="0" fontId="21" fillId="0" borderId="40" xfId="0" applyFont="1" applyBorder="1" applyAlignment="1">
      <alignment horizontal="right" wrapText="1"/>
    </xf>
    <xf numFmtId="166" fontId="21" fillId="0" borderId="42" xfId="1" applyNumberFormat="1" applyFont="1" applyBorder="1" applyAlignment="1">
      <alignment vertical="center"/>
    </xf>
    <xf numFmtId="165" fontId="6" fillId="5" borderId="42" xfId="0" applyNumberFormat="1" applyFont="1" applyFill="1" applyBorder="1" applyAlignment="1">
      <alignment vertical="center"/>
    </xf>
    <xf numFmtId="165" fontId="6" fillId="0" borderId="42" xfId="0" applyNumberFormat="1" applyFont="1" applyBorder="1" applyAlignment="1">
      <alignment vertical="center"/>
    </xf>
    <xf numFmtId="168" fontId="19" fillId="6" borderId="41" xfId="0" applyNumberFormat="1" applyFont="1" applyFill="1" applyBorder="1" applyAlignment="1">
      <alignment horizontal="center"/>
    </xf>
    <xf numFmtId="0" fontId="6" fillId="0" borderId="43" xfId="0" applyFont="1" applyBorder="1" applyAlignment="1">
      <alignment wrapText="1"/>
    </xf>
    <xf numFmtId="165" fontId="6" fillId="0" borderId="44" xfId="0" applyNumberFormat="1" applyFont="1" applyBorder="1" applyAlignment="1">
      <alignment vertical="center"/>
    </xf>
    <xf numFmtId="0" fontId="35" fillId="5" borderId="45" xfId="0" applyFont="1" applyFill="1" applyBorder="1" applyAlignment="1">
      <alignment wrapText="1"/>
    </xf>
    <xf numFmtId="165" fontId="35" fillId="5" borderId="46" xfId="0" applyNumberFormat="1" applyFont="1" applyFill="1" applyBorder="1" applyAlignment="1">
      <alignment vertical="center"/>
    </xf>
    <xf numFmtId="168" fontId="35" fillId="5" borderId="47"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48" xfId="0" applyNumberFormat="1" applyFont="1" applyBorder="1" applyAlignment="1">
      <alignment vertical="center"/>
    </xf>
    <xf numFmtId="168" fontId="6" fillId="0" borderId="49" xfId="0" applyNumberFormat="1" applyFont="1" applyBorder="1" applyAlignment="1">
      <alignment horizontal="center"/>
    </xf>
    <xf numFmtId="0" fontId="21" fillId="0" borderId="43" xfId="0" applyFont="1" applyBorder="1" applyAlignment="1">
      <alignment horizontal="right" wrapText="1"/>
    </xf>
    <xf numFmtId="166" fontId="21" fillId="0" borderId="48" xfId="1" applyNumberFormat="1" applyFont="1" applyBorder="1" applyAlignment="1">
      <alignment vertical="center"/>
    </xf>
    <xf numFmtId="166" fontId="6" fillId="0" borderId="42" xfId="1" applyNumberFormat="1" applyFont="1" applyBorder="1" applyAlignment="1">
      <alignment vertical="center"/>
    </xf>
    <xf numFmtId="166" fontId="8" fillId="0" borderId="42" xfId="1" applyNumberFormat="1" applyFont="1" applyBorder="1" applyAlignment="1">
      <alignment vertical="center"/>
    </xf>
    <xf numFmtId="0" fontId="6" fillId="0" borderId="12" xfId="0" applyFont="1" applyBorder="1" applyAlignment="1">
      <alignment horizontal="center"/>
    </xf>
    <xf numFmtId="0" fontId="35" fillId="5" borderId="50" xfId="0" applyFont="1" applyFill="1" applyBorder="1" applyAlignment="1">
      <alignment wrapText="1"/>
    </xf>
    <xf numFmtId="165" fontId="35" fillId="5" borderId="51" xfId="0" applyNumberFormat="1" applyFont="1" applyFill="1" applyBorder="1" applyAlignment="1">
      <alignment vertical="center"/>
    </xf>
    <xf numFmtId="168" fontId="35" fillId="5" borderId="52"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3" xfId="0" applyFont="1" applyBorder="1"/>
    <xf numFmtId="0" fontId="3" fillId="0" borderId="54"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xf numFmtId="9" fontId="37"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43" fontId="3" fillId="0" borderId="11" xfId="1" applyNumberFormat="1" applyFont="1" applyBorder="1" applyAlignment="1"/>
    <xf numFmtId="166" fontId="25" fillId="0" borderId="0" xfId="1" applyNumberFormat="1" applyFont="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166" fontId="25" fillId="0" borderId="0" xfId="1" applyNumberFormat="1" applyFont="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7" xfId="1" applyNumberFormat="1" applyFont="1" applyBorder="1" applyAlignment="1">
      <alignment wrapText="1"/>
    </xf>
    <xf numFmtId="165" fontId="3" fillId="0" borderId="27" xfId="0" applyNumberFormat="1" applyFont="1" applyBorder="1" applyAlignment="1"/>
    <xf numFmtId="165" fontId="3" fillId="5" borderId="60" xfId="0" applyNumberFormat="1" applyFont="1" applyFill="1" applyBorder="1" applyAlignment="1"/>
    <xf numFmtId="0" fontId="14" fillId="2" borderId="14"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1"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43" fontId="3" fillId="0" borderId="0" xfId="0" applyNumberFormat="1" applyFont="1"/>
    <xf numFmtId="0" fontId="31" fillId="2" borderId="63" xfId="0" applyFont="1" applyFill="1" applyBorder="1" applyAlignment="1">
      <alignment horizontal="left"/>
    </xf>
    <xf numFmtId="0" fontId="31"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4" xfId="0" applyFont="1" applyFill="1" applyBorder="1" applyAlignment="1">
      <alignment vertical="center"/>
    </xf>
    <xf numFmtId="0" fontId="3" fillId="2" borderId="31" xfId="0" applyFont="1" applyFill="1" applyBorder="1" applyAlignment="1">
      <alignment vertical="center"/>
    </xf>
    <xf numFmtId="0" fontId="3" fillId="2" borderId="27"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4" xfId="1" applyNumberFormat="1" applyFont="1" applyFill="1" applyBorder="1" applyAlignment="1">
      <alignment vertical="center"/>
    </xf>
    <xf numFmtId="166" fontId="3" fillId="0" borderId="30"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1" xfId="1" applyNumberFormat="1" applyFont="1" applyFill="1" applyBorder="1" applyAlignment="1">
      <alignment vertical="center"/>
    </xf>
    <xf numFmtId="166" fontId="3" fillId="2" borderId="27"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5"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4"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65"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2" xfId="6" applyBorder="1"/>
    <xf numFmtId="164" fontId="16" fillId="3" borderId="26" xfId="6" applyBorder="1"/>
    <xf numFmtId="166" fontId="3" fillId="0" borderId="3" xfId="1" applyNumberFormat="1" applyFont="1" applyFill="1" applyBorder="1" applyAlignment="1">
      <alignment vertical="center"/>
    </xf>
    <xf numFmtId="166" fontId="3" fillId="0" borderId="56" xfId="1" applyNumberFormat="1" applyFont="1" applyFill="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vertical="center"/>
    </xf>
    <xf numFmtId="164" fontId="16" fillId="3" borderId="68" xfId="6" applyBorder="1"/>
    <xf numFmtId="9" fontId="3" fillId="0" borderId="69" xfId="2" applyNumberFormat="1" applyFont="1" applyFill="1" applyBorder="1" applyAlignment="1">
      <alignment vertical="center"/>
    </xf>
    <xf numFmtId="9" fontId="3" fillId="0" borderId="69" xfId="2" applyFont="1" applyFill="1" applyBorder="1" applyAlignment="1">
      <alignment vertical="center"/>
    </xf>
    <xf numFmtId="9" fontId="3" fillId="0" borderId="70" xfId="2" applyFont="1" applyFill="1" applyBorder="1" applyAlignment="1">
      <alignment vertical="center"/>
    </xf>
    <xf numFmtId="9" fontId="0" fillId="0" borderId="0" xfId="0" applyNumberFormat="1"/>
    <xf numFmtId="0" fontId="35" fillId="0" borderId="0" xfId="0" applyFont="1"/>
    <xf numFmtId="0" fontId="3" fillId="0" borderId="53" xfId="0" applyFont="1" applyBorder="1" applyAlignment="1">
      <alignment horizontal="center"/>
    </xf>
    <xf numFmtId="0" fontId="3" fillId="0" borderId="5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39" fillId="8" borderId="25" xfId="18" applyFont="1" applyFill="1" applyBorder="1" applyAlignment="1">
      <alignment horizontal="center" wrapText="1"/>
    </xf>
    <xf numFmtId="0" fontId="40" fillId="0" borderId="1" xfId="17" applyFont="1" applyBorder="1" applyAlignment="1">
      <alignment horizontal="center" vertical="center"/>
    </xf>
    <xf numFmtId="0" fontId="41" fillId="9" borderId="19" xfId="19" applyFont="1" applyFill="1" applyBorder="1" applyAlignment="1">
      <alignment vertical="center" wrapText="1"/>
    </xf>
    <xf numFmtId="0" fontId="42" fillId="9" borderId="25" xfId="19" applyFont="1" applyFill="1" applyBorder="1" applyAlignment="1">
      <alignment vertical="center"/>
    </xf>
    <xf numFmtId="0" fontId="43" fillId="8" borderId="2" xfId="19" applyFont="1" applyFill="1" applyBorder="1" applyAlignment="1">
      <alignment horizontal="center" vertical="center"/>
    </xf>
    <xf numFmtId="0" fontId="43" fillId="0" borderId="25" xfId="19" applyFont="1" applyFill="1" applyBorder="1" applyAlignment="1">
      <alignment horizontal="left" vertical="center" wrapText="1"/>
    </xf>
    <xf numFmtId="166" fontId="43" fillId="0" borderId="1" xfId="20" applyNumberFormat="1" applyFont="1" applyFill="1" applyBorder="1" applyAlignment="1" applyProtection="1">
      <alignment horizontal="right" vertical="center"/>
      <protection locked="0"/>
    </xf>
    <xf numFmtId="38" fontId="4" fillId="0" borderId="0" xfId="17" applyNumberFormat="1"/>
    <xf numFmtId="0" fontId="41" fillId="10" borderId="1" xfId="19" applyFont="1" applyFill="1" applyBorder="1" applyAlignment="1">
      <alignment horizontal="center" vertical="center"/>
    </xf>
    <xf numFmtId="0" fontId="41" fillId="10" borderId="25" xfId="19" applyFont="1" applyFill="1" applyBorder="1" applyAlignment="1">
      <alignment vertical="top" wrapText="1"/>
    </xf>
    <xf numFmtId="166" fontId="43" fillId="10" borderId="1" xfId="20" applyNumberFormat="1" applyFont="1" applyFill="1" applyBorder="1" applyAlignment="1" applyProtection="1">
      <alignment horizontal="right" vertical="center"/>
    </xf>
    <xf numFmtId="0" fontId="41" fillId="9" borderId="19" xfId="19" applyFont="1" applyFill="1" applyBorder="1" applyAlignment="1">
      <alignment vertical="center"/>
    </xf>
    <xf numFmtId="166" fontId="42" fillId="9" borderId="25" xfId="20" applyNumberFormat="1" applyFont="1" applyFill="1" applyBorder="1" applyAlignment="1">
      <alignment horizontal="right" vertical="center"/>
    </xf>
    <xf numFmtId="0" fontId="44" fillId="8" borderId="2" xfId="19" applyFont="1" applyFill="1" applyBorder="1" applyAlignment="1">
      <alignment horizontal="center" vertical="center"/>
    </xf>
    <xf numFmtId="0" fontId="43" fillId="8" borderId="25" xfId="19" applyFont="1" applyFill="1" applyBorder="1" applyAlignment="1">
      <alignment vertical="center" wrapText="1"/>
    </xf>
    <xf numFmtId="0" fontId="43" fillId="8" borderId="25" xfId="19" applyFont="1" applyFill="1" applyBorder="1" applyAlignment="1">
      <alignment horizontal="left" vertical="center" wrapText="1"/>
    </xf>
    <xf numFmtId="0" fontId="44" fillId="2" borderId="2" xfId="19" applyFont="1" applyFill="1" applyBorder="1" applyAlignment="1">
      <alignment horizontal="center" vertical="center"/>
    </xf>
    <xf numFmtId="0" fontId="43" fillId="0" borderId="25" xfId="19" applyFont="1" applyFill="1" applyBorder="1" applyAlignment="1">
      <alignment vertical="center" wrapText="1"/>
    </xf>
    <xf numFmtId="0" fontId="43" fillId="2" borderId="25" xfId="19" applyFont="1" applyFill="1" applyBorder="1" applyAlignment="1">
      <alignment horizontal="left" vertical="center" wrapText="1"/>
    </xf>
    <xf numFmtId="0" fontId="44" fillId="0" borderId="2" xfId="19" applyFont="1" applyFill="1" applyBorder="1" applyAlignment="1">
      <alignment horizontal="center" vertical="center"/>
    </xf>
    <xf numFmtId="0" fontId="45" fillId="10" borderId="1" xfId="19" applyFont="1" applyFill="1" applyBorder="1" applyAlignment="1">
      <alignment horizontal="center" vertical="center"/>
    </xf>
    <xf numFmtId="0" fontId="41" fillId="10" borderId="25" xfId="19" applyFont="1" applyFill="1" applyBorder="1" applyAlignment="1">
      <alignment vertical="center" wrapText="1"/>
    </xf>
    <xf numFmtId="166" fontId="43" fillId="10" borderId="1" xfId="20" applyNumberFormat="1" applyFont="1" applyFill="1" applyBorder="1" applyAlignment="1" applyProtection="1">
      <alignment horizontal="right" vertical="center"/>
      <protection locked="0"/>
    </xf>
    <xf numFmtId="166" fontId="41" fillId="9" borderId="25" xfId="20" applyNumberFormat="1" applyFont="1" applyFill="1" applyBorder="1" applyAlignment="1">
      <alignment horizontal="right" vertical="center"/>
    </xf>
    <xf numFmtId="0" fontId="41" fillId="9" borderId="19" xfId="19" applyFont="1" applyFill="1" applyBorder="1" applyAlignment="1">
      <alignment horizontal="center" vertical="center"/>
    </xf>
    <xf numFmtId="166" fontId="43" fillId="2" borderId="1" xfId="20" applyNumberFormat="1" applyFont="1" applyFill="1" applyBorder="1" applyAlignment="1" applyProtection="1">
      <alignment horizontal="right" vertical="center"/>
      <protection locked="0"/>
    </xf>
    <xf numFmtId="0" fontId="41" fillId="0" borderId="25" xfId="19" applyFont="1" applyFill="1" applyBorder="1" applyAlignment="1">
      <alignment vertical="center" wrapText="1"/>
    </xf>
    <xf numFmtId="10" fontId="43" fillId="0" borderId="1" xfId="21" applyNumberFormat="1" applyFont="1" applyFill="1" applyBorder="1" applyAlignment="1" applyProtection="1">
      <alignment horizontal="right" vertical="center"/>
      <protection locked="0"/>
    </xf>
    <xf numFmtId="0" fontId="42" fillId="9" borderId="19" xfId="19" applyFont="1" applyFill="1" applyBorder="1" applyAlignment="1">
      <alignment vertical="center"/>
    </xf>
    <xf numFmtId="0" fontId="44" fillId="8" borderId="1" xfId="19" applyFont="1" applyFill="1" applyBorder="1" applyAlignment="1">
      <alignment horizontal="center" vertical="center"/>
    </xf>
    <xf numFmtId="0" fontId="46" fillId="8" borderId="1" xfId="19" applyFont="1" applyFill="1" applyBorder="1" applyAlignment="1">
      <alignment horizontal="center" vertical="center"/>
    </xf>
    <xf numFmtId="0" fontId="37" fillId="0" borderId="0" xfId="0" applyFont="1" applyAlignment="1">
      <alignment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5" xfId="0" applyFont="1" applyBorder="1" applyAlignment="1">
      <alignment horizontal="center" wrapText="1"/>
    </xf>
    <xf numFmtId="0" fontId="8" fillId="0" borderId="18" xfId="0" applyFont="1" applyBorder="1" applyAlignment="1">
      <alignment horizontal="center"/>
    </xf>
    <xf numFmtId="0" fontId="13" fillId="0" borderId="19" xfId="0" applyFont="1" applyBorder="1" applyAlignment="1">
      <alignment horizontal="center" wrapText="1"/>
    </xf>
    <xf numFmtId="0" fontId="8" fillId="0" borderId="27" xfId="0" applyFont="1" applyBorder="1" applyAlignment="1">
      <alignment horizontal="center"/>
    </xf>
    <xf numFmtId="0" fontId="13" fillId="0" borderId="19" xfId="0" applyFont="1" applyBorder="1" applyAlignment="1">
      <alignment horizontal="center" vertical="center" wrapText="1"/>
    </xf>
    <xf numFmtId="0" fontId="13" fillId="0" borderId="2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7" xfId="0" applyFont="1" applyFill="1" applyBorder="1" applyAlignment="1">
      <alignment horizontal="center"/>
    </xf>
    <xf numFmtId="0" fontId="15" fillId="5" borderId="33"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25" xfId="0" applyFont="1" applyFill="1" applyBorder="1" applyAlignment="1">
      <alignment horizontal="center" vertical="center" wrapText="1"/>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6" fillId="2" borderId="56" xfId="11" applyFont="1" applyFill="1" applyBorder="1" applyAlignment="1" applyProtection="1">
      <alignment horizontal="center" vertical="center" wrapText="1"/>
      <protection locked="0"/>
    </xf>
    <xf numFmtId="0" fontId="36" fillId="2" borderId="30"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7" xfId="15" applyNumberFormat="1" applyFont="1" applyFill="1" applyBorder="1" applyAlignment="1" applyProtection="1">
      <alignment horizontal="center" vertical="center" wrapText="1"/>
      <protection locked="0"/>
    </xf>
    <xf numFmtId="166" fontId="14" fillId="0" borderId="59" xfId="15" applyNumberFormat="1" applyFont="1" applyFill="1" applyBorder="1" applyAlignment="1" applyProtection="1">
      <alignment horizontal="center" vertical="center" wrapText="1"/>
      <protection locked="0"/>
    </xf>
    <xf numFmtId="0" fontId="15" fillId="0" borderId="58" xfId="0" applyFont="1" applyBorder="1" applyAlignment="1">
      <alignment horizontal="center" vertical="center" wrapText="1"/>
    </xf>
    <xf numFmtId="0" fontId="15" fillId="0" borderId="6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1" fillId="0" borderId="53" xfId="0" applyFont="1" applyFill="1" applyBorder="1" applyAlignment="1">
      <alignment horizontal="left" vertical="center"/>
    </xf>
    <xf numFmtId="0" fontId="31"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2" fillId="9" borderId="19" xfId="19" applyFont="1" applyFill="1" applyBorder="1" applyAlignment="1">
      <alignment horizontal="center" vertical="center"/>
    </xf>
    <xf numFmtId="0" fontId="42" fillId="9" borderId="31" xfId="19" applyFont="1" applyFill="1" applyBorder="1" applyAlignment="1">
      <alignment horizontal="center" vertical="center"/>
    </xf>
    <xf numFmtId="0" fontId="46" fillId="8" borderId="25" xfId="18" applyFont="1" applyFill="1" applyBorder="1" applyAlignment="1">
      <alignment horizontal="center" wrapText="1"/>
    </xf>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BG/Monthly%20Reports/2020/03/Workings/FRM-BKS-MM-20200331Working_GR.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1"/>
      <sheetData sheetId="62">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3">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4"/>
      <sheetData sheetId="65"/>
      <sheetData sheetId="66">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tabSelected="1" zoomScaleNormal="100" workbookViewId="0">
      <pane xSplit="1" ySplit="7" topLeftCell="B8" activePane="bottomRight" state="frozen"/>
      <selection activeCell="P24" sqref="P24:Q24"/>
      <selection pane="topRight" activeCell="P24" sqref="P24:Q24"/>
      <selection pane="bottomLeft" activeCell="P24" sqref="P24:Q24"/>
      <selection pane="bottomRight" activeCell="C22" sqref="C22"/>
    </sheetView>
  </sheetViews>
  <sheetFormatPr defaultRowHeight="15" x14ac:dyDescent="0.25"/>
  <cols>
    <col min="1" max="1" width="10.28515625" style="22"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543" t="s">
        <v>9</v>
      </c>
      <c r="B6" s="544"/>
      <c r="C6" s="544"/>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v>9.1</v>
      </c>
      <c r="B17" s="14" t="s">
        <v>21</v>
      </c>
    </row>
    <row r="18" spans="1:2" x14ac:dyDescent="0.25">
      <c r="A18" s="1">
        <v>10</v>
      </c>
      <c r="B18" s="14" t="s">
        <v>22</v>
      </c>
    </row>
    <row r="19" spans="1:2" x14ac:dyDescent="0.25">
      <c r="A19" s="1">
        <v>11</v>
      </c>
      <c r="B19" s="16" t="s">
        <v>23</v>
      </c>
    </row>
    <row r="20" spans="1:2" x14ac:dyDescent="0.25">
      <c r="A20" s="1">
        <v>12</v>
      </c>
      <c r="B20" s="16" t="s">
        <v>24</v>
      </c>
    </row>
    <row r="21" spans="1:2" x14ac:dyDescent="0.25">
      <c r="A21" s="1">
        <v>13</v>
      </c>
      <c r="B21" s="18" t="s">
        <v>25</v>
      </c>
    </row>
    <row r="22" spans="1:2" x14ac:dyDescent="0.25">
      <c r="A22" s="1">
        <v>14</v>
      </c>
      <c r="B22" s="11" t="s">
        <v>26</v>
      </c>
    </row>
    <row r="23" spans="1:2" x14ac:dyDescent="0.25">
      <c r="A23" s="19">
        <v>15</v>
      </c>
      <c r="B23" s="16" t="s">
        <v>27</v>
      </c>
    </row>
    <row r="24" spans="1:2" x14ac:dyDescent="0.25">
      <c r="A24" s="19">
        <v>15.1</v>
      </c>
      <c r="B24" s="11" t="s">
        <v>28</v>
      </c>
    </row>
    <row r="25" spans="1:2" x14ac:dyDescent="0.25">
      <c r="A25" s="20"/>
      <c r="B25" s="21"/>
    </row>
    <row r="26" spans="1:2" x14ac:dyDescent="0.25">
      <c r="A26" s="20"/>
      <c r="B26" s="2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51" activePane="bottomRight" state="frozen"/>
      <selection activeCell="C9" sqref="C9"/>
      <selection pane="topRight" activeCell="C9" sqref="C9"/>
      <selection pane="bottomLeft" activeCell="C9" sqref="C9"/>
      <selection pane="bottomRight" activeCell="C59" sqref="C59"/>
    </sheetView>
  </sheetViews>
  <sheetFormatPr defaultRowHeight="15" x14ac:dyDescent="0.25"/>
  <cols>
    <col min="1" max="1" width="9.5703125" style="20" bestFit="1" customWidth="1"/>
    <col min="2" max="2" width="132.42578125" style="22" customWidth="1"/>
    <col min="3" max="3" width="18.42578125" style="238" customWidth="1"/>
    <col min="6" max="6" width="17.42578125" bestFit="1" customWidth="1"/>
  </cols>
  <sheetData>
    <row r="1" spans="1:6" ht="15.75" x14ac:dyDescent="0.3">
      <c r="A1" s="23" t="s">
        <v>29</v>
      </c>
      <c r="B1" s="22" t="str">
        <f>'1. key ratios'!B1</f>
        <v>სს ტერაბანკი</v>
      </c>
      <c r="C1" s="22"/>
      <c r="D1" s="22"/>
      <c r="E1" s="22"/>
      <c r="F1" s="22"/>
    </row>
    <row r="2" spans="1:6" s="212" customFormat="1" ht="15.75" customHeight="1" x14ac:dyDescent="0.3">
      <c r="A2" s="212" t="s">
        <v>31</v>
      </c>
      <c r="B2" s="89">
        <f>'1. key ratios'!B2</f>
        <v>43921</v>
      </c>
    </row>
    <row r="3" spans="1:6" s="212" customFormat="1" ht="15.75" customHeight="1" x14ac:dyDescent="0.3"/>
    <row r="4" spans="1:6" ht="15.75" thickBot="1" x14ac:dyDescent="0.3">
      <c r="A4" s="20" t="s">
        <v>277</v>
      </c>
      <c r="B4" s="269" t="s">
        <v>20</v>
      </c>
      <c r="C4" s="22"/>
    </row>
    <row r="5" spans="1:6" x14ac:dyDescent="0.25">
      <c r="A5" s="270" t="s">
        <v>33</v>
      </c>
      <c r="B5" s="271"/>
      <c r="C5" s="272" t="s">
        <v>71</v>
      </c>
    </row>
    <row r="6" spans="1:6" x14ac:dyDescent="0.25">
      <c r="A6" s="273">
        <v>1</v>
      </c>
      <c r="B6" s="274" t="s">
        <v>278</v>
      </c>
      <c r="C6" s="275">
        <f>SUM(C7:C11)</f>
        <v>120662803.85999995</v>
      </c>
    </row>
    <row r="7" spans="1:6" x14ac:dyDescent="0.25">
      <c r="A7" s="273">
        <v>2</v>
      </c>
      <c r="B7" s="276" t="s">
        <v>279</v>
      </c>
      <c r="C7" s="277">
        <v>121372000.00000001</v>
      </c>
    </row>
    <row r="8" spans="1:6" x14ac:dyDescent="0.25">
      <c r="A8" s="273">
        <v>3</v>
      </c>
      <c r="B8" s="278" t="s">
        <v>280</v>
      </c>
      <c r="C8" s="277">
        <v>0</v>
      </c>
    </row>
    <row r="9" spans="1:6" x14ac:dyDescent="0.25">
      <c r="A9" s="273">
        <v>4</v>
      </c>
      <c r="B9" s="278" t="s">
        <v>281</v>
      </c>
      <c r="C9" s="277">
        <v>0</v>
      </c>
    </row>
    <row r="10" spans="1:6" x14ac:dyDescent="0.25">
      <c r="A10" s="273">
        <v>5</v>
      </c>
      <c r="B10" s="278" t="s">
        <v>282</v>
      </c>
      <c r="C10" s="277">
        <v>0</v>
      </c>
    </row>
    <row r="11" spans="1:6" x14ac:dyDescent="0.25">
      <c r="A11" s="273">
        <v>6</v>
      </c>
      <c r="B11" s="279" t="s">
        <v>283</v>
      </c>
      <c r="C11" s="277">
        <v>-709196.1400000602</v>
      </c>
    </row>
    <row r="12" spans="1:6" s="256" customFormat="1" x14ac:dyDescent="0.25">
      <c r="A12" s="273">
        <v>7</v>
      </c>
      <c r="B12" s="274" t="s">
        <v>284</v>
      </c>
      <c r="C12" s="280">
        <f>SUM(C13:C27)</f>
        <v>22850337</v>
      </c>
    </row>
    <row r="13" spans="1:6" s="256" customFormat="1" x14ac:dyDescent="0.25">
      <c r="A13" s="273">
        <v>8</v>
      </c>
      <c r="B13" s="281" t="s">
        <v>285</v>
      </c>
      <c r="C13" s="282">
        <v>0</v>
      </c>
    </row>
    <row r="14" spans="1:6" s="256" customFormat="1" ht="25.5" x14ac:dyDescent="0.25">
      <c r="A14" s="273">
        <v>9</v>
      </c>
      <c r="B14" s="283" t="s">
        <v>286</v>
      </c>
      <c r="C14" s="282">
        <v>0</v>
      </c>
    </row>
    <row r="15" spans="1:6" s="256" customFormat="1" x14ac:dyDescent="0.25">
      <c r="A15" s="273">
        <v>10</v>
      </c>
      <c r="B15" s="284" t="s">
        <v>287</v>
      </c>
      <c r="C15" s="282">
        <v>22850337</v>
      </c>
    </row>
    <row r="16" spans="1:6" s="256" customFormat="1" x14ac:dyDescent="0.25">
      <c r="A16" s="273">
        <v>11</v>
      </c>
      <c r="B16" s="285" t="s">
        <v>288</v>
      </c>
      <c r="C16" s="282">
        <v>0</v>
      </c>
    </row>
    <row r="17" spans="1:6" s="256" customFormat="1" x14ac:dyDescent="0.25">
      <c r="A17" s="273">
        <v>12</v>
      </c>
      <c r="B17" s="284" t="s">
        <v>289</v>
      </c>
      <c r="C17" s="282">
        <v>0</v>
      </c>
    </row>
    <row r="18" spans="1:6" s="256" customFormat="1" x14ac:dyDescent="0.25">
      <c r="A18" s="273">
        <v>13</v>
      </c>
      <c r="B18" s="284" t="s">
        <v>290</v>
      </c>
      <c r="C18" s="282">
        <v>0</v>
      </c>
    </row>
    <row r="19" spans="1:6" s="256" customFormat="1" x14ac:dyDescent="0.25">
      <c r="A19" s="273">
        <v>14</v>
      </c>
      <c r="B19" s="284" t="s">
        <v>291</v>
      </c>
      <c r="C19" s="282">
        <v>0</v>
      </c>
    </row>
    <row r="20" spans="1:6" s="256" customFormat="1" ht="25.5" x14ac:dyDescent="0.25">
      <c r="A20" s="273">
        <v>15</v>
      </c>
      <c r="B20" s="284" t="s">
        <v>292</v>
      </c>
      <c r="C20" s="282">
        <v>0</v>
      </c>
    </row>
    <row r="21" spans="1:6" s="256" customFormat="1" ht="25.5" x14ac:dyDescent="0.25">
      <c r="A21" s="273">
        <v>16</v>
      </c>
      <c r="B21" s="283" t="s">
        <v>293</v>
      </c>
      <c r="C21" s="282">
        <v>0</v>
      </c>
    </row>
    <row r="22" spans="1:6" s="256" customFormat="1" x14ac:dyDescent="0.25">
      <c r="A22" s="273">
        <v>17</v>
      </c>
      <c r="B22" s="286" t="s">
        <v>294</v>
      </c>
      <c r="C22" s="282">
        <v>0</v>
      </c>
    </row>
    <row r="23" spans="1:6" s="256" customFormat="1" ht="25.5" x14ac:dyDescent="0.25">
      <c r="A23" s="273">
        <v>18</v>
      </c>
      <c r="B23" s="283" t="s">
        <v>295</v>
      </c>
      <c r="C23" s="282">
        <v>0</v>
      </c>
    </row>
    <row r="24" spans="1:6" s="256" customFormat="1" ht="25.5" x14ac:dyDescent="0.25">
      <c r="A24" s="273">
        <v>19</v>
      </c>
      <c r="B24" s="283" t="s">
        <v>296</v>
      </c>
      <c r="C24" s="282">
        <v>0</v>
      </c>
    </row>
    <row r="25" spans="1:6" s="256" customFormat="1" ht="25.5" x14ac:dyDescent="0.25">
      <c r="A25" s="273">
        <v>20</v>
      </c>
      <c r="B25" s="287" t="s">
        <v>297</v>
      </c>
      <c r="C25" s="282">
        <v>0</v>
      </c>
    </row>
    <row r="26" spans="1:6" s="256" customFormat="1" x14ac:dyDescent="0.25">
      <c r="A26" s="273">
        <v>21</v>
      </c>
      <c r="B26" s="287" t="s">
        <v>298</v>
      </c>
      <c r="C26" s="282">
        <v>0</v>
      </c>
    </row>
    <row r="27" spans="1:6" s="256" customFormat="1" ht="25.5" x14ac:dyDescent="0.25">
      <c r="A27" s="273">
        <v>22</v>
      </c>
      <c r="B27" s="287" t="s">
        <v>299</v>
      </c>
      <c r="C27" s="282">
        <v>0</v>
      </c>
    </row>
    <row r="28" spans="1:6" s="256" customFormat="1" x14ac:dyDescent="0.25">
      <c r="A28" s="273">
        <v>23</v>
      </c>
      <c r="B28" s="288" t="s">
        <v>36</v>
      </c>
      <c r="C28" s="280">
        <f>C6-C12</f>
        <v>97812466.859999955</v>
      </c>
    </row>
    <row r="29" spans="1:6" s="256" customFormat="1" x14ac:dyDescent="0.25">
      <c r="A29" s="289"/>
      <c r="B29" s="290"/>
      <c r="C29" s="282"/>
    </row>
    <row r="30" spans="1:6" s="256" customFormat="1" x14ac:dyDescent="0.25">
      <c r="A30" s="289">
        <v>24</v>
      </c>
      <c r="B30" s="288" t="s">
        <v>300</v>
      </c>
      <c r="C30" s="280">
        <f>C31+C34</f>
        <v>0</v>
      </c>
      <c r="F30" s="291"/>
    </row>
    <row r="31" spans="1:6" s="256" customFormat="1" x14ac:dyDescent="0.25">
      <c r="A31" s="289">
        <v>25</v>
      </c>
      <c r="B31" s="278" t="s">
        <v>301</v>
      </c>
      <c r="C31" s="292">
        <f>C32+C33</f>
        <v>0</v>
      </c>
      <c r="F31" s="293"/>
    </row>
    <row r="32" spans="1:6" s="256" customFormat="1" x14ac:dyDescent="0.25">
      <c r="A32" s="289">
        <v>26</v>
      </c>
      <c r="B32" s="294" t="s">
        <v>302</v>
      </c>
      <c r="C32" s="282">
        <v>0</v>
      </c>
      <c r="F32" s="293"/>
    </row>
    <row r="33" spans="1:6" s="256" customFormat="1" x14ac:dyDescent="0.25">
      <c r="A33" s="289">
        <v>27</v>
      </c>
      <c r="B33" s="294" t="s">
        <v>303</v>
      </c>
      <c r="C33" s="282">
        <v>0</v>
      </c>
      <c r="F33" s="293"/>
    </row>
    <row r="34" spans="1:6" s="256" customFormat="1" x14ac:dyDescent="0.25">
      <c r="A34" s="289">
        <v>28</v>
      </c>
      <c r="B34" s="278" t="s">
        <v>304</v>
      </c>
      <c r="C34" s="282">
        <v>0</v>
      </c>
      <c r="F34" s="293"/>
    </row>
    <row r="35" spans="1:6" s="256" customFormat="1" x14ac:dyDescent="0.25">
      <c r="A35" s="289">
        <v>29</v>
      </c>
      <c r="B35" s="288" t="s">
        <v>305</v>
      </c>
      <c r="C35" s="280">
        <f>SUM(C36:C40)</f>
        <v>0</v>
      </c>
      <c r="F35" s="293"/>
    </row>
    <row r="36" spans="1:6" s="256" customFormat="1" x14ac:dyDescent="0.25">
      <c r="A36" s="289">
        <v>30</v>
      </c>
      <c r="B36" s="283" t="s">
        <v>306</v>
      </c>
      <c r="C36" s="282">
        <v>0</v>
      </c>
      <c r="F36" s="293"/>
    </row>
    <row r="37" spans="1:6" s="256" customFormat="1" x14ac:dyDescent="0.25">
      <c r="A37" s="289">
        <v>31</v>
      </c>
      <c r="B37" s="284" t="s">
        <v>307</v>
      </c>
      <c r="C37" s="282">
        <v>0</v>
      </c>
      <c r="F37" s="293"/>
    </row>
    <row r="38" spans="1:6" s="256" customFormat="1" ht="25.5" x14ac:dyDescent="0.25">
      <c r="A38" s="289">
        <v>32</v>
      </c>
      <c r="B38" s="283" t="s">
        <v>308</v>
      </c>
      <c r="C38" s="282">
        <v>0</v>
      </c>
      <c r="F38" s="293"/>
    </row>
    <row r="39" spans="1:6" s="256" customFormat="1" ht="25.5" x14ac:dyDescent="0.25">
      <c r="A39" s="289">
        <v>33</v>
      </c>
      <c r="B39" s="283" t="s">
        <v>296</v>
      </c>
      <c r="C39" s="282">
        <v>0</v>
      </c>
      <c r="F39" s="293"/>
    </row>
    <row r="40" spans="1:6" s="256" customFormat="1" ht="25.5" x14ac:dyDescent="0.25">
      <c r="A40" s="289">
        <v>34</v>
      </c>
      <c r="B40" s="287" t="s">
        <v>309</v>
      </c>
      <c r="C40" s="282">
        <v>0</v>
      </c>
      <c r="F40" s="293"/>
    </row>
    <row r="41" spans="1:6" s="256" customFormat="1" x14ac:dyDescent="0.25">
      <c r="A41" s="289">
        <v>35</v>
      </c>
      <c r="B41" s="288" t="s">
        <v>310</v>
      </c>
      <c r="C41" s="280">
        <f>C30-C35</f>
        <v>0</v>
      </c>
      <c r="F41" s="293"/>
    </row>
    <row r="42" spans="1:6" s="256" customFormat="1" x14ac:dyDescent="0.25">
      <c r="A42" s="289"/>
      <c r="B42" s="290"/>
      <c r="C42" s="282"/>
      <c r="F42" s="293"/>
    </row>
    <row r="43" spans="1:6" s="256" customFormat="1" x14ac:dyDescent="0.25">
      <c r="A43" s="289">
        <v>36</v>
      </c>
      <c r="B43" s="295" t="s">
        <v>311</v>
      </c>
      <c r="C43" s="280">
        <f>SUM(C44:C46)</f>
        <v>65312679.035765581</v>
      </c>
      <c r="F43" s="293"/>
    </row>
    <row r="44" spans="1:6" s="256" customFormat="1" x14ac:dyDescent="0.25">
      <c r="A44" s="289">
        <v>37</v>
      </c>
      <c r="B44" s="278" t="s">
        <v>312</v>
      </c>
      <c r="C44" s="282">
        <v>54736817.939999998</v>
      </c>
      <c r="F44" s="293"/>
    </row>
    <row r="45" spans="1:6" s="256" customFormat="1" x14ac:dyDescent="0.25">
      <c r="A45" s="289">
        <v>38</v>
      </c>
      <c r="B45" s="278" t="s">
        <v>313</v>
      </c>
      <c r="C45" s="282">
        <v>0</v>
      </c>
      <c r="F45" s="293"/>
    </row>
    <row r="46" spans="1:6" s="256" customFormat="1" x14ac:dyDescent="0.25">
      <c r="A46" s="289">
        <v>39</v>
      </c>
      <c r="B46" s="278" t="s">
        <v>314</v>
      </c>
      <c r="C46" s="282">
        <v>10575861.095765585</v>
      </c>
      <c r="F46" s="293"/>
    </row>
    <row r="47" spans="1:6" s="256" customFormat="1" x14ac:dyDescent="0.25">
      <c r="A47" s="289">
        <v>40</v>
      </c>
      <c r="B47" s="295" t="s">
        <v>315</v>
      </c>
      <c r="C47" s="280">
        <f>SUM(C48:C51)</f>
        <v>0</v>
      </c>
      <c r="F47" s="293"/>
    </row>
    <row r="48" spans="1:6" s="256" customFormat="1" x14ac:dyDescent="0.25">
      <c r="A48" s="289">
        <v>41</v>
      </c>
      <c r="B48" s="283" t="s">
        <v>316</v>
      </c>
      <c r="C48" s="282">
        <v>0</v>
      </c>
      <c r="F48" s="293"/>
    </row>
    <row r="49" spans="1:6" s="256" customFormat="1" x14ac:dyDescent="0.25">
      <c r="A49" s="289">
        <v>42</v>
      </c>
      <c r="B49" s="284" t="s">
        <v>317</v>
      </c>
      <c r="C49" s="282">
        <v>0</v>
      </c>
      <c r="F49" s="293"/>
    </row>
    <row r="50" spans="1:6" s="256" customFormat="1" ht="25.5" x14ac:dyDescent="0.25">
      <c r="A50" s="289">
        <v>43</v>
      </c>
      <c r="B50" s="283" t="s">
        <v>318</v>
      </c>
      <c r="C50" s="282">
        <v>0</v>
      </c>
      <c r="F50" s="293"/>
    </row>
    <row r="51" spans="1:6" s="256" customFormat="1" ht="25.5" x14ac:dyDescent="0.25">
      <c r="A51" s="289">
        <v>44</v>
      </c>
      <c r="B51" s="283" t="s">
        <v>296</v>
      </c>
      <c r="C51" s="282">
        <v>0</v>
      </c>
      <c r="F51" s="293"/>
    </row>
    <row r="52" spans="1:6" s="256" customFormat="1" ht="15.75" thickBot="1" x14ac:dyDescent="0.3">
      <c r="A52" s="296">
        <v>45</v>
      </c>
      <c r="B52" s="297" t="s">
        <v>319</v>
      </c>
      <c r="C52" s="298">
        <f>C43-C47</f>
        <v>65312679.035765581</v>
      </c>
      <c r="F52" s="293"/>
    </row>
    <row r="53" spans="1:6" x14ac:dyDescent="0.25">
      <c r="F53" s="293"/>
    </row>
    <row r="54" spans="1:6" x14ac:dyDescent="0.25">
      <c r="F54" s="293"/>
    </row>
    <row r="55" spans="1:6" x14ac:dyDescent="0.25">
      <c r="B55" s="22" t="s">
        <v>320</v>
      </c>
      <c r="F55" s="293"/>
    </row>
    <row r="56" spans="1:6" x14ac:dyDescent="0.25">
      <c r="F56" s="293"/>
    </row>
    <row r="57" spans="1:6" x14ac:dyDescent="0.25">
      <c r="F57" s="293"/>
    </row>
    <row r="58" spans="1:6" x14ac:dyDescent="0.25">
      <c r="F58" s="293"/>
    </row>
    <row r="59" spans="1:6" x14ac:dyDescent="0.25">
      <c r="F59" s="293"/>
    </row>
    <row r="60" spans="1:6" x14ac:dyDescent="0.25">
      <c r="F60" s="293"/>
    </row>
    <row r="61" spans="1:6" x14ac:dyDescent="0.25">
      <c r="F61" s="293"/>
    </row>
    <row r="62" spans="1:6" x14ac:dyDescent="0.25">
      <c r="F62" s="293"/>
    </row>
    <row r="63" spans="1:6" x14ac:dyDescent="0.25">
      <c r="F63" s="293"/>
    </row>
    <row r="64" spans="1:6" x14ac:dyDescent="0.25">
      <c r="F64" s="293"/>
    </row>
    <row r="65" spans="6:6" x14ac:dyDescent="0.25">
      <c r="F65" s="293"/>
    </row>
    <row r="66" spans="6:6" x14ac:dyDescent="0.25">
      <c r="F66" s="293"/>
    </row>
    <row r="67" spans="6:6" x14ac:dyDescent="0.25">
      <c r="F67" s="293"/>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3"/>
  <sheetViews>
    <sheetView topLeftCell="A22" zoomScaleNormal="100" workbookViewId="0">
      <selection activeCell="B23" sqref="B23"/>
    </sheetView>
  </sheetViews>
  <sheetFormatPr defaultColWidth="9.140625" defaultRowHeight="12.75" x14ac:dyDescent="0.2"/>
  <cols>
    <col min="1" max="1" width="10.85546875" style="22" bestFit="1" customWidth="1"/>
    <col min="2" max="2" width="52.42578125" style="22" customWidth="1"/>
    <col min="3" max="3" width="14.7109375" style="22" customWidth="1"/>
    <col min="4" max="4" width="14.5703125" style="22" bestFit="1" customWidth="1"/>
    <col min="5" max="16384" width="9.140625" style="22"/>
  </cols>
  <sheetData>
    <row r="1" spans="1:4" ht="15" x14ac:dyDescent="0.3">
      <c r="A1" s="23" t="s">
        <v>29</v>
      </c>
      <c r="B1" s="22" t="str">
        <f>'1. key ratios'!B1</f>
        <v>სს ტერაბანკი</v>
      </c>
    </row>
    <row r="2" spans="1:4" s="212" customFormat="1" ht="15.75" customHeight="1" x14ac:dyDescent="0.3">
      <c r="A2" s="212" t="s">
        <v>31</v>
      </c>
      <c r="B2" s="89">
        <f>'1. key ratios'!B2</f>
        <v>43921</v>
      </c>
    </row>
    <row r="3" spans="1:4" s="212" customFormat="1" ht="15.75" customHeight="1" x14ac:dyDescent="0.3"/>
    <row r="4" spans="1:4" ht="13.5" thickBot="1" x14ac:dyDescent="0.25">
      <c r="A4" s="20" t="s">
        <v>321</v>
      </c>
      <c r="B4" s="299" t="s">
        <v>21</v>
      </c>
    </row>
    <row r="5" spans="1:4" s="302" customFormat="1" x14ac:dyDescent="0.25">
      <c r="A5" s="564" t="s">
        <v>322</v>
      </c>
      <c r="B5" s="565"/>
      <c r="C5" s="300" t="s">
        <v>323</v>
      </c>
      <c r="D5" s="301" t="s">
        <v>324</v>
      </c>
    </row>
    <row r="6" spans="1:4" s="306" customFormat="1" x14ac:dyDescent="0.25">
      <c r="A6" s="303">
        <v>1</v>
      </c>
      <c r="B6" s="304" t="s">
        <v>325</v>
      </c>
      <c r="C6" s="304"/>
      <c r="D6" s="305"/>
    </row>
    <row r="7" spans="1:4" s="306" customFormat="1" x14ac:dyDescent="0.25">
      <c r="A7" s="307" t="s">
        <v>326</v>
      </c>
      <c r="B7" s="308" t="s">
        <v>327</v>
      </c>
      <c r="C7" s="309">
        <v>4.4999999999999998E-2</v>
      </c>
      <c r="D7" s="310">
        <f>C7*'5. RWA'!$C$13</f>
        <v>43304352.463349842</v>
      </c>
    </row>
    <row r="8" spans="1:4" s="306" customFormat="1" x14ac:dyDescent="0.25">
      <c r="A8" s="307" t="s">
        <v>328</v>
      </c>
      <c r="B8" s="308" t="s">
        <v>329</v>
      </c>
      <c r="C8" s="311">
        <v>0.06</v>
      </c>
      <c r="D8" s="310">
        <f>C8*'5. RWA'!$C$13</f>
        <v>57739136.617799789</v>
      </c>
    </row>
    <row r="9" spans="1:4" s="306" customFormat="1" x14ac:dyDescent="0.25">
      <c r="A9" s="307" t="s">
        <v>330</v>
      </c>
      <c r="B9" s="308" t="s">
        <v>331</v>
      </c>
      <c r="C9" s="311">
        <v>0.08</v>
      </c>
      <c r="D9" s="310">
        <f>C9*'5. RWA'!$C$13</f>
        <v>76985515.490399718</v>
      </c>
    </row>
    <row r="10" spans="1:4" s="306" customFormat="1" x14ac:dyDescent="0.25">
      <c r="A10" s="303" t="s">
        <v>332</v>
      </c>
      <c r="B10" s="304" t="s">
        <v>333</v>
      </c>
      <c r="C10" s="304"/>
      <c r="D10" s="312"/>
    </row>
    <row r="11" spans="1:4" s="317" customFormat="1" x14ac:dyDescent="0.25">
      <c r="A11" s="313" t="s">
        <v>334</v>
      </c>
      <c r="B11" s="314" t="s">
        <v>335</v>
      </c>
      <c r="C11" s="315">
        <v>0</v>
      </c>
      <c r="D11" s="316">
        <f>C11*'5. RWA'!$C$13</f>
        <v>0</v>
      </c>
    </row>
    <row r="12" spans="1:4" s="317" customFormat="1" x14ac:dyDescent="0.25">
      <c r="A12" s="313" t="s">
        <v>336</v>
      </c>
      <c r="B12" s="314" t="s">
        <v>337</v>
      </c>
      <c r="C12" s="315">
        <v>0</v>
      </c>
      <c r="D12" s="316">
        <f>C12*'5. RWA'!$C$13</f>
        <v>0</v>
      </c>
    </row>
    <row r="13" spans="1:4" s="317" customFormat="1" x14ac:dyDescent="0.25">
      <c r="A13" s="313" t="s">
        <v>338</v>
      </c>
      <c r="B13" s="314" t="s">
        <v>339</v>
      </c>
      <c r="C13" s="315">
        <v>0</v>
      </c>
      <c r="D13" s="316">
        <f>C13*'5. RWA'!$C$13</f>
        <v>0</v>
      </c>
    </row>
    <row r="14" spans="1:4" s="306" customFormat="1" x14ac:dyDescent="0.25">
      <c r="A14" s="303" t="s">
        <v>340</v>
      </c>
      <c r="B14" s="304" t="s">
        <v>341</v>
      </c>
      <c r="C14" s="318"/>
      <c r="D14" s="312"/>
    </row>
    <row r="15" spans="1:4" s="306" customFormat="1" x14ac:dyDescent="0.25">
      <c r="A15" s="319" t="s">
        <v>342</v>
      </c>
      <c r="B15" s="314" t="s">
        <v>343</v>
      </c>
      <c r="C15" s="315">
        <v>1.1298365891871845E-2</v>
      </c>
      <c r="D15" s="316">
        <f>C15*'5. RWA'!$C$13</f>
        <v>10872631.529811297</v>
      </c>
    </row>
    <row r="16" spans="1:4" s="306" customFormat="1" x14ac:dyDescent="0.25">
      <c r="A16" s="319" t="s">
        <v>344</v>
      </c>
      <c r="B16" s="314" t="s">
        <v>345</v>
      </c>
      <c r="C16" s="320">
        <v>1.5098418919322756E-2</v>
      </c>
      <c r="D16" s="316">
        <f>C16*'5. RWA'!$C$13</f>
        <v>14529494.544925828</v>
      </c>
    </row>
    <row r="17" spans="1:6" s="306" customFormat="1" x14ac:dyDescent="0.25">
      <c r="A17" s="319" t="s">
        <v>346</v>
      </c>
      <c r="B17" s="314" t="s">
        <v>347</v>
      </c>
      <c r="C17" s="320">
        <v>4.7498967214368165E-2</v>
      </c>
      <c r="D17" s="316">
        <f>C17*'5. RWA'!$C$13</f>
        <v>45709155.953246608</v>
      </c>
    </row>
    <row r="18" spans="1:6" s="302" customFormat="1" x14ac:dyDescent="0.25">
      <c r="A18" s="566" t="s">
        <v>348</v>
      </c>
      <c r="B18" s="567"/>
      <c r="C18" s="321" t="s">
        <v>323</v>
      </c>
      <c r="D18" s="322" t="s">
        <v>324</v>
      </c>
    </row>
    <row r="19" spans="1:6" s="306" customFormat="1" x14ac:dyDescent="0.25">
      <c r="A19" s="323">
        <v>4</v>
      </c>
      <c r="B19" s="314" t="s">
        <v>36</v>
      </c>
      <c r="C19" s="315">
        <f>C7+C11+C12+C13+C15</f>
        <v>5.6298365891871843E-2</v>
      </c>
      <c r="D19" s="310">
        <f>C19*'5. RWA'!$C$13</f>
        <v>54176983.993161142</v>
      </c>
    </row>
    <row r="20" spans="1:6" s="306" customFormat="1" x14ac:dyDescent="0.25">
      <c r="A20" s="323">
        <v>5</v>
      </c>
      <c r="B20" s="314" t="s">
        <v>37</v>
      </c>
      <c r="C20" s="315">
        <f>C8+C11+C12+C13+C16</f>
        <v>7.5098418919322757E-2</v>
      </c>
      <c r="D20" s="310">
        <f>C20*'5. RWA'!$C$13</f>
        <v>72268631.162725627</v>
      </c>
    </row>
    <row r="21" spans="1:6" s="306" customFormat="1" ht="13.5" thickBot="1" x14ac:dyDescent="0.3">
      <c r="A21" s="324" t="s">
        <v>349</v>
      </c>
      <c r="B21" s="325" t="s">
        <v>20</v>
      </c>
      <c r="C21" s="326">
        <f>C9+C11+C12+C13+C17</f>
        <v>0.12749896721436815</v>
      </c>
      <c r="D21" s="327">
        <f>C21*'5. RWA'!$C$13</f>
        <v>122694671.44364633</v>
      </c>
    </row>
    <row r="22" spans="1:6" x14ac:dyDescent="0.2">
      <c r="F22" s="20"/>
    </row>
    <row r="23" spans="1:6" ht="63.75" x14ac:dyDescent="0.2">
      <c r="B23" s="86" t="s">
        <v>63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5"/>
  <sheetViews>
    <sheetView zoomScaleNormal="100"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RowHeight="15.75" x14ac:dyDescent="0.3"/>
  <cols>
    <col min="1" max="1" width="10.7109375" style="196" customWidth="1"/>
    <col min="2" max="2" width="91.85546875" style="196" customWidth="1"/>
    <col min="3" max="3" width="53.140625" style="196" customWidth="1"/>
    <col min="4" max="4" width="32.28515625" style="196" customWidth="1"/>
    <col min="5" max="5" width="12.5703125" bestFit="1" customWidth="1"/>
  </cols>
  <sheetData>
    <row r="1" spans="1:6" x14ac:dyDescent="0.3">
      <c r="A1" s="328" t="s">
        <v>29</v>
      </c>
      <c r="B1" s="22" t="str">
        <f>'1. key ratios'!B1</f>
        <v>სს ტერაბანკი</v>
      </c>
      <c r="E1" s="22"/>
      <c r="F1" s="22"/>
    </row>
    <row r="2" spans="1:6" s="212" customFormat="1" ht="15.75" customHeight="1" x14ac:dyDescent="0.3">
      <c r="A2" s="329" t="s">
        <v>31</v>
      </c>
      <c r="B2" s="89">
        <f>'1. key ratios'!B2</f>
        <v>43921</v>
      </c>
    </row>
    <row r="3" spans="1:6" s="212" customFormat="1" ht="15.75" customHeight="1" x14ac:dyDescent="0.3">
      <c r="A3" s="329"/>
    </row>
    <row r="4" spans="1:6" s="212" customFormat="1" ht="15.75" customHeight="1" thickBot="1" x14ac:dyDescent="0.35">
      <c r="A4" s="212" t="s">
        <v>350</v>
      </c>
      <c r="B4" s="330" t="s">
        <v>22</v>
      </c>
      <c r="D4" s="331" t="s">
        <v>67</v>
      </c>
    </row>
    <row r="5" spans="1:6" ht="38.25" x14ac:dyDescent="0.25">
      <c r="A5" s="332" t="s">
        <v>33</v>
      </c>
      <c r="B5" s="333" t="s">
        <v>258</v>
      </c>
      <c r="C5" s="334" t="s">
        <v>351</v>
      </c>
      <c r="D5" s="335" t="s">
        <v>352</v>
      </c>
    </row>
    <row r="6" spans="1:6" x14ac:dyDescent="0.3">
      <c r="A6" s="336">
        <v>1</v>
      </c>
      <c r="B6" s="337" t="s">
        <v>74</v>
      </c>
      <c r="C6" s="338">
        <f>'2. RC'!E7</f>
        <v>33238019.23</v>
      </c>
      <c r="D6" s="339"/>
      <c r="E6" s="340"/>
    </row>
    <row r="7" spans="1:6" x14ac:dyDescent="0.3">
      <c r="A7" s="336">
        <v>2</v>
      </c>
      <c r="B7" s="341" t="s">
        <v>75</v>
      </c>
      <c r="C7" s="338">
        <f>'2. RC'!E8</f>
        <v>143473929.59</v>
      </c>
      <c r="D7" s="342"/>
      <c r="E7" s="340"/>
    </row>
    <row r="8" spans="1:6" x14ac:dyDescent="0.3">
      <c r="A8" s="336">
        <v>3</v>
      </c>
      <c r="B8" s="341" t="s">
        <v>76</v>
      </c>
      <c r="C8" s="338">
        <f>'2. RC'!E9</f>
        <v>28166369.110000003</v>
      </c>
      <c r="D8" s="342"/>
      <c r="E8" s="340"/>
    </row>
    <row r="9" spans="1:6" x14ac:dyDescent="0.3">
      <c r="A9" s="336">
        <v>4</v>
      </c>
      <c r="B9" s="341" t="s">
        <v>77</v>
      </c>
      <c r="C9" s="338">
        <f>'2. RC'!E10</f>
        <v>0</v>
      </c>
      <c r="D9" s="342"/>
      <c r="E9" s="340"/>
    </row>
    <row r="10" spans="1:6" x14ac:dyDescent="0.3">
      <c r="A10" s="336">
        <v>5</v>
      </c>
      <c r="B10" s="341" t="s">
        <v>78</v>
      </c>
      <c r="C10" s="338">
        <f>'2. RC'!E11</f>
        <v>57434608.059999995</v>
      </c>
      <c r="D10" s="342"/>
      <c r="E10" s="340"/>
    </row>
    <row r="11" spans="1:6" x14ac:dyDescent="0.3">
      <c r="A11" s="336">
        <v>6.1</v>
      </c>
      <c r="B11" s="341" t="s">
        <v>79</v>
      </c>
      <c r="C11" s="343">
        <f>'2. RC'!E12</f>
        <v>818588173.00999844</v>
      </c>
      <c r="D11" s="344"/>
      <c r="E11" s="345"/>
    </row>
    <row r="12" spans="1:6" x14ac:dyDescent="0.3">
      <c r="A12" s="336">
        <v>6.2</v>
      </c>
      <c r="B12" s="346" t="s">
        <v>80</v>
      </c>
      <c r="C12" s="343">
        <f>'2. RC'!E13</f>
        <v>-65133218.680000514</v>
      </c>
      <c r="D12" s="344"/>
      <c r="E12" s="345"/>
    </row>
    <row r="13" spans="1:6" x14ac:dyDescent="0.3">
      <c r="A13" s="336" t="s">
        <v>353</v>
      </c>
      <c r="B13" s="347" t="s">
        <v>354</v>
      </c>
      <c r="C13" s="348">
        <v>-14658548.560000025</v>
      </c>
      <c r="D13" s="344"/>
      <c r="E13" s="345"/>
    </row>
    <row r="14" spans="1:6" x14ac:dyDescent="0.3">
      <c r="A14" s="336" t="s">
        <v>355</v>
      </c>
      <c r="B14" s="347" t="s">
        <v>356</v>
      </c>
      <c r="C14" s="348">
        <v>-25109902.789999999</v>
      </c>
      <c r="D14" s="344"/>
      <c r="E14" s="345"/>
    </row>
    <row r="15" spans="1:6" x14ac:dyDescent="0.3">
      <c r="A15" s="336">
        <v>6</v>
      </c>
      <c r="B15" s="341" t="s">
        <v>81</v>
      </c>
      <c r="C15" s="349">
        <f>C11+C12</f>
        <v>753454954.3299979</v>
      </c>
      <c r="D15" s="344"/>
      <c r="E15" s="340"/>
    </row>
    <row r="16" spans="1:6" x14ac:dyDescent="0.3">
      <c r="A16" s="336">
        <v>7</v>
      </c>
      <c r="B16" s="341" t="s">
        <v>82</v>
      </c>
      <c r="C16" s="350">
        <f>'2. RC'!E15</f>
        <v>7597163.8099999875</v>
      </c>
      <c r="D16" s="342"/>
      <c r="E16" s="340"/>
    </row>
    <row r="17" spans="1:5" x14ac:dyDescent="0.3">
      <c r="A17" s="336">
        <v>8</v>
      </c>
      <c r="B17" s="341" t="s">
        <v>83</v>
      </c>
      <c r="C17" s="350">
        <f>'2. RC'!E16</f>
        <v>2519122.6000000043</v>
      </c>
      <c r="D17" s="342"/>
      <c r="E17" s="340"/>
    </row>
    <row r="18" spans="1:5" x14ac:dyDescent="0.3">
      <c r="A18" s="336">
        <v>9</v>
      </c>
      <c r="B18" s="341" t="s">
        <v>84</v>
      </c>
      <c r="C18" s="350">
        <f>'2. RC'!E17</f>
        <v>0</v>
      </c>
      <c r="D18" s="342"/>
      <c r="E18" s="340"/>
    </row>
    <row r="19" spans="1:5" x14ac:dyDescent="0.3">
      <c r="A19" s="336">
        <v>9.1</v>
      </c>
      <c r="B19" s="347" t="s">
        <v>357</v>
      </c>
      <c r="C19" s="350">
        <v>0</v>
      </c>
      <c r="D19" s="342"/>
      <c r="E19" s="340"/>
    </row>
    <row r="20" spans="1:5" x14ac:dyDescent="0.3">
      <c r="A20" s="336">
        <v>9.1999999999999993</v>
      </c>
      <c r="B20" s="347" t="s">
        <v>358</v>
      </c>
      <c r="C20" s="350">
        <v>0</v>
      </c>
      <c r="D20" s="342"/>
      <c r="E20" s="340"/>
    </row>
    <row r="21" spans="1:5" x14ac:dyDescent="0.3">
      <c r="A21" s="336">
        <v>9.3000000000000007</v>
      </c>
      <c r="B21" s="347" t="s">
        <v>359</v>
      </c>
      <c r="C21" s="350">
        <v>0</v>
      </c>
      <c r="D21" s="342"/>
      <c r="E21" s="340"/>
    </row>
    <row r="22" spans="1:5" x14ac:dyDescent="0.3">
      <c r="A22" s="336">
        <v>10</v>
      </c>
      <c r="B22" s="341" t="s">
        <v>85</v>
      </c>
      <c r="C22" s="350">
        <f>'2. RC'!E18</f>
        <v>46292850.25</v>
      </c>
      <c r="D22" s="342"/>
      <c r="E22" s="340"/>
    </row>
    <row r="23" spans="1:5" x14ac:dyDescent="0.3">
      <c r="A23" s="336">
        <v>10.1</v>
      </c>
      <c r="B23" s="347" t="s">
        <v>360</v>
      </c>
      <c r="C23" s="350">
        <f>'9. Capital'!C15</f>
        <v>22850337</v>
      </c>
      <c r="D23" s="351" t="s">
        <v>361</v>
      </c>
      <c r="E23" s="340"/>
    </row>
    <row r="24" spans="1:5" x14ac:dyDescent="0.3">
      <c r="A24" s="336">
        <v>11</v>
      </c>
      <c r="B24" s="352" t="s">
        <v>86</v>
      </c>
      <c r="C24" s="353">
        <f>'2. RC'!E19</f>
        <v>7847723.023000001</v>
      </c>
      <c r="D24" s="342"/>
      <c r="E24" s="340"/>
    </row>
    <row r="25" spans="1:5" x14ac:dyDescent="0.3">
      <c r="A25" s="336">
        <v>12</v>
      </c>
      <c r="B25" s="354" t="s">
        <v>87</v>
      </c>
      <c r="C25" s="355">
        <f>SUM(C6:C10,C15:C18,C22,C24)</f>
        <v>1080024740.0029979</v>
      </c>
      <c r="D25" s="356"/>
      <c r="E25" s="357"/>
    </row>
    <row r="26" spans="1:5" x14ac:dyDescent="0.3">
      <c r="A26" s="336">
        <v>13</v>
      </c>
      <c r="B26" s="341" t="s">
        <v>89</v>
      </c>
      <c r="C26" s="358">
        <f>'2. RC'!E22</f>
        <v>10630723.98</v>
      </c>
      <c r="D26" s="359"/>
      <c r="E26" s="340"/>
    </row>
    <row r="27" spans="1:5" x14ac:dyDescent="0.3">
      <c r="A27" s="336">
        <v>14</v>
      </c>
      <c r="B27" s="341" t="s">
        <v>90</v>
      </c>
      <c r="C27" s="358">
        <f>'2. RC'!E23</f>
        <v>210259944.14999837</v>
      </c>
      <c r="D27" s="342"/>
      <c r="E27" s="340"/>
    </row>
    <row r="28" spans="1:5" x14ac:dyDescent="0.3">
      <c r="A28" s="336">
        <v>15</v>
      </c>
      <c r="B28" s="341" t="s">
        <v>91</v>
      </c>
      <c r="C28" s="358">
        <f>'2. RC'!E24</f>
        <v>148618062.46999997</v>
      </c>
      <c r="D28" s="342"/>
      <c r="E28" s="340"/>
    </row>
    <row r="29" spans="1:5" x14ac:dyDescent="0.3">
      <c r="A29" s="336">
        <v>16</v>
      </c>
      <c r="B29" s="341" t="s">
        <v>92</v>
      </c>
      <c r="C29" s="358">
        <f>'2. RC'!E25</f>
        <v>365859704.28000039</v>
      </c>
      <c r="D29" s="342"/>
      <c r="E29" s="340"/>
    </row>
    <row r="30" spans="1:5" x14ac:dyDescent="0.3">
      <c r="A30" s="336">
        <v>17</v>
      </c>
      <c r="B30" s="341" t="s">
        <v>93</v>
      </c>
      <c r="C30" s="358">
        <f>'2. RC'!E26</f>
        <v>0</v>
      </c>
      <c r="D30" s="342"/>
      <c r="E30" s="340"/>
    </row>
    <row r="31" spans="1:5" x14ac:dyDescent="0.3">
      <c r="A31" s="336">
        <v>18</v>
      </c>
      <c r="B31" s="341" t="s">
        <v>94</v>
      </c>
      <c r="C31" s="358">
        <f>'2. RC'!E27</f>
        <v>133975240</v>
      </c>
      <c r="D31" s="342"/>
      <c r="E31" s="340"/>
    </row>
    <row r="32" spans="1:5" x14ac:dyDescent="0.3">
      <c r="A32" s="336">
        <v>19</v>
      </c>
      <c r="B32" s="341" t="s">
        <v>95</v>
      </c>
      <c r="C32" s="358">
        <f>'2. RC'!E28</f>
        <v>5633904.6299999971</v>
      </c>
      <c r="D32" s="342"/>
      <c r="E32" s="340"/>
    </row>
    <row r="33" spans="1:5" x14ac:dyDescent="0.3">
      <c r="A33" s="336">
        <v>20</v>
      </c>
      <c r="B33" s="341" t="s">
        <v>96</v>
      </c>
      <c r="C33" s="358">
        <f>'2. RC'!E29</f>
        <v>22749074.909999996</v>
      </c>
      <c r="D33" s="342"/>
      <c r="E33" s="340"/>
    </row>
    <row r="34" spans="1:5" x14ac:dyDescent="0.3">
      <c r="A34" s="336">
        <v>20.100000000000001</v>
      </c>
      <c r="B34" s="360" t="s">
        <v>362</v>
      </c>
      <c r="C34" s="361">
        <v>610131.29</v>
      </c>
      <c r="D34" s="342"/>
      <c r="E34" s="340"/>
    </row>
    <row r="35" spans="1:5" x14ac:dyDescent="0.3">
      <c r="A35" s="336">
        <v>21</v>
      </c>
      <c r="B35" s="352" t="s">
        <v>97</v>
      </c>
      <c r="C35" s="358">
        <f>'2. RC'!E30</f>
        <v>61635280.899999999</v>
      </c>
      <c r="D35" s="342"/>
      <c r="E35" s="340"/>
    </row>
    <row r="36" spans="1:5" x14ac:dyDescent="0.3">
      <c r="A36" s="336">
        <v>21.1</v>
      </c>
      <c r="B36" s="360" t="s">
        <v>363</v>
      </c>
      <c r="C36" s="358">
        <v>54736817.939999998</v>
      </c>
      <c r="D36" s="342"/>
      <c r="E36" s="340"/>
    </row>
    <row r="37" spans="1:5" x14ac:dyDescent="0.3">
      <c r="A37" s="336">
        <v>22</v>
      </c>
      <c r="B37" s="354" t="s">
        <v>98</v>
      </c>
      <c r="C37" s="355">
        <f>SUM(C26:C33)+C35</f>
        <v>959361935.31999862</v>
      </c>
      <c r="D37" s="356"/>
      <c r="E37" s="357"/>
    </row>
    <row r="38" spans="1:5" x14ac:dyDescent="0.3">
      <c r="A38" s="336">
        <v>23</v>
      </c>
      <c r="B38" s="352" t="s">
        <v>100</v>
      </c>
      <c r="C38" s="350">
        <f>'2. RC'!E33</f>
        <v>121372000</v>
      </c>
      <c r="D38" s="342"/>
      <c r="E38" s="340"/>
    </row>
    <row r="39" spans="1:5" x14ac:dyDescent="0.3">
      <c r="A39" s="336">
        <v>24</v>
      </c>
      <c r="B39" s="352" t="s">
        <v>101</v>
      </c>
      <c r="C39" s="362">
        <f>'2. RC'!E34</f>
        <v>0</v>
      </c>
      <c r="D39" s="342"/>
      <c r="E39" s="340"/>
    </row>
    <row r="40" spans="1:5" x14ac:dyDescent="0.3">
      <c r="A40" s="336">
        <v>25</v>
      </c>
      <c r="B40" s="352" t="s">
        <v>364</v>
      </c>
      <c r="C40" s="362">
        <f>'2. RC'!E35</f>
        <v>0</v>
      </c>
      <c r="D40" s="342"/>
      <c r="E40" s="340"/>
    </row>
    <row r="41" spans="1:5" x14ac:dyDescent="0.3">
      <c r="A41" s="336">
        <v>26</v>
      </c>
      <c r="B41" s="352" t="s">
        <v>103</v>
      </c>
      <c r="C41" s="362">
        <f>'2. RC'!E36</f>
        <v>0</v>
      </c>
      <c r="D41" s="342"/>
      <c r="E41" s="340"/>
    </row>
    <row r="42" spans="1:5" x14ac:dyDescent="0.3">
      <c r="A42" s="336">
        <v>27</v>
      </c>
      <c r="B42" s="352" t="s">
        <v>104</v>
      </c>
      <c r="C42" s="362">
        <f>'2. RC'!E37</f>
        <v>0</v>
      </c>
      <c r="D42" s="342"/>
      <c r="E42" s="340"/>
    </row>
    <row r="43" spans="1:5" x14ac:dyDescent="0.3">
      <c r="A43" s="336">
        <v>28</v>
      </c>
      <c r="B43" s="352" t="s">
        <v>105</v>
      </c>
      <c r="C43" s="363">
        <f>'2. RC'!E38</f>
        <v>-709196.13000000012</v>
      </c>
      <c r="D43" s="342"/>
      <c r="E43" s="340"/>
    </row>
    <row r="44" spans="1:5" x14ac:dyDescent="0.3">
      <c r="A44" s="336">
        <v>29</v>
      </c>
      <c r="B44" s="352" t="s">
        <v>285</v>
      </c>
      <c r="C44" s="362">
        <f>'2. RC'!E39</f>
        <v>0</v>
      </c>
      <c r="D44" s="342"/>
      <c r="E44" s="340"/>
    </row>
    <row r="45" spans="1:5" ht="16.5" thickBot="1" x14ac:dyDescent="0.35">
      <c r="A45" s="364">
        <v>30</v>
      </c>
      <c r="B45" s="365" t="s">
        <v>107</v>
      </c>
      <c r="C45" s="366">
        <f>SUM(C38:C44)</f>
        <v>120662803.87</v>
      </c>
      <c r="D45" s="367"/>
      <c r="E45" s="357"/>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U25"/>
  <sheetViews>
    <sheetView zoomScale="71" zoomScaleNormal="71" workbookViewId="0">
      <pane xSplit="2" ySplit="7" topLeftCell="C8"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2" bestFit="1" customWidth="1"/>
    <col min="2" max="2" width="105.140625" style="22" bestFit="1" customWidth="1"/>
    <col min="3" max="3" width="16.28515625" style="22" bestFit="1" customWidth="1"/>
    <col min="4" max="4" width="13.42578125" style="22" bestFit="1" customWidth="1"/>
    <col min="5" max="5" width="16.140625" style="22" bestFit="1" customWidth="1"/>
    <col min="6" max="6" width="13.42578125" style="22" bestFit="1" customWidth="1"/>
    <col min="7" max="7" width="12.5703125" style="22" customWidth="1"/>
    <col min="8" max="8" width="13.42578125" style="22" bestFit="1" customWidth="1"/>
    <col min="9" max="9" width="15.5703125" style="22" bestFit="1" customWidth="1"/>
    <col min="10" max="10" width="13.42578125" style="22" bestFit="1" customWidth="1"/>
    <col min="11" max="11" width="17" style="22" bestFit="1" customWidth="1"/>
    <col min="12" max="12" width="14.7109375" style="22" bestFit="1" customWidth="1"/>
    <col min="13" max="13" width="17.28515625" style="22" bestFit="1" customWidth="1"/>
    <col min="14" max="14" width="16.28515625" style="22" bestFit="1" customWidth="1"/>
    <col min="15" max="15" width="15.140625" style="22" bestFit="1" customWidth="1"/>
    <col min="16" max="16" width="13.42578125" style="22" bestFit="1" customWidth="1"/>
    <col min="17" max="17" width="9.5703125" style="22" bestFit="1" customWidth="1"/>
    <col min="18" max="18" width="13.42578125" style="22" bestFit="1" customWidth="1"/>
    <col min="19" max="19" width="33.140625" style="22" bestFit="1" customWidth="1"/>
    <col min="20" max="20" width="12.5703125" style="135" bestFit="1" customWidth="1"/>
    <col min="21" max="21" width="11.7109375" style="135" bestFit="1" customWidth="1"/>
    <col min="22" max="16384" width="9.140625" style="135"/>
  </cols>
  <sheetData>
    <row r="1" spans="1:21" x14ac:dyDescent="0.2">
      <c r="A1" s="22" t="s">
        <v>29</v>
      </c>
      <c r="B1" s="22" t="str">
        <f>'1. key ratios'!B1</f>
        <v>სს ტერაბანკი</v>
      </c>
    </row>
    <row r="2" spans="1:21" x14ac:dyDescent="0.2">
      <c r="A2" s="22" t="s">
        <v>31</v>
      </c>
      <c r="B2" s="89">
        <f>'1. key ratios'!B2</f>
        <v>43921</v>
      </c>
    </row>
    <row r="4" spans="1:21" ht="26.25" thickBot="1" x14ac:dyDescent="0.25">
      <c r="A4" s="368" t="s">
        <v>365</v>
      </c>
      <c r="B4" s="369" t="s">
        <v>366</v>
      </c>
    </row>
    <row r="5" spans="1:21" x14ac:dyDescent="0.2">
      <c r="A5" s="370"/>
      <c r="B5" s="371"/>
      <c r="C5" s="372" t="s">
        <v>255</v>
      </c>
      <c r="D5" s="372" t="s">
        <v>256</v>
      </c>
      <c r="E5" s="372" t="s">
        <v>257</v>
      </c>
      <c r="F5" s="372" t="s">
        <v>367</v>
      </c>
      <c r="G5" s="372" t="s">
        <v>368</v>
      </c>
      <c r="H5" s="372" t="s">
        <v>369</v>
      </c>
      <c r="I5" s="372" t="s">
        <v>370</v>
      </c>
      <c r="J5" s="372" t="s">
        <v>371</v>
      </c>
      <c r="K5" s="372" t="s">
        <v>372</v>
      </c>
      <c r="L5" s="372" t="s">
        <v>373</v>
      </c>
      <c r="M5" s="372" t="s">
        <v>374</v>
      </c>
      <c r="N5" s="372" t="s">
        <v>375</v>
      </c>
      <c r="O5" s="372" t="s">
        <v>376</v>
      </c>
      <c r="P5" s="372" t="s">
        <v>377</v>
      </c>
      <c r="Q5" s="372" t="s">
        <v>378</v>
      </c>
      <c r="R5" s="373" t="s">
        <v>379</v>
      </c>
      <c r="S5" s="374" t="s">
        <v>380</v>
      </c>
    </row>
    <row r="6" spans="1:21" ht="46.5" customHeight="1" x14ac:dyDescent="0.2">
      <c r="A6" s="375"/>
      <c r="B6" s="572" t="s">
        <v>381</v>
      </c>
      <c r="C6" s="568">
        <v>0</v>
      </c>
      <c r="D6" s="569"/>
      <c r="E6" s="568">
        <v>0.2</v>
      </c>
      <c r="F6" s="569"/>
      <c r="G6" s="568">
        <v>0.35</v>
      </c>
      <c r="H6" s="569"/>
      <c r="I6" s="568">
        <v>0.5</v>
      </c>
      <c r="J6" s="569"/>
      <c r="K6" s="568">
        <v>0.75</v>
      </c>
      <c r="L6" s="569"/>
      <c r="M6" s="568">
        <v>1</v>
      </c>
      <c r="N6" s="569"/>
      <c r="O6" s="568">
        <v>1.5</v>
      </c>
      <c r="P6" s="569"/>
      <c r="Q6" s="568">
        <v>2.5</v>
      </c>
      <c r="R6" s="569"/>
      <c r="S6" s="570" t="s">
        <v>382</v>
      </c>
    </row>
    <row r="7" spans="1:21" x14ac:dyDescent="0.2">
      <c r="A7" s="375"/>
      <c r="B7" s="573"/>
      <c r="C7" s="376" t="s">
        <v>383</v>
      </c>
      <c r="D7" s="376" t="s">
        <v>384</v>
      </c>
      <c r="E7" s="376" t="s">
        <v>383</v>
      </c>
      <c r="F7" s="376" t="s">
        <v>384</v>
      </c>
      <c r="G7" s="376" t="s">
        <v>383</v>
      </c>
      <c r="H7" s="376" t="s">
        <v>384</v>
      </c>
      <c r="I7" s="376" t="s">
        <v>383</v>
      </c>
      <c r="J7" s="376" t="s">
        <v>384</v>
      </c>
      <c r="K7" s="376" t="s">
        <v>383</v>
      </c>
      <c r="L7" s="376" t="s">
        <v>384</v>
      </c>
      <c r="M7" s="376" t="s">
        <v>383</v>
      </c>
      <c r="N7" s="376" t="s">
        <v>384</v>
      </c>
      <c r="O7" s="376" t="s">
        <v>383</v>
      </c>
      <c r="P7" s="376" t="s">
        <v>384</v>
      </c>
      <c r="Q7" s="376" t="s">
        <v>383</v>
      </c>
      <c r="R7" s="376" t="s">
        <v>384</v>
      </c>
      <c r="S7" s="571"/>
    </row>
    <row r="8" spans="1:21" s="383" customFormat="1" x14ac:dyDescent="0.2">
      <c r="A8" s="377">
        <v>1</v>
      </c>
      <c r="B8" s="378" t="s">
        <v>385</v>
      </c>
      <c r="C8" s="379">
        <v>61351682.649999999</v>
      </c>
      <c r="D8" s="379"/>
      <c r="E8" s="379">
        <v>0</v>
      </c>
      <c r="F8" s="380"/>
      <c r="G8" s="379">
        <v>0</v>
      </c>
      <c r="H8" s="379"/>
      <c r="I8" s="379">
        <v>0</v>
      </c>
      <c r="J8" s="379"/>
      <c r="K8" s="379">
        <v>0</v>
      </c>
      <c r="L8" s="379"/>
      <c r="M8" s="379">
        <v>137063189.5</v>
      </c>
      <c r="N8" s="379"/>
      <c r="O8" s="379">
        <v>0</v>
      </c>
      <c r="P8" s="379"/>
      <c r="Q8" s="379">
        <v>0</v>
      </c>
      <c r="R8" s="380"/>
      <c r="S8" s="381">
        <f>$C$6*SUM(C8:D8)+$E$6*SUM(E8:F8)+$G$6*SUM(G8:H8)+$I$6*SUM(I8:J8)+$K$6*SUM(K8:L8)+$M$6*SUM(M8:N8)+$O$6*SUM(O8:P8)+$Q$6*SUM(Q8:R8)</f>
        <v>137063189.5</v>
      </c>
      <c r="T8" s="382"/>
      <c r="U8" s="382"/>
    </row>
    <row r="9" spans="1:21" s="383" customFormat="1" x14ac:dyDescent="0.2">
      <c r="A9" s="377">
        <v>2</v>
      </c>
      <c r="B9" s="378" t="s">
        <v>386</v>
      </c>
      <c r="C9" s="379">
        <v>0</v>
      </c>
      <c r="D9" s="379"/>
      <c r="E9" s="379">
        <v>0</v>
      </c>
      <c r="F9" s="379"/>
      <c r="G9" s="379">
        <v>0</v>
      </c>
      <c r="H9" s="379"/>
      <c r="I9" s="379">
        <v>0</v>
      </c>
      <c r="J9" s="379"/>
      <c r="K9" s="379">
        <v>0</v>
      </c>
      <c r="L9" s="379"/>
      <c r="M9" s="379">
        <v>0</v>
      </c>
      <c r="N9" s="379"/>
      <c r="O9" s="379">
        <v>0</v>
      </c>
      <c r="P9" s="379"/>
      <c r="Q9" s="379">
        <v>0</v>
      </c>
      <c r="R9" s="380"/>
      <c r="S9" s="384">
        <f t="shared" ref="S9:S21" si="0">$C$6*SUM(C9:D9)+$E$6*SUM(E9:F9)+$G$6*SUM(G9:H9)+$I$6*SUM(I9:J9)+$K$6*SUM(K9:L9)+$M$6*SUM(M9:N9)+$O$6*SUM(O9:P9)+$Q$6*SUM(Q9:R9)</f>
        <v>0</v>
      </c>
      <c r="T9" s="382"/>
      <c r="U9" s="382"/>
    </row>
    <row r="10" spans="1:21" s="383" customFormat="1" x14ac:dyDescent="0.2">
      <c r="A10" s="377">
        <v>3</v>
      </c>
      <c r="B10" s="378" t="s">
        <v>387</v>
      </c>
      <c r="C10" s="379">
        <v>0</v>
      </c>
      <c r="D10" s="379"/>
      <c r="E10" s="379">
        <v>0</v>
      </c>
      <c r="F10" s="379"/>
      <c r="G10" s="379">
        <v>0</v>
      </c>
      <c r="H10" s="379"/>
      <c r="I10" s="379">
        <v>0</v>
      </c>
      <c r="J10" s="379"/>
      <c r="K10" s="379">
        <v>0</v>
      </c>
      <c r="L10" s="379"/>
      <c r="M10" s="379">
        <v>0</v>
      </c>
      <c r="N10" s="379"/>
      <c r="O10" s="379">
        <v>0</v>
      </c>
      <c r="P10" s="379"/>
      <c r="Q10" s="379">
        <v>0</v>
      </c>
      <c r="R10" s="380"/>
      <c r="S10" s="384">
        <f t="shared" si="0"/>
        <v>0</v>
      </c>
      <c r="T10" s="382"/>
      <c r="U10" s="382"/>
    </row>
    <row r="11" spans="1:21" s="383" customFormat="1" x14ac:dyDescent="0.2">
      <c r="A11" s="377">
        <v>4</v>
      </c>
      <c r="B11" s="378" t="s">
        <v>388</v>
      </c>
      <c r="C11" s="379">
        <v>0</v>
      </c>
      <c r="D11" s="379"/>
      <c r="E11" s="379">
        <v>0</v>
      </c>
      <c r="F11" s="379"/>
      <c r="G11" s="379">
        <v>0</v>
      </c>
      <c r="H11" s="379"/>
      <c r="I11" s="379">
        <v>0</v>
      </c>
      <c r="J11" s="379"/>
      <c r="K11" s="379">
        <v>0</v>
      </c>
      <c r="L11" s="379"/>
      <c r="M11" s="379">
        <v>0</v>
      </c>
      <c r="N11" s="379"/>
      <c r="O11" s="379">
        <v>0</v>
      </c>
      <c r="P11" s="379"/>
      <c r="Q11" s="379">
        <v>0</v>
      </c>
      <c r="R11" s="380"/>
      <c r="S11" s="384">
        <f t="shared" si="0"/>
        <v>0</v>
      </c>
      <c r="T11" s="382"/>
      <c r="U11" s="382"/>
    </row>
    <row r="12" spans="1:21" s="383" customFormat="1" x14ac:dyDescent="0.2">
      <c r="A12" s="377">
        <v>5</v>
      </c>
      <c r="B12" s="378" t="s">
        <v>389</v>
      </c>
      <c r="C12" s="379">
        <v>0</v>
      </c>
      <c r="D12" s="379"/>
      <c r="E12" s="379">
        <v>0</v>
      </c>
      <c r="F12" s="379"/>
      <c r="G12" s="379">
        <v>0</v>
      </c>
      <c r="H12" s="379"/>
      <c r="I12" s="379">
        <v>0</v>
      </c>
      <c r="J12" s="379"/>
      <c r="K12" s="379">
        <v>0</v>
      </c>
      <c r="L12" s="379"/>
      <c r="M12" s="379">
        <v>0</v>
      </c>
      <c r="N12" s="379"/>
      <c r="O12" s="379">
        <v>0</v>
      </c>
      <c r="P12" s="379"/>
      <c r="Q12" s="379">
        <v>0</v>
      </c>
      <c r="R12" s="380"/>
      <c r="S12" s="384">
        <f t="shared" si="0"/>
        <v>0</v>
      </c>
      <c r="T12" s="382"/>
      <c r="U12" s="382"/>
    </row>
    <row r="13" spans="1:21" s="383" customFormat="1" x14ac:dyDescent="0.2">
      <c r="A13" s="377">
        <v>6</v>
      </c>
      <c r="B13" s="378" t="s">
        <v>390</v>
      </c>
      <c r="C13" s="379">
        <v>0</v>
      </c>
      <c r="D13" s="379"/>
      <c r="E13" s="379">
        <v>23646382.91</v>
      </c>
      <c r="F13" s="379"/>
      <c r="G13" s="379">
        <v>0</v>
      </c>
      <c r="H13" s="379"/>
      <c r="I13" s="379">
        <v>1350828.84</v>
      </c>
      <c r="J13" s="379"/>
      <c r="K13" s="379">
        <v>0</v>
      </c>
      <c r="L13" s="379"/>
      <c r="M13" s="379">
        <v>3169157.36</v>
      </c>
      <c r="N13" s="379"/>
      <c r="O13" s="379">
        <v>0</v>
      </c>
      <c r="P13" s="379"/>
      <c r="Q13" s="379">
        <v>0</v>
      </c>
      <c r="R13" s="380"/>
      <c r="S13" s="384">
        <f t="shared" si="0"/>
        <v>8573848.3619999997</v>
      </c>
      <c r="T13" s="382"/>
      <c r="U13" s="382"/>
    </row>
    <row r="14" spans="1:21" s="383" customFormat="1" x14ac:dyDescent="0.2">
      <c r="A14" s="377">
        <v>7</v>
      </c>
      <c r="B14" s="378" t="s">
        <v>391</v>
      </c>
      <c r="C14" s="379">
        <v>0</v>
      </c>
      <c r="D14" s="379"/>
      <c r="E14" s="379">
        <v>0</v>
      </c>
      <c r="F14" s="379"/>
      <c r="G14" s="379">
        <v>0</v>
      </c>
      <c r="H14" s="379"/>
      <c r="I14" s="379">
        <v>0</v>
      </c>
      <c r="J14" s="379"/>
      <c r="K14" s="379">
        <v>0</v>
      </c>
      <c r="L14" s="379"/>
      <c r="M14" s="379">
        <v>419135590.21999711</v>
      </c>
      <c r="N14" s="379">
        <v>27307960.24400001</v>
      </c>
      <c r="O14" s="379">
        <v>0</v>
      </c>
      <c r="P14" s="379"/>
      <c r="Q14" s="379">
        <v>0</v>
      </c>
      <c r="R14" s="380"/>
      <c r="S14" s="384">
        <f t="shared" si="0"/>
        <v>446443550.46399713</v>
      </c>
      <c r="T14" s="382"/>
      <c r="U14" s="382"/>
    </row>
    <row r="15" spans="1:21" s="383" customFormat="1" x14ac:dyDescent="0.2">
      <c r="A15" s="377">
        <v>8</v>
      </c>
      <c r="B15" s="378" t="s">
        <v>392</v>
      </c>
      <c r="C15" s="379">
        <v>0</v>
      </c>
      <c r="D15" s="379"/>
      <c r="E15" s="379">
        <v>0</v>
      </c>
      <c r="F15" s="379"/>
      <c r="G15" s="379">
        <v>0</v>
      </c>
      <c r="H15" s="379"/>
      <c r="I15" s="379">
        <v>0</v>
      </c>
      <c r="J15" s="379"/>
      <c r="K15" s="379">
        <v>174752003.56999969</v>
      </c>
      <c r="L15" s="379">
        <v>5922012.206000003</v>
      </c>
      <c r="M15" s="379">
        <v>0</v>
      </c>
      <c r="N15" s="379"/>
      <c r="O15" s="379">
        <v>0</v>
      </c>
      <c r="P15" s="379"/>
      <c r="Q15" s="379">
        <v>0</v>
      </c>
      <c r="R15" s="380"/>
      <c r="S15" s="384">
        <f t="shared" si="0"/>
        <v>135505511.83199978</v>
      </c>
      <c r="T15" s="382"/>
      <c r="U15" s="382"/>
    </row>
    <row r="16" spans="1:21" s="383" customFormat="1" x14ac:dyDescent="0.2">
      <c r="A16" s="377">
        <v>9</v>
      </c>
      <c r="B16" s="378" t="s">
        <v>393</v>
      </c>
      <c r="C16" s="379">
        <v>0</v>
      </c>
      <c r="D16" s="379"/>
      <c r="E16" s="379">
        <v>0</v>
      </c>
      <c r="F16" s="379"/>
      <c r="G16" s="379">
        <v>118476239.61999992</v>
      </c>
      <c r="H16" s="379">
        <v>876459.25</v>
      </c>
      <c r="I16" s="379">
        <v>0</v>
      </c>
      <c r="J16" s="379"/>
      <c r="K16" s="379">
        <v>0</v>
      </c>
      <c r="L16" s="379"/>
      <c r="M16" s="379">
        <v>0</v>
      </c>
      <c r="N16" s="379"/>
      <c r="O16" s="379">
        <v>0</v>
      </c>
      <c r="P16" s="379"/>
      <c r="Q16" s="379">
        <v>0</v>
      </c>
      <c r="R16" s="380"/>
      <c r="S16" s="384">
        <f t="shared" si="0"/>
        <v>41773444.604499966</v>
      </c>
      <c r="T16" s="382"/>
      <c r="U16" s="382"/>
    </row>
    <row r="17" spans="1:21" s="383" customFormat="1" x14ac:dyDescent="0.2">
      <c r="A17" s="377">
        <v>10</v>
      </c>
      <c r="B17" s="378" t="s">
        <v>394</v>
      </c>
      <c r="C17" s="379">
        <v>0</v>
      </c>
      <c r="D17" s="379"/>
      <c r="E17" s="379">
        <v>0</v>
      </c>
      <c r="F17" s="379"/>
      <c r="G17" s="379">
        <v>0</v>
      </c>
      <c r="H17" s="379"/>
      <c r="I17" s="379">
        <v>2605376.5400000005</v>
      </c>
      <c r="J17" s="379"/>
      <c r="K17" s="379">
        <v>0</v>
      </c>
      <c r="L17" s="379"/>
      <c r="M17" s="379">
        <v>12381416.25999999</v>
      </c>
      <c r="N17" s="379"/>
      <c r="O17" s="379">
        <v>1267029.8799999997</v>
      </c>
      <c r="P17" s="379"/>
      <c r="Q17" s="379">
        <v>0</v>
      </c>
      <c r="R17" s="380"/>
      <c r="S17" s="384">
        <f t="shared" si="0"/>
        <v>15584649.34999999</v>
      </c>
      <c r="T17" s="382"/>
      <c r="U17" s="382"/>
    </row>
    <row r="18" spans="1:21" s="383" customFormat="1" x14ac:dyDescent="0.2">
      <c r="A18" s="377">
        <v>11</v>
      </c>
      <c r="B18" s="378" t="s">
        <v>395</v>
      </c>
      <c r="C18" s="379">
        <v>0</v>
      </c>
      <c r="D18" s="379"/>
      <c r="E18" s="379">
        <v>0</v>
      </c>
      <c r="F18" s="379"/>
      <c r="G18" s="379">
        <v>0</v>
      </c>
      <c r="H18" s="379"/>
      <c r="I18" s="379">
        <v>0</v>
      </c>
      <c r="J18" s="379"/>
      <c r="K18" s="379">
        <v>0</v>
      </c>
      <c r="L18" s="379"/>
      <c r="M18" s="379">
        <v>61766372.479999989</v>
      </c>
      <c r="N18" s="379"/>
      <c r="O18" s="379">
        <v>14966680.109999996</v>
      </c>
      <c r="P18" s="379"/>
      <c r="Q18" s="379">
        <v>0</v>
      </c>
      <c r="R18" s="380"/>
      <c r="S18" s="384">
        <f t="shared" si="0"/>
        <v>84216392.644999981</v>
      </c>
      <c r="T18" s="382"/>
      <c r="U18" s="382"/>
    </row>
    <row r="19" spans="1:21" s="383" customFormat="1" x14ac:dyDescent="0.2">
      <c r="A19" s="377">
        <v>12</v>
      </c>
      <c r="B19" s="378" t="s">
        <v>396</v>
      </c>
      <c r="C19" s="379">
        <v>0</v>
      </c>
      <c r="D19" s="379"/>
      <c r="E19" s="379">
        <v>0</v>
      </c>
      <c r="F19" s="379"/>
      <c r="G19" s="379">
        <v>0</v>
      </c>
      <c r="H19" s="379"/>
      <c r="I19" s="379">
        <v>0</v>
      </c>
      <c r="J19" s="379"/>
      <c r="K19" s="379">
        <v>0</v>
      </c>
      <c r="L19" s="379"/>
      <c r="M19" s="379">
        <v>0</v>
      </c>
      <c r="N19" s="379"/>
      <c r="O19" s="379">
        <v>0</v>
      </c>
      <c r="P19" s="379"/>
      <c r="Q19" s="379">
        <v>0</v>
      </c>
      <c r="R19" s="380"/>
      <c r="S19" s="384">
        <f t="shared" si="0"/>
        <v>0</v>
      </c>
      <c r="T19" s="382"/>
      <c r="U19" s="382"/>
    </row>
    <row r="20" spans="1:21" s="383" customFormat="1" x14ac:dyDescent="0.2">
      <c r="A20" s="377">
        <v>13</v>
      </c>
      <c r="B20" s="378" t="s">
        <v>397</v>
      </c>
      <c r="C20" s="379">
        <v>0</v>
      </c>
      <c r="D20" s="379"/>
      <c r="E20" s="379">
        <v>0</v>
      </c>
      <c r="F20" s="379"/>
      <c r="G20" s="379">
        <v>0</v>
      </c>
      <c r="H20" s="379"/>
      <c r="I20" s="379">
        <v>0</v>
      </c>
      <c r="J20" s="379"/>
      <c r="K20" s="379">
        <v>0</v>
      </c>
      <c r="L20" s="379"/>
      <c r="M20" s="379">
        <v>0</v>
      </c>
      <c r="N20" s="379"/>
      <c r="O20" s="379">
        <v>0</v>
      </c>
      <c r="P20" s="379"/>
      <c r="Q20" s="379">
        <v>0</v>
      </c>
      <c r="R20" s="380"/>
      <c r="S20" s="384">
        <f t="shared" si="0"/>
        <v>0</v>
      </c>
      <c r="T20" s="382"/>
      <c r="U20" s="382"/>
    </row>
    <row r="21" spans="1:21" s="383" customFormat="1" x14ac:dyDescent="0.2">
      <c r="A21" s="377">
        <v>14</v>
      </c>
      <c r="B21" s="378" t="s">
        <v>398</v>
      </c>
      <c r="C21" s="379">
        <v>32627003.929999996</v>
      </c>
      <c r="D21" s="379"/>
      <c r="E21" s="379">
        <v>611015.30000000005</v>
      </c>
      <c r="F21" s="379"/>
      <c r="G21" s="379">
        <v>0</v>
      </c>
      <c r="H21" s="379"/>
      <c r="I21" s="379">
        <v>0</v>
      </c>
      <c r="J21" s="379">
        <v>0</v>
      </c>
      <c r="K21" s="379">
        <v>0</v>
      </c>
      <c r="L21" s="379"/>
      <c r="M21" s="379">
        <v>31872884.969999988</v>
      </c>
      <c r="N21" s="379">
        <v>0</v>
      </c>
      <c r="O21" s="379">
        <v>0</v>
      </c>
      <c r="P21" s="379"/>
      <c r="Q21" s="379">
        <v>0</v>
      </c>
      <c r="R21" s="380"/>
      <c r="S21" s="384">
        <f t="shared" si="0"/>
        <v>31995088.029999986</v>
      </c>
      <c r="T21" s="382"/>
      <c r="U21" s="382"/>
    </row>
    <row r="22" spans="1:21" ht="13.5" thickBot="1" x14ac:dyDescent="0.25">
      <c r="A22" s="385"/>
      <c r="B22" s="386" t="s">
        <v>73</v>
      </c>
      <c r="C22" s="387">
        <f>SUM(C8:C21)</f>
        <v>93978686.579999998</v>
      </c>
      <c r="D22" s="387">
        <f t="shared" ref="D22:S22" si="1">SUM(D8:D21)</f>
        <v>0</v>
      </c>
      <c r="E22" s="387">
        <f t="shared" si="1"/>
        <v>24257398.210000001</v>
      </c>
      <c r="F22" s="387">
        <f t="shared" si="1"/>
        <v>0</v>
      </c>
      <c r="G22" s="387">
        <f t="shared" si="1"/>
        <v>118476239.61999992</v>
      </c>
      <c r="H22" s="387">
        <f t="shared" si="1"/>
        <v>876459.25</v>
      </c>
      <c r="I22" s="387">
        <f>SUM(I8:I21)</f>
        <v>3956205.3800000008</v>
      </c>
      <c r="J22" s="387">
        <f t="shared" si="1"/>
        <v>0</v>
      </c>
      <c r="K22" s="387">
        <f t="shared" si="1"/>
        <v>174752003.56999969</v>
      </c>
      <c r="L22" s="387">
        <f t="shared" si="1"/>
        <v>5922012.206000003</v>
      </c>
      <c r="M22" s="387">
        <f t="shared" si="1"/>
        <v>665388610.7899971</v>
      </c>
      <c r="N22" s="387">
        <f>SUM(N8:N21)</f>
        <v>27307960.24400001</v>
      </c>
      <c r="O22" s="387">
        <f t="shared" si="1"/>
        <v>16233709.989999995</v>
      </c>
      <c r="P22" s="387">
        <f t="shared" si="1"/>
        <v>0</v>
      </c>
      <c r="Q22" s="387">
        <f t="shared" si="1"/>
        <v>0</v>
      </c>
      <c r="R22" s="387">
        <f t="shared" si="1"/>
        <v>0</v>
      </c>
      <c r="S22" s="388">
        <f t="shared" si="1"/>
        <v>901155674.78749681</v>
      </c>
      <c r="T22" s="389"/>
      <c r="U22" s="389"/>
    </row>
    <row r="23" spans="1:21" x14ac:dyDescent="0.2">
      <c r="T23" s="389"/>
      <c r="U23" s="389"/>
    </row>
    <row r="24" spans="1:21" x14ac:dyDescent="0.2">
      <c r="S24" s="195"/>
      <c r="T24" s="389"/>
      <c r="U24" s="389"/>
    </row>
    <row r="25" spans="1:21" x14ac:dyDescent="0.2">
      <c r="N25" s="238"/>
      <c r="S25" s="195"/>
      <c r="T25" s="389"/>
      <c r="U25" s="389"/>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70" zoomScaleNormal="70" workbookViewId="0">
      <pane xSplit="2" ySplit="6" topLeftCell="C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28.57031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135"/>
  </cols>
  <sheetData>
    <row r="1" spans="1:22" x14ac:dyDescent="0.2">
      <c r="A1" s="22" t="s">
        <v>29</v>
      </c>
      <c r="B1" s="22" t="str">
        <f>'1. key ratios'!B1</f>
        <v>სს ტერაბანკი</v>
      </c>
    </row>
    <row r="2" spans="1:22" x14ac:dyDescent="0.2">
      <c r="A2" s="22" t="s">
        <v>31</v>
      </c>
      <c r="B2" s="89">
        <f>'1. key ratios'!B2</f>
        <v>43921</v>
      </c>
    </row>
    <row r="4" spans="1:22" ht="27.75" thickBot="1" x14ac:dyDescent="0.35">
      <c r="A4" s="22" t="s">
        <v>399</v>
      </c>
      <c r="B4" s="390" t="s">
        <v>400</v>
      </c>
      <c r="V4" s="331" t="s">
        <v>67</v>
      </c>
    </row>
    <row r="5" spans="1:22" x14ac:dyDescent="0.2">
      <c r="A5" s="391"/>
      <c r="B5" s="392"/>
      <c r="C5" s="574" t="s">
        <v>401</v>
      </c>
      <c r="D5" s="575"/>
      <c r="E5" s="575"/>
      <c r="F5" s="575"/>
      <c r="G5" s="575"/>
      <c r="H5" s="575"/>
      <c r="I5" s="575"/>
      <c r="J5" s="575"/>
      <c r="K5" s="575"/>
      <c r="L5" s="576"/>
      <c r="M5" s="574" t="s">
        <v>402</v>
      </c>
      <c r="N5" s="575"/>
      <c r="O5" s="575"/>
      <c r="P5" s="575"/>
      <c r="Q5" s="575"/>
      <c r="R5" s="575"/>
      <c r="S5" s="576"/>
      <c r="T5" s="577" t="s">
        <v>403</v>
      </c>
      <c r="U5" s="577" t="s">
        <v>404</v>
      </c>
      <c r="V5" s="579" t="s">
        <v>405</v>
      </c>
    </row>
    <row r="6" spans="1:22" s="368" customFormat="1" ht="140.25" x14ac:dyDescent="0.25">
      <c r="A6" s="248"/>
      <c r="B6" s="393"/>
      <c r="C6" s="394" t="s">
        <v>406</v>
      </c>
      <c r="D6" s="395" t="s">
        <v>407</v>
      </c>
      <c r="E6" s="396" t="s">
        <v>408</v>
      </c>
      <c r="F6" s="397" t="s">
        <v>409</v>
      </c>
      <c r="G6" s="395" t="s">
        <v>410</v>
      </c>
      <c r="H6" s="395" t="s">
        <v>411</v>
      </c>
      <c r="I6" s="395" t="s">
        <v>412</v>
      </c>
      <c r="J6" s="395" t="s">
        <v>413</v>
      </c>
      <c r="K6" s="395" t="s">
        <v>414</v>
      </c>
      <c r="L6" s="398" t="s">
        <v>415</v>
      </c>
      <c r="M6" s="394" t="s">
        <v>416</v>
      </c>
      <c r="N6" s="395" t="s">
        <v>417</v>
      </c>
      <c r="O6" s="395" t="s">
        <v>418</v>
      </c>
      <c r="P6" s="395" t="s">
        <v>419</v>
      </c>
      <c r="Q6" s="395" t="s">
        <v>420</v>
      </c>
      <c r="R6" s="395" t="s">
        <v>421</v>
      </c>
      <c r="S6" s="398" t="s">
        <v>422</v>
      </c>
      <c r="T6" s="578"/>
      <c r="U6" s="578"/>
      <c r="V6" s="580"/>
    </row>
    <row r="7" spans="1:22" s="383" customFormat="1" x14ac:dyDescent="0.2">
      <c r="A7" s="399">
        <v>1</v>
      </c>
      <c r="B7" s="400" t="s">
        <v>385</v>
      </c>
      <c r="C7" s="401">
        <v>0</v>
      </c>
      <c r="D7" s="379">
        <f t="shared" ref="D7:D19" si="0">U7+T7</f>
        <v>0</v>
      </c>
      <c r="E7" s="379">
        <v>0</v>
      </c>
      <c r="F7" s="379">
        <v>0</v>
      </c>
      <c r="G7" s="379">
        <v>0</v>
      </c>
      <c r="H7" s="379">
        <v>0</v>
      </c>
      <c r="I7" s="379">
        <v>0</v>
      </c>
      <c r="J7" s="379">
        <v>0</v>
      </c>
      <c r="K7" s="379">
        <v>0</v>
      </c>
      <c r="L7" s="379">
        <v>0</v>
      </c>
      <c r="M7" s="402"/>
      <c r="N7" s="403"/>
      <c r="O7" s="403"/>
      <c r="P7" s="403"/>
      <c r="Q7" s="403"/>
      <c r="R7" s="403"/>
      <c r="S7" s="404"/>
      <c r="T7" s="405">
        <v>0</v>
      </c>
      <c r="U7" s="406"/>
      <c r="V7" s="407">
        <f>SUM(C7:S7)</f>
        <v>0</v>
      </c>
    </row>
    <row r="8" spans="1:22" s="383" customFormat="1" x14ac:dyDescent="0.2">
      <c r="A8" s="399">
        <v>2</v>
      </c>
      <c r="B8" s="400" t="s">
        <v>386</v>
      </c>
      <c r="C8" s="401">
        <v>0</v>
      </c>
      <c r="D8" s="379">
        <f t="shared" si="0"/>
        <v>0</v>
      </c>
      <c r="E8" s="379">
        <v>0</v>
      </c>
      <c r="F8" s="379">
        <v>0</v>
      </c>
      <c r="G8" s="379">
        <v>0</v>
      </c>
      <c r="H8" s="379">
        <v>0</v>
      </c>
      <c r="I8" s="379">
        <v>0</v>
      </c>
      <c r="J8" s="379">
        <v>0</v>
      </c>
      <c r="K8" s="379">
        <v>0</v>
      </c>
      <c r="L8" s="379">
        <v>0</v>
      </c>
      <c r="M8" s="402"/>
      <c r="N8" s="403"/>
      <c r="O8" s="403"/>
      <c r="P8" s="403"/>
      <c r="Q8" s="403"/>
      <c r="R8" s="403"/>
      <c r="S8" s="404"/>
      <c r="T8" s="405">
        <v>0</v>
      </c>
      <c r="U8" s="406"/>
      <c r="V8" s="407">
        <f t="shared" ref="V8:V20" si="1">SUM(C8:S8)</f>
        <v>0</v>
      </c>
    </row>
    <row r="9" spans="1:22" s="383" customFormat="1" x14ac:dyDescent="0.2">
      <c r="A9" s="399">
        <v>3</v>
      </c>
      <c r="B9" s="400" t="s">
        <v>387</v>
      </c>
      <c r="C9" s="401">
        <v>0</v>
      </c>
      <c r="D9" s="379">
        <f t="shared" si="0"/>
        <v>0</v>
      </c>
      <c r="E9" s="379">
        <v>0</v>
      </c>
      <c r="F9" s="379">
        <v>0</v>
      </c>
      <c r="G9" s="379">
        <v>0</v>
      </c>
      <c r="H9" s="379">
        <v>0</v>
      </c>
      <c r="I9" s="379">
        <v>0</v>
      </c>
      <c r="J9" s="379">
        <v>0</v>
      </c>
      <c r="K9" s="379">
        <v>0</v>
      </c>
      <c r="L9" s="379">
        <v>0</v>
      </c>
      <c r="M9" s="402"/>
      <c r="N9" s="403"/>
      <c r="O9" s="403"/>
      <c r="P9" s="403"/>
      <c r="Q9" s="403"/>
      <c r="R9" s="403"/>
      <c r="S9" s="404"/>
      <c r="T9" s="405">
        <v>0</v>
      </c>
      <c r="U9" s="406"/>
      <c r="V9" s="407">
        <f>SUM(C9:S9)</f>
        <v>0</v>
      </c>
    </row>
    <row r="10" spans="1:22" s="383" customFormat="1" x14ac:dyDescent="0.2">
      <c r="A10" s="399">
        <v>4</v>
      </c>
      <c r="B10" s="400" t="s">
        <v>388</v>
      </c>
      <c r="C10" s="401">
        <v>0</v>
      </c>
      <c r="D10" s="379">
        <f t="shared" si="0"/>
        <v>0</v>
      </c>
      <c r="E10" s="379">
        <v>0</v>
      </c>
      <c r="F10" s="379">
        <v>0</v>
      </c>
      <c r="G10" s="379">
        <v>0</v>
      </c>
      <c r="H10" s="379">
        <v>0</v>
      </c>
      <c r="I10" s="379">
        <v>0</v>
      </c>
      <c r="J10" s="379">
        <v>0</v>
      </c>
      <c r="K10" s="379">
        <v>0</v>
      </c>
      <c r="L10" s="379">
        <v>0</v>
      </c>
      <c r="M10" s="402"/>
      <c r="N10" s="403"/>
      <c r="O10" s="403"/>
      <c r="P10" s="403"/>
      <c r="Q10" s="403"/>
      <c r="R10" s="403"/>
      <c r="S10" s="404"/>
      <c r="T10" s="405">
        <v>0</v>
      </c>
      <c r="U10" s="406"/>
      <c r="V10" s="407">
        <f t="shared" si="1"/>
        <v>0</v>
      </c>
    </row>
    <row r="11" spans="1:22" s="383" customFormat="1" x14ac:dyDescent="0.2">
      <c r="A11" s="399">
        <v>5</v>
      </c>
      <c r="B11" s="400" t="s">
        <v>389</v>
      </c>
      <c r="C11" s="401">
        <v>0</v>
      </c>
      <c r="D11" s="379">
        <f t="shared" si="0"/>
        <v>0</v>
      </c>
      <c r="E11" s="379">
        <v>0</v>
      </c>
      <c r="F11" s="379">
        <v>0</v>
      </c>
      <c r="G11" s="379">
        <v>0</v>
      </c>
      <c r="H11" s="379">
        <v>0</v>
      </c>
      <c r="I11" s="379">
        <v>0</v>
      </c>
      <c r="J11" s="379">
        <v>0</v>
      </c>
      <c r="K11" s="379">
        <v>0</v>
      </c>
      <c r="L11" s="379">
        <v>0</v>
      </c>
      <c r="M11" s="402"/>
      <c r="N11" s="403"/>
      <c r="O11" s="403"/>
      <c r="P11" s="403"/>
      <c r="Q11" s="403"/>
      <c r="R11" s="403"/>
      <c r="S11" s="404"/>
      <c r="T11" s="405">
        <v>0</v>
      </c>
      <c r="U11" s="406"/>
      <c r="V11" s="407">
        <f t="shared" si="1"/>
        <v>0</v>
      </c>
    </row>
    <row r="12" spans="1:22" s="383" customFormat="1" x14ac:dyDescent="0.2">
      <c r="A12" s="399">
        <v>6</v>
      </c>
      <c r="B12" s="400" t="s">
        <v>390</v>
      </c>
      <c r="C12" s="401">
        <v>0</v>
      </c>
      <c r="D12" s="379">
        <f t="shared" si="0"/>
        <v>0</v>
      </c>
      <c r="E12" s="379">
        <v>0</v>
      </c>
      <c r="F12" s="379">
        <v>0</v>
      </c>
      <c r="G12" s="379">
        <v>0</v>
      </c>
      <c r="H12" s="379">
        <v>0</v>
      </c>
      <c r="I12" s="379">
        <v>0</v>
      </c>
      <c r="J12" s="379">
        <v>0</v>
      </c>
      <c r="K12" s="379">
        <v>0</v>
      </c>
      <c r="L12" s="379">
        <v>0</v>
      </c>
      <c r="M12" s="402"/>
      <c r="N12" s="403"/>
      <c r="O12" s="403"/>
      <c r="P12" s="403"/>
      <c r="Q12" s="403"/>
      <c r="R12" s="403"/>
      <c r="S12" s="404"/>
      <c r="T12" s="405">
        <v>0</v>
      </c>
      <c r="U12" s="406"/>
      <c r="V12" s="407">
        <f t="shared" si="1"/>
        <v>0</v>
      </c>
    </row>
    <row r="13" spans="1:22" s="383" customFormat="1" x14ac:dyDescent="0.2">
      <c r="A13" s="399">
        <v>7</v>
      </c>
      <c r="B13" s="400" t="s">
        <v>391</v>
      </c>
      <c r="C13" s="401">
        <v>0</v>
      </c>
      <c r="D13" s="379">
        <f t="shared" si="0"/>
        <v>28727975.349999994</v>
      </c>
      <c r="E13" s="379">
        <v>0</v>
      </c>
      <c r="F13" s="379">
        <v>0</v>
      </c>
      <c r="G13" s="379">
        <v>0</v>
      </c>
      <c r="H13" s="379">
        <v>0</v>
      </c>
      <c r="I13" s="379">
        <v>0</v>
      </c>
      <c r="J13" s="379">
        <v>0</v>
      </c>
      <c r="K13" s="379">
        <v>0</v>
      </c>
      <c r="L13" s="379">
        <v>0</v>
      </c>
      <c r="M13" s="402"/>
      <c r="N13" s="403"/>
      <c r="O13" s="403"/>
      <c r="P13" s="403"/>
      <c r="Q13" s="403"/>
      <c r="R13" s="403"/>
      <c r="S13" s="404"/>
      <c r="T13" s="405">
        <v>18725485.369999997</v>
      </c>
      <c r="U13" s="406">
        <v>10002489.979999999</v>
      </c>
      <c r="V13" s="407">
        <f t="shared" si="1"/>
        <v>28727975.349999994</v>
      </c>
    </row>
    <row r="14" spans="1:22" s="383" customFormat="1" x14ac:dyDescent="0.2">
      <c r="A14" s="399">
        <v>8</v>
      </c>
      <c r="B14" s="400" t="s">
        <v>392</v>
      </c>
      <c r="C14" s="401">
        <v>0</v>
      </c>
      <c r="D14" s="379">
        <f t="shared" si="0"/>
        <v>2502998.6212499999</v>
      </c>
      <c r="E14" s="379">
        <v>0</v>
      </c>
      <c r="F14" s="379">
        <v>0</v>
      </c>
      <c r="G14" s="379">
        <v>0</v>
      </c>
      <c r="H14" s="379">
        <v>0</v>
      </c>
      <c r="I14" s="379">
        <v>0</v>
      </c>
      <c r="J14" s="379">
        <v>0</v>
      </c>
      <c r="K14" s="379">
        <v>0</v>
      </c>
      <c r="L14" s="379">
        <v>0</v>
      </c>
      <c r="M14" s="402"/>
      <c r="N14" s="403"/>
      <c r="O14" s="403"/>
      <c r="P14" s="403"/>
      <c r="Q14" s="403"/>
      <c r="R14" s="403"/>
      <c r="S14" s="404"/>
      <c r="T14" s="405">
        <v>1689901.0724999998</v>
      </c>
      <c r="U14" s="406">
        <v>813097.54875000007</v>
      </c>
      <c r="V14" s="407">
        <f t="shared" si="1"/>
        <v>2502998.6212499999</v>
      </c>
    </row>
    <row r="15" spans="1:22" s="383" customFormat="1" x14ac:dyDescent="0.2">
      <c r="A15" s="399">
        <v>9</v>
      </c>
      <c r="B15" s="400" t="s">
        <v>393</v>
      </c>
      <c r="C15" s="401">
        <v>0</v>
      </c>
      <c r="D15" s="379">
        <f t="shared" si="0"/>
        <v>0</v>
      </c>
      <c r="E15" s="379">
        <v>0</v>
      </c>
      <c r="F15" s="379">
        <v>0</v>
      </c>
      <c r="G15" s="379">
        <v>0</v>
      </c>
      <c r="H15" s="379">
        <v>0</v>
      </c>
      <c r="I15" s="379">
        <v>0</v>
      </c>
      <c r="J15" s="379">
        <v>0</v>
      </c>
      <c r="K15" s="379">
        <v>0</v>
      </c>
      <c r="L15" s="379">
        <v>0</v>
      </c>
      <c r="M15" s="402"/>
      <c r="N15" s="403"/>
      <c r="O15" s="403"/>
      <c r="P15" s="403"/>
      <c r="Q15" s="403"/>
      <c r="R15" s="403"/>
      <c r="S15" s="404"/>
      <c r="T15" s="405">
        <v>0</v>
      </c>
      <c r="U15" s="406"/>
      <c r="V15" s="407">
        <f t="shared" si="1"/>
        <v>0</v>
      </c>
    </row>
    <row r="16" spans="1:22" s="383" customFormat="1" x14ac:dyDescent="0.2">
      <c r="A16" s="399">
        <v>10</v>
      </c>
      <c r="B16" s="400" t="s">
        <v>394</v>
      </c>
      <c r="C16" s="401">
        <v>0</v>
      </c>
      <c r="D16" s="379">
        <f t="shared" si="0"/>
        <v>0</v>
      </c>
      <c r="E16" s="379">
        <v>0</v>
      </c>
      <c r="F16" s="379">
        <v>0</v>
      </c>
      <c r="G16" s="379">
        <v>0</v>
      </c>
      <c r="H16" s="379">
        <v>0</v>
      </c>
      <c r="I16" s="379">
        <v>0</v>
      </c>
      <c r="J16" s="379">
        <v>0</v>
      </c>
      <c r="K16" s="379">
        <v>0</v>
      </c>
      <c r="L16" s="379">
        <v>0</v>
      </c>
      <c r="M16" s="402"/>
      <c r="N16" s="403"/>
      <c r="O16" s="403"/>
      <c r="P16" s="403"/>
      <c r="Q16" s="403"/>
      <c r="R16" s="403"/>
      <c r="S16" s="404"/>
      <c r="T16" s="405">
        <v>0</v>
      </c>
      <c r="U16" s="406"/>
      <c r="V16" s="407">
        <f t="shared" si="1"/>
        <v>0</v>
      </c>
    </row>
    <row r="17" spans="1:22" s="383" customFormat="1" x14ac:dyDescent="0.2">
      <c r="A17" s="399">
        <v>11</v>
      </c>
      <c r="B17" s="400" t="s">
        <v>395</v>
      </c>
      <c r="C17" s="401">
        <v>0</v>
      </c>
      <c r="D17" s="379">
        <f t="shared" si="0"/>
        <v>0</v>
      </c>
      <c r="E17" s="379">
        <v>0</v>
      </c>
      <c r="F17" s="379">
        <v>0</v>
      </c>
      <c r="G17" s="379">
        <v>0</v>
      </c>
      <c r="H17" s="379">
        <v>0</v>
      </c>
      <c r="I17" s="379">
        <v>0</v>
      </c>
      <c r="J17" s="379">
        <v>0</v>
      </c>
      <c r="K17" s="379">
        <v>0</v>
      </c>
      <c r="L17" s="379">
        <v>0</v>
      </c>
      <c r="M17" s="402"/>
      <c r="N17" s="403"/>
      <c r="O17" s="403"/>
      <c r="P17" s="403"/>
      <c r="Q17" s="403"/>
      <c r="R17" s="403"/>
      <c r="S17" s="404"/>
      <c r="T17" s="405">
        <v>0</v>
      </c>
      <c r="U17" s="406"/>
      <c r="V17" s="407">
        <f t="shared" si="1"/>
        <v>0</v>
      </c>
    </row>
    <row r="18" spans="1:22" s="383" customFormat="1" x14ac:dyDescent="0.2">
      <c r="A18" s="399">
        <v>12</v>
      </c>
      <c r="B18" s="400" t="s">
        <v>396</v>
      </c>
      <c r="C18" s="401">
        <v>0</v>
      </c>
      <c r="D18" s="379">
        <f t="shared" si="0"/>
        <v>0</v>
      </c>
      <c r="E18" s="379">
        <v>0</v>
      </c>
      <c r="F18" s="379">
        <v>0</v>
      </c>
      <c r="G18" s="379">
        <v>0</v>
      </c>
      <c r="H18" s="379">
        <v>0</v>
      </c>
      <c r="I18" s="379">
        <v>0</v>
      </c>
      <c r="J18" s="379">
        <v>0</v>
      </c>
      <c r="K18" s="379">
        <v>0</v>
      </c>
      <c r="L18" s="379">
        <v>0</v>
      </c>
      <c r="M18" s="402"/>
      <c r="N18" s="403"/>
      <c r="O18" s="403"/>
      <c r="P18" s="403"/>
      <c r="Q18" s="403"/>
      <c r="R18" s="403"/>
      <c r="S18" s="404"/>
      <c r="T18" s="405">
        <v>0</v>
      </c>
      <c r="U18" s="406"/>
      <c r="V18" s="407">
        <f t="shared" si="1"/>
        <v>0</v>
      </c>
    </row>
    <row r="19" spans="1:22" s="383" customFormat="1" x14ac:dyDescent="0.2">
      <c r="A19" s="399">
        <v>13</v>
      </c>
      <c r="B19" s="400" t="s">
        <v>397</v>
      </c>
      <c r="C19" s="401">
        <v>0</v>
      </c>
      <c r="D19" s="379">
        <f t="shared" si="0"/>
        <v>0</v>
      </c>
      <c r="E19" s="379">
        <v>0</v>
      </c>
      <c r="F19" s="379">
        <v>0</v>
      </c>
      <c r="G19" s="379">
        <v>0</v>
      </c>
      <c r="H19" s="379">
        <v>0</v>
      </c>
      <c r="I19" s="379">
        <v>0</v>
      </c>
      <c r="J19" s="379">
        <v>0</v>
      </c>
      <c r="K19" s="379">
        <v>0</v>
      </c>
      <c r="L19" s="379">
        <v>0</v>
      </c>
      <c r="M19" s="402"/>
      <c r="N19" s="403"/>
      <c r="O19" s="403"/>
      <c r="P19" s="403"/>
      <c r="Q19" s="403"/>
      <c r="R19" s="403"/>
      <c r="S19" s="404"/>
      <c r="T19" s="405">
        <v>0</v>
      </c>
      <c r="U19" s="406"/>
      <c r="V19" s="407">
        <f t="shared" si="1"/>
        <v>0</v>
      </c>
    </row>
    <row r="20" spans="1:22" s="383" customFormat="1" x14ac:dyDescent="0.2">
      <c r="A20" s="399">
        <v>14</v>
      </c>
      <c r="B20" s="400" t="s">
        <v>398</v>
      </c>
      <c r="C20" s="401">
        <v>0</v>
      </c>
      <c r="D20" s="379">
        <f>U20+T20</f>
        <v>0</v>
      </c>
      <c r="E20" s="379">
        <v>0</v>
      </c>
      <c r="F20" s="379">
        <v>0</v>
      </c>
      <c r="G20" s="379">
        <v>0</v>
      </c>
      <c r="H20" s="379">
        <v>0</v>
      </c>
      <c r="I20" s="379">
        <v>0</v>
      </c>
      <c r="J20" s="379">
        <v>0</v>
      </c>
      <c r="K20" s="379">
        <v>0</v>
      </c>
      <c r="L20" s="379">
        <v>0</v>
      </c>
      <c r="M20" s="402"/>
      <c r="N20" s="403"/>
      <c r="O20" s="403"/>
      <c r="P20" s="403"/>
      <c r="Q20" s="403"/>
      <c r="R20" s="403"/>
      <c r="S20" s="404"/>
      <c r="T20" s="405">
        <v>0</v>
      </c>
      <c r="U20" s="406">
        <v>0</v>
      </c>
      <c r="V20" s="407">
        <f t="shared" si="1"/>
        <v>0</v>
      </c>
    </row>
    <row r="21" spans="1:22" ht="13.5" thickBot="1" x14ac:dyDescent="0.25">
      <c r="A21" s="385"/>
      <c r="B21" s="408" t="s">
        <v>73</v>
      </c>
      <c r="C21" s="409">
        <f>SUM(C7:C20)</f>
        <v>0</v>
      </c>
      <c r="D21" s="410">
        <f t="shared" ref="D21:V21" si="2">SUM(D7:D20)</f>
        <v>31230973.971249994</v>
      </c>
      <c r="E21" s="410">
        <f t="shared" si="2"/>
        <v>0</v>
      </c>
      <c r="F21" s="410">
        <f t="shared" si="2"/>
        <v>0</v>
      </c>
      <c r="G21" s="410">
        <f t="shared" si="2"/>
        <v>0</v>
      </c>
      <c r="H21" s="410">
        <f t="shared" si="2"/>
        <v>0</v>
      </c>
      <c r="I21" s="410">
        <f t="shared" si="2"/>
        <v>0</v>
      </c>
      <c r="J21" s="410">
        <f t="shared" si="2"/>
        <v>0</v>
      </c>
      <c r="K21" s="410">
        <f t="shared" si="2"/>
        <v>0</v>
      </c>
      <c r="L21" s="411">
        <f t="shared" si="2"/>
        <v>0</v>
      </c>
      <c r="M21" s="409">
        <f t="shared" si="2"/>
        <v>0</v>
      </c>
      <c r="N21" s="410">
        <f t="shared" si="2"/>
        <v>0</v>
      </c>
      <c r="O21" s="410">
        <f t="shared" si="2"/>
        <v>0</v>
      </c>
      <c r="P21" s="410">
        <f t="shared" si="2"/>
        <v>0</v>
      </c>
      <c r="Q21" s="410">
        <f t="shared" si="2"/>
        <v>0</v>
      </c>
      <c r="R21" s="410">
        <f t="shared" si="2"/>
        <v>0</v>
      </c>
      <c r="S21" s="411">
        <f t="shared" si="2"/>
        <v>0</v>
      </c>
      <c r="T21" s="411">
        <f>SUM(T7:T20)</f>
        <v>20415386.442499995</v>
      </c>
      <c r="U21" s="411">
        <f t="shared" si="2"/>
        <v>10815587.528749999</v>
      </c>
      <c r="V21" s="412">
        <f t="shared" si="2"/>
        <v>31230973.971249994</v>
      </c>
    </row>
    <row r="24" spans="1:22" x14ac:dyDescent="0.2">
      <c r="A24" s="27"/>
      <c r="B24" s="27"/>
      <c r="C24" s="413"/>
      <c r="D24" s="413"/>
      <c r="E24" s="413"/>
      <c r="V24" s="195"/>
    </row>
    <row r="25" spans="1:22" x14ac:dyDescent="0.2">
      <c r="A25" s="414"/>
      <c r="B25" s="414"/>
      <c r="C25" s="27"/>
      <c r="D25" s="413"/>
      <c r="E25" s="413"/>
      <c r="V25" s="240"/>
    </row>
    <row r="26" spans="1:22" x14ac:dyDescent="0.2">
      <c r="A26" s="414"/>
      <c r="B26" s="415"/>
      <c r="C26" s="27"/>
      <c r="D26" s="413"/>
      <c r="E26" s="413"/>
    </row>
    <row r="27" spans="1:22" x14ac:dyDescent="0.2">
      <c r="A27" s="414"/>
      <c r="B27" s="414"/>
      <c r="C27" s="27"/>
      <c r="D27" s="413"/>
      <c r="E27" s="413"/>
    </row>
    <row r="28" spans="1:22" x14ac:dyDescent="0.2">
      <c r="A28" s="414"/>
      <c r="B28" s="415"/>
      <c r="C28" s="27"/>
      <c r="D28" s="413"/>
      <c r="E28" s="413"/>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8"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17.42578125" style="22" customWidth="1"/>
    <col min="8" max="8" width="15.28515625" style="22" customWidth="1"/>
    <col min="9" max="16384" width="9.140625" style="135"/>
  </cols>
  <sheetData>
    <row r="1" spans="1:9" x14ac:dyDescent="0.2">
      <c r="A1" s="22" t="s">
        <v>29</v>
      </c>
      <c r="B1" s="22" t="str">
        <f>'1. key ratios'!B1</f>
        <v>სს ტერაბანკი</v>
      </c>
    </row>
    <row r="2" spans="1:9" x14ac:dyDescent="0.2">
      <c r="A2" s="22" t="s">
        <v>31</v>
      </c>
      <c r="B2" s="89">
        <f>'1. key ratios'!B2</f>
        <v>43921</v>
      </c>
    </row>
    <row r="4" spans="1:9" ht="13.5" thickBot="1" x14ac:dyDescent="0.25">
      <c r="A4" s="22" t="s">
        <v>423</v>
      </c>
      <c r="B4" s="416" t="s">
        <v>424</v>
      </c>
    </row>
    <row r="5" spans="1:9" x14ac:dyDescent="0.2">
      <c r="A5" s="391"/>
      <c r="B5" s="417"/>
      <c r="C5" s="418" t="s">
        <v>255</v>
      </c>
      <c r="D5" s="418" t="s">
        <v>256</v>
      </c>
      <c r="E5" s="418" t="s">
        <v>257</v>
      </c>
      <c r="F5" s="418" t="s">
        <v>367</v>
      </c>
      <c r="G5" s="419" t="s">
        <v>368</v>
      </c>
      <c r="H5" s="420" t="s">
        <v>369</v>
      </c>
      <c r="I5" s="421"/>
    </row>
    <row r="6" spans="1:9" ht="15" customHeight="1" x14ac:dyDescent="0.2">
      <c r="A6" s="375"/>
      <c r="B6" s="422"/>
      <c r="C6" s="581" t="s">
        <v>425</v>
      </c>
      <c r="D6" s="583" t="s">
        <v>426</v>
      </c>
      <c r="E6" s="584"/>
      <c r="F6" s="581" t="s">
        <v>427</v>
      </c>
      <c r="G6" s="581" t="s">
        <v>428</v>
      </c>
      <c r="H6" s="585" t="s">
        <v>429</v>
      </c>
      <c r="I6" s="421"/>
    </row>
    <row r="7" spans="1:9" ht="76.5" x14ac:dyDescent="0.2">
      <c r="A7" s="375"/>
      <c r="B7" s="422"/>
      <c r="C7" s="582"/>
      <c r="D7" s="423" t="s">
        <v>430</v>
      </c>
      <c r="E7" s="423" t="s">
        <v>431</v>
      </c>
      <c r="F7" s="582"/>
      <c r="G7" s="582"/>
      <c r="H7" s="586"/>
      <c r="I7" s="421"/>
    </row>
    <row r="8" spans="1:9" x14ac:dyDescent="0.2">
      <c r="A8" s="424">
        <v>1</v>
      </c>
      <c r="B8" s="283" t="s">
        <v>385</v>
      </c>
      <c r="C8" s="425">
        <v>198414872.15000001</v>
      </c>
      <c r="D8" s="426">
        <v>0</v>
      </c>
      <c r="E8" s="425">
        <v>0</v>
      </c>
      <c r="F8" s="425">
        <f>'11. CRWA'!S8</f>
        <v>137063189.5</v>
      </c>
      <c r="G8" s="427">
        <f>'11. CRWA'!S8-'12. CRM'!V7</f>
        <v>137063189.5</v>
      </c>
      <c r="H8" s="428">
        <f>IFERROR(G8/(C8+E8),"")</f>
        <v>0.69079090702627044</v>
      </c>
    </row>
    <row r="9" spans="1:9" ht="15" customHeight="1" x14ac:dyDescent="0.2">
      <c r="A9" s="424">
        <v>2</v>
      </c>
      <c r="B9" s="283" t="s">
        <v>386</v>
      </c>
      <c r="C9" s="425">
        <v>0</v>
      </c>
      <c r="D9" s="426">
        <v>0</v>
      </c>
      <c r="E9" s="425">
        <v>0</v>
      </c>
      <c r="F9" s="425">
        <f>'11. CRWA'!S9</f>
        <v>0</v>
      </c>
      <c r="G9" s="427">
        <f>'11. CRWA'!S9-'12. CRM'!V8</f>
        <v>0</v>
      </c>
      <c r="H9" s="428" t="str">
        <f t="shared" ref="H9:H22" si="0">IFERROR(G9/(C9+E9),"")</f>
        <v/>
      </c>
    </row>
    <row r="10" spans="1:9" x14ac:dyDescent="0.2">
      <c r="A10" s="424">
        <v>3</v>
      </c>
      <c r="B10" s="283" t="s">
        <v>387</v>
      </c>
      <c r="C10" s="425">
        <v>0</v>
      </c>
      <c r="D10" s="426">
        <v>0</v>
      </c>
      <c r="E10" s="425">
        <v>0</v>
      </c>
      <c r="F10" s="425">
        <f>'11. CRWA'!S10</f>
        <v>0</v>
      </c>
      <c r="G10" s="427">
        <f>'11. CRWA'!S10-'12. CRM'!V9</f>
        <v>0</v>
      </c>
      <c r="H10" s="428" t="str">
        <f t="shared" si="0"/>
        <v/>
      </c>
    </row>
    <row r="11" spans="1:9" x14ac:dyDescent="0.2">
      <c r="A11" s="424">
        <v>4</v>
      </c>
      <c r="B11" s="283" t="s">
        <v>388</v>
      </c>
      <c r="C11" s="425">
        <v>0</v>
      </c>
      <c r="D11" s="426">
        <v>0</v>
      </c>
      <c r="E11" s="425">
        <v>0</v>
      </c>
      <c r="F11" s="425">
        <f>'11. CRWA'!S11</f>
        <v>0</v>
      </c>
      <c r="G11" s="427">
        <f>'11. CRWA'!S11-'12. CRM'!V10</f>
        <v>0</v>
      </c>
      <c r="H11" s="428" t="str">
        <f t="shared" si="0"/>
        <v/>
      </c>
    </row>
    <row r="12" spans="1:9" x14ac:dyDescent="0.2">
      <c r="A12" s="424">
        <v>5</v>
      </c>
      <c r="B12" s="283" t="s">
        <v>389</v>
      </c>
      <c r="C12" s="425">
        <v>0</v>
      </c>
      <c r="D12" s="426">
        <v>0</v>
      </c>
      <c r="E12" s="425">
        <v>0</v>
      </c>
      <c r="F12" s="425">
        <f>'11. CRWA'!S12</f>
        <v>0</v>
      </c>
      <c r="G12" s="427">
        <f>'11. CRWA'!S12-'12. CRM'!V11</f>
        <v>0</v>
      </c>
      <c r="H12" s="428" t="str">
        <f t="shared" si="0"/>
        <v/>
      </c>
    </row>
    <row r="13" spans="1:9" x14ac:dyDescent="0.2">
      <c r="A13" s="424">
        <v>6</v>
      </c>
      <c r="B13" s="283" t="s">
        <v>390</v>
      </c>
      <c r="C13" s="425">
        <v>28166369.109999999</v>
      </c>
      <c r="D13" s="426">
        <v>0</v>
      </c>
      <c r="E13" s="425">
        <v>0</v>
      </c>
      <c r="F13" s="425">
        <f>'11. CRWA'!S13</f>
        <v>8573848.3619999997</v>
      </c>
      <c r="G13" s="427">
        <f>'11. CRWA'!S13-'12. CRM'!V12</f>
        <v>8573848.3619999997</v>
      </c>
      <c r="H13" s="428">
        <f t="shared" si="0"/>
        <v>0.30440019899320281</v>
      </c>
    </row>
    <row r="14" spans="1:9" x14ac:dyDescent="0.2">
      <c r="A14" s="424">
        <v>7</v>
      </c>
      <c r="B14" s="283" t="s">
        <v>391</v>
      </c>
      <c r="C14" s="425">
        <v>419135590.21999711</v>
      </c>
      <c r="D14" s="426">
        <v>51817369.880000025</v>
      </c>
      <c r="E14" s="425">
        <v>27307960.24400001</v>
      </c>
      <c r="F14" s="425">
        <f>'11. CRWA'!S14</f>
        <v>446443550.46399713</v>
      </c>
      <c r="G14" s="427">
        <f>'11. CRWA'!S14-'12. CRM'!V13</f>
        <v>417715575.1139971</v>
      </c>
      <c r="H14" s="428">
        <f t="shared" si="0"/>
        <v>0.9356514943039439</v>
      </c>
    </row>
    <row r="15" spans="1:9" x14ac:dyDescent="0.2">
      <c r="A15" s="424">
        <v>8</v>
      </c>
      <c r="B15" s="283" t="s">
        <v>392</v>
      </c>
      <c r="C15" s="425">
        <v>174752003.56999969</v>
      </c>
      <c r="D15" s="426">
        <v>11558223.74000001</v>
      </c>
      <c r="E15" s="425">
        <v>5922012.206000003</v>
      </c>
      <c r="F15" s="425">
        <f>'11. CRWA'!S15</f>
        <v>135505511.83199978</v>
      </c>
      <c r="G15" s="427">
        <f>'11. CRWA'!S15-'12. CRM'!V14</f>
        <v>133002513.21074978</v>
      </c>
      <c r="H15" s="428">
        <f t="shared" si="0"/>
        <v>0.73614632762492405</v>
      </c>
    </row>
    <row r="16" spans="1:9" x14ac:dyDescent="0.2">
      <c r="A16" s="424">
        <v>9</v>
      </c>
      <c r="B16" s="283" t="s">
        <v>393</v>
      </c>
      <c r="C16" s="425">
        <v>118476239.61999992</v>
      </c>
      <c r="D16" s="426">
        <v>1581392.31</v>
      </c>
      <c r="E16" s="425">
        <v>876459.25</v>
      </c>
      <c r="F16" s="425">
        <f>'11. CRWA'!S16</f>
        <v>41773444.604499966</v>
      </c>
      <c r="G16" s="427">
        <f>'11. CRWA'!S16-'12. CRM'!V15</f>
        <v>41773444.604499966</v>
      </c>
      <c r="H16" s="428">
        <f t="shared" si="0"/>
        <v>0.35</v>
      </c>
    </row>
    <row r="17" spans="1:8" x14ac:dyDescent="0.2">
      <c r="A17" s="424">
        <v>10</v>
      </c>
      <c r="B17" s="283" t="s">
        <v>394</v>
      </c>
      <c r="C17" s="425">
        <v>16253822.67999999</v>
      </c>
      <c r="D17" s="426">
        <v>0</v>
      </c>
      <c r="E17" s="425">
        <v>0</v>
      </c>
      <c r="F17" s="425">
        <f>'11. CRWA'!S17</f>
        <v>15584649.34999999</v>
      </c>
      <c r="G17" s="427">
        <f>'11. CRWA'!S17-'12. CRM'!V16</f>
        <v>15584649.34999999</v>
      </c>
      <c r="H17" s="428">
        <f t="shared" si="0"/>
        <v>0.9588297877259726</v>
      </c>
    </row>
    <row r="18" spans="1:8" x14ac:dyDescent="0.2">
      <c r="A18" s="424">
        <v>11</v>
      </c>
      <c r="B18" s="283" t="s">
        <v>395</v>
      </c>
      <c r="C18" s="425">
        <v>76733052.589999989</v>
      </c>
      <c r="D18" s="426">
        <v>0</v>
      </c>
      <c r="E18" s="425">
        <v>0</v>
      </c>
      <c r="F18" s="425">
        <f>'11. CRWA'!S18</f>
        <v>84216392.644999981</v>
      </c>
      <c r="G18" s="427">
        <f>'11. CRWA'!S18-'12. CRM'!V17</f>
        <v>84216392.644999981</v>
      </c>
      <c r="H18" s="428">
        <f t="shared" si="0"/>
        <v>1.0975243366764642</v>
      </c>
    </row>
    <row r="19" spans="1:8" x14ac:dyDescent="0.2">
      <c r="A19" s="424">
        <v>12</v>
      </c>
      <c r="B19" s="283" t="s">
        <v>396</v>
      </c>
      <c r="C19" s="425">
        <v>0</v>
      </c>
      <c r="D19" s="426">
        <v>0</v>
      </c>
      <c r="E19" s="425">
        <v>0</v>
      </c>
      <c r="F19" s="425">
        <f>'11. CRWA'!S19</f>
        <v>0</v>
      </c>
      <c r="G19" s="427">
        <f>'11. CRWA'!S19-'12. CRM'!V18</f>
        <v>0</v>
      </c>
      <c r="H19" s="428" t="str">
        <f t="shared" si="0"/>
        <v/>
      </c>
    </row>
    <row r="20" spans="1:8" x14ac:dyDescent="0.2">
      <c r="A20" s="424">
        <v>13</v>
      </c>
      <c r="B20" s="283" t="s">
        <v>397</v>
      </c>
      <c r="C20" s="425">
        <v>0</v>
      </c>
      <c r="D20" s="426">
        <v>0</v>
      </c>
      <c r="E20" s="425">
        <v>0</v>
      </c>
      <c r="F20" s="425">
        <f>'11. CRWA'!S20</f>
        <v>0</v>
      </c>
      <c r="G20" s="427">
        <f>'11. CRWA'!S20-'12. CRM'!V19</f>
        <v>0</v>
      </c>
      <c r="H20" s="428" t="str">
        <f t="shared" si="0"/>
        <v/>
      </c>
    </row>
    <row r="21" spans="1:8" x14ac:dyDescent="0.2">
      <c r="A21" s="424">
        <v>14</v>
      </c>
      <c r="B21" s="283" t="s">
        <v>398</v>
      </c>
      <c r="C21" s="425">
        <v>65110904.199999988</v>
      </c>
      <c r="D21" s="426">
        <v>0</v>
      </c>
      <c r="E21" s="425">
        <v>0</v>
      </c>
      <c r="F21" s="425">
        <f>'11. CRWA'!S21</f>
        <v>31995088.029999986</v>
      </c>
      <c r="G21" s="427">
        <f>'11. CRWA'!S21-'12. CRM'!V20</f>
        <v>31995088.029999986</v>
      </c>
      <c r="H21" s="428">
        <f t="shared" si="0"/>
        <v>0.49139369853813197</v>
      </c>
    </row>
    <row r="22" spans="1:8" ht="13.5" thickBot="1" x14ac:dyDescent="0.25">
      <c r="A22" s="429"/>
      <c r="B22" s="430" t="s">
        <v>73</v>
      </c>
      <c r="C22" s="387">
        <f>SUM(C8:C21)</f>
        <v>1097042854.1399968</v>
      </c>
      <c r="D22" s="387">
        <f>SUM(D8:D21)</f>
        <v>64956985.930000037</v>
      </c>
      <c r="E22" s="387">
        <f>SUM(E8:E21)</f>
        <v>34106431.700000018</v>
      </c>
      <c r="F22" s="387">
        <f>SUM(F8:F21)</f>
        <v>901155674.78749681</v>
      </c>
      <c r="G22" s="387">
        <f>SUM(G8:G21)</f>
        <v>869924700.81624675</v>
      </c>
      <c r="H22" s="431">
        <f t="shared" si="0"/>
        <v>0.76906267961813413</v>
      </c>
    </row>
    <row r="24" spans="1:8" x14ac:dyDescent="0.2">
      <c r="C24" s="195"/>
      <c r="D24" s="195"/>
      <c r="E24" s="195"/>
      <c r="F24" s="195"/>
      <c r="G24" s="195"/>
    </row>
    <row r="25" spans="1:8" x14ac:dyDescent="0.2">
      <c r="C25" s="114"/>
      <c r="D25" s="114"/>
      <c r="E25" s="432"/>
      <c r="F25" s="432"/>
      <c r="G25" s="432"/>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32"/>
  <sheetViews>
    <sheetView zoomScale="90" zoomScaleNormal="90" workbookViewId="0">
      <pane xSplit="2" ySplit="6" topLeftCell="C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2" bestFit="1" customWidth="1"/>
    <col min="2" max="2" width="104.140625" style="22" customWidth="1"/>
    <col min="3" max="3" width="12.7109375" style="22" customWidth="1"/>
    <col min="4" max="4" width="14.5703125" style="22" bestFit="1" customWidth="1"/>
    <col min="5" max="11" width="12.7109375" style="22" customWidth="1"/>
    <col min="12" max="16384" width="9.140625" style="22"/>
  </cols>
  <sheetData>
    <row r="1" spans="1:11" x14ac:dyDescent="0.2">
      <c r="A1" s="22" t="s">
        <v>29</v>
      </c>
    </row>
    <row r="2" spans="1:11" x14ac:dyDescent="0.2">
      <c r="A2" s="22" t="s">
        <v>31</v>
      </c>
      <c r="B2" s="20"/>
      <c r="C2" s="20"/>
      <c r="D2" s="20"/>
    </row>
    <row r="3" spans="1:11" x14ac:dyDescent="0.2">
      <c r="B3" s="20"/>
      <c r="C3" s="20"/>
      <c r="D3" s="20"/>
    </row>
    <row r="4" spans="1:11" ht="13.5" thickBot="1" x14ac:dyDescent="0.25">
      <c r="A4" s="22" t="s">
        <v>432</v>
      </c>
      <c r="B4" s="416" t="s">
        <v>26</v>
      </c>
      <c r="C4" s="20"/>
      <c r="D4" s="20"/>
    </row>
    <row r="5" spans="1:11" ht="30" customHeight="1" x14ac:dyDescent="0.2">
      <c r="A5" s="587"/>
      <c r="B5" s="588"/>
      <c r="C5" s="589" t="s">
        <v>433</v>
      </c>
      <c r="D5" s="589"/>
      <c r="E5" s="589"/>
      <c r="F5" s="589" t="s">
        <v>434</v>
      </c>
      <c r="G5" s="589"/>
      <c r="H5" s="589"/>
      <c r="I5" s="589" t="s">
        <v>435</v>
      </c>
      <c r="J5" s="589"/>
      <c r="K5" s="590"/>
    </row>
    <row r="6" spans="1:11" x14ac:dyDescent="0.2">
      <c r="A6" s="433"/>
      <c r="B6" s="434"/>
      <c r="C6" s="423" t="s">
        <v>71</v>
      </c>
      <c r="D6" s="423" t="s">
        <v>111</v>
      </c>
      <c r="E6" s="423" t="s">
        <v>73</v>
      </c>
      <c r="F6" s="423" t="s">
        <v>71</v>
      </c>
      <c r="G6" s="423" t="s">
        <v>111</v>
      </c>
      <c r="H6" s="423" t="s">
        <v>73</v>
      </c>
      <c r="I6" s="423" t="s">
        <v>71</v>
      </c>
      <c r="J6" s="423" t="s">
        <v>111</v>
      </c>
      <c r="K6" s="435" t="s">
        <v>73</v>
      </c>
    </row>
    <row r="7" spans="1:11" x14ac:dyDescent="0.2">
      <c r="A7" s="436" t="s">
        <v>436</v>
      </c>
      <c r="B7" s="437"/>
      <c r="C7" s="437"/>
      <c r="D7" s="437"/>
      <c r="E7" s="437"/>
      <c r="F7" s="437"/>
      <c r="G7" s="437"/>
      <c r="H7" s="437"/>
      <c r="I7" s="437"/>
      <c r="J7" s="437"/>
      <c r="K7" s="438"/>
    </row>
    <row r="8" spans="1:11" x14ac:dyDescent="0.2">
      <c r="A8" s="439">
        <v>1</v>
      </c>
      <c r="B8" s="440" t="s">
        <v>436</v>
      </c>
      <c r="C8" s="40"/>
      <c r="D8" s="40"/>
      <c r="E8" s="40"/>
      <c r="F8" s="441">
        <v>71877742.895409778</v>
      </c>
      <c r="G8" s="441">
        <v>161300914.86749452</v>
      </c>
      <c r="H8" s="441">
        <v>233178657.76290429</v>
      </c>
      <c r="I8" s="441">
        <v>67425015.103211984</v>
      </c>
      <c r="J8" s="441">
        <v>140337109.52504945</v>
      </c>
      <c r="K8" s="442">
        <v>207762124.62826142</v>
      </c>
    </row>
    <row r="9" spans="1:11" x14ac:dyDescent="0.2">
      <c r="A9" s="436" t="s">
        <v>437</v>
      </c>
      <c r="B9" s="437"/>
      <c r="C9" s="437"/>
      <c r="D9" s="437"/>
      <c r="E9" s="437"/>
      <c r="F9" s="437"/>
      <c r="G9" s="437"/>
      <c r="H9" s="437"/>
      <c r="I9" s="437"/>
      <c r="J9" s="437"/>
      <c r="K9" s="438"/>
    </row>
    <row r="10" spans="1:11" x14ac:dyDescent="0.2">
      <c r="A10" s="155">
        <v>2</v>
      </c>
      <c r="B10" s="443" t="s">
        <v>438</v>
      </c>
      <c r="C10" s="444">
        <v>80804387.634900853</v>
      </c>
      <c r="D10" s="445">
        <v>285613793.5729121</v>
      </c>
      <c r="E10" s="445">
        <f>SUM(C10:D10)</f>
        <v>366418181.20781296</v>
      </c>
      <c r="F10" s="445">
        <v>12463590.910778474</v>
      </c>
      <c r="G10" s="445">
        <v>51060678.436943993</v>
      </c>
      <c r="H10" s="445">
        <f>SUM(F10:G10)</f>
        <v>63524269.347722471</v>
      </c>
      <c r="I10" s="445">
        <v>3103769.2123116911</v>
      </c>
      <c r="J10" s="445">
        <v>10823076.481267089</v>
      </c>
      <c r="K10" s="446">
        <f>SUM(I10:J10)</f>
        <v>13926845.69357878</v>
      </c>
    </row>
    <row r="11" spans="1:11" x14ac:dyDescent="0.2">
      <c r="A11" s="155">
        <v>3</v>
      </c>
      <c r="B11" s="443" t="s">
        <v>439</v>
      </c>
      <c r="C11" s="444">
        <v>161058475.34749448</v>
      </c>
      <c r="D11" s="447">
        <v>316560274.61908567</v>
      </c>
      <c r="E11" s="445">
        <f t="shared" ref="E11:E21" si="0">SUM(C11:D11)</f>
        <v>477618749.96658015</v>
      </c>
      <c r="F11" s="445">
        <v>33449972.694223035</v>
      </c>
      <c r="G11" s="445">
        <v>64808500.03477557</v>
      </c>
      <c r="H11" s="445">
        <f t="shared" ref="H11:H21" si="1">SUM(F11:G11)</f>
        <v>98258472.728998601</v>
      </c>
      <c r="I11" s="445">
        <v>29708801.920557145</v>
      </c>
      <c r="J11" s="445">
        <v>50295264.883972265</v>
      </c>
      <c r="K11" s="446">
        <f t="shared" ref="K11:K16" si="2">SUM(I11:J11)</f>
        <v>80004066.804529414</v>
      </c>
    </row>
    <row r="12" spans="1:11" x14ac:dyDescent="0.2">
      <c r="A12" s="155">
        <v>4</v>
      </c>
      <c r="B12" s="443" t="s">
        <v>440</v>
      </c>
      <c r="C12" s="444">
        <v>18472527.472527474</v>
      </c>
      <c r="D12" s="445">
        <v>0</v>
      </c>
      <c r="E12" s="445">
        <f t="shared" si="0"/>
        <v>18472527.472527474</v>
      </c>
      <c r="F12" s="445">
        <v>0</v>
      </c>
      <c r="G12" s="445">
        <v>0</v>
      </c>
      <c r="H12" s="445">
        <f t="shared" si="1"/>
        <v>0</v>
      </c>
      <c r="I12" s="445">
        <v>0</v>
      </c>
      <c r="J12" s="445">
        <v>0</v>
      </c>
      <c r="K12" s="446">
        <f t="shared" si="2"/>
        <v>0</v>
      </c>
    </row>
    <row r="13" spans="1:11" x14ac:dyDescent="0.2">
      <c r="A13" s="155">
        <v>5</v>
      </c>
      <c r="B13" s="443" t="s">
        <v>441</v>
      </c>
      <c r="C13" s="444">
        <v>29017219.594285708</v>
      </c>
      <c r="D13" s="445">
        <v>31627125.463085718</v>
      </c>
      <c r="E13" s="445">
        <f t="shared" si="0"/>
        <v>60644345.057371423</v>
      </c>
      <c r="F13" s="445">
        <v>4359907.0697060442</v>
      </c>
      <c r="G13" s="445">
        <v>5740368.4950114395</v>
      </c>
      <c r="H13" s="445">
        <f t="shared" si="1"/>
        <v>10100275.564717483</v>
      </c>
      <c r="I13" s="445">
        <v>1674427.3189285714</v>
      </c>
      <c r="J13" s="445">
        <v>1780727.8445065937</v>
      </c>
      <c r="K13" s="446">
        <f t="shared" si="2"/>
        <v>3455155.1634351648</v>
      </c>
    </row>
    <row r="14" spans="1:11" x14ac:dyDescent="0.2">
      <c r="A14" s="155">
        <v>6</v>
      </c>
      <c r="B14" s="443" t="s">
        <v>442</v>
      </c>
      <c r="C14" s="444">
        <v>8087367.3315384611</v>
      </c>
      <c r="D14" s="445">
        <v>6603944.5032307701</v>
      </c>
      <c r="E14" s="445">
        <f t="shared" si="0"/>
        <v>14691311.83476923</v>
      </c>
      <c r="F14" s="445">
        <v>0</v>
      </c>
      <c r="G14" s="445">
        <v>0</v>
      </c>
      <c r="H14" s="445">
        <f t="shared" si="1"/>
        <v>0</v>
      </c>
      <c r="I14" s="445">
        <v>0</v>
      </c>
      <c r="J14" s="445">
        <v>0</v>
      </c>
      <c r="K14" s="446">
        <f t="shared" si="2"/>
        <v>0</v>
      </c>
    </row>
    <row r="15" spans="1:11" x14ac:dyDescent="0.2">
      <c r="A15" s="155">
        <v>7</v>
      </c>
      <c r="B15" s="443" t="s">
        <v>443</v>
      </c>
      <c r="C15" s="444">
        <v>4291177.3459340669</v>
      </c>
      <c r="D15" s="445">
        <v>4233748.6198736262</v>
      </c>
      <c r="E15" s="445">
        <f t="shared" si="0"/>
        <v>8524925.9658076931</v>
      </c>
      <c r="F15" s="445">
        <v>1961541.9923076921</v>
      </c>
      <c r="G15" s="445">
        <v>1300979.0408912089</v>
      </c>
      <c r="H15" s="445">
        <f t="shared" si="1"/>
        <v>3262521.033198901</v>
      </c>
      <c r="I15" s="445">
        <v>1961541.9923076921</v>
      </c>
      <c r="J15" s="445">
        <v>1300979.0408912089</v>
      </c>
      <c r="K15" s="446">
        <f t="shared" si="2"/>
        <v>3262521.033198901</v>
      </c>
    </row>
    <row r="16" spans="1:11" x14ac:dyDescent="0.2">
      <c r="A16" s="155">
        <v>8</v>
      </c>
      <c r="B16" s="448" t="s">
        <v>444</v>
      </c>
      <c r="C16" s="444">
        <f>SUM(C10:C15)</f>
        <v>301731154.72668105</v>
      </c>
      <c r="D16" s="445">
        <f>SUM(D10:D15)</f>
        <v>644638886.77818799</v>
      </c>
      <c r="E16" s="445">
        <f t="shared" si="0"/>
        <v>946370041.50486898</v>
      </c>
      <c r="F16" s="445">
        <f>SUM(F10:F15)</f>
        <v>52235012.667015247</v>
      </c>
      <c r="G16" s="445">
        <f>SUM(G10:G15)</f>
        <v>122910526.00762221</v>
      </c>
      <c r="H16" s="445">
        <f t="shared" si="1"/>
        <v>175145538.67463747</v>
      </c>
      <c r="I16" s="445">
        <f>SUM(I10:I15)</f>
        <v>36448540.444105104</v>
      </c>
      <c r="J16" s="445">
        <f>SUM(J10:J15)</f>
        <v>64200048.250637151</v>
      </c>
      <c r="K16" s="446">
        <f t="shared" si="2"/>
        <v>100648588.69474226</v>
      </c>
    </row>
    <row r="17" spans="1:11" x14ac:dyDescent="0.2">
      <c r="A17" s="436" t="s">
        <v>445</v>
      </c>
      <c r="B17" s="437"/>
      <c r="C17" s="449"/>
      <c r="D17" s="449"/>
      <c r="E17" s="449"/>
      <c r="F17" s="449"/>
      <c r="G17" s="449"/>
      <c r="H17" s="449"/>
      <c r="I17" s="449"/>
      <c r="J17" s="449"/>
      <c r="K17" s="450"/>
    </row>
    <row r="18" spans="1:11" x14ac:dyDescent="0.2">
      <c r="A18" s="155">
        <v>9</v>
      </c>
      <c r="B18" s="443" t="s">
        <v>446</v>
      </c>
      <c r="C18" s="444">
        <v>0</v>
      </c>
      <c r="D18" s="445">
        <v>0</v>
      </c>
      <c r="E18" s="445">
        <f t="shared" si="0"/>
        <v>0</v>
      </c>
      <c r="F18" s="445">
        <v>0</v>
      </c>
      <c r="G18" s="445">
        <v>0</v>
      </c>
      <c r="H18" s="445">
        <f t="shared" si="1"/>
        <v>0</v>
      </c>
      <c r="I18" s="445">
        <v>0</v>
      </c>
      <c r="J18" s="445">
        <v>0</v>
      </c>
      <c r="K18" s="446">
        <f>SUM(I18:J18)</f>
        <v>0</v>
      </c>
    </row>
    <row r="19" spans="1:11" x14ac:dyDescent="0.2">
      <c r="A19" s="155">
        <v>10</v>
      </c>
      <c r="B19" s="443" t="s">
        <v>447</v>
      </c>
      <c r="C19" s="444">
        <v>233429259.19022</v>
      </c>
      <c r="D19" s="445">
        <v>452422256.81433517</v>
      </c>
      <c r="E19" s="445">
        <f t="shared" si="0"/>
        <v>685851516.00455523</v>
      </c>
      <c r="F19" s="445">
        <v>9103988.5595054943</v>
      </c>
      <c r="G19" s="445">
        <v>9296582.1918131858</v>
      </c>
      <c r="H19" s="445">
        <f t="shared" si="1"/>
        <v>18400570.751318678</v>
      </c>
      <c r="I19" s="445">
        <v>13556716.351703297</v>
      </c>
      <c r="J19" s="445">
        <v>31348131.252412088</v>
      </c>
      <c r="K19" s="446">
        <f>SUM(I19:J19)</f>
        <v>44904847.604115382</v>
      </c>
    </row>
    <row r="20" spans="1:11" x14ac:dyDescent="0.2">
      <c r="A20" s="155">
        <v>11</v>
      </c>
      <c r="B20" s="443" t="s">
        <v>448</v>
      </c>
      <c r="C20" s="444">
        <v>709477.71384615393</v>
      </c>
      <c r="D20" s="445">
        <v>285392.93770000001</v>
      </c>
      <c r="E20" s="445">
        <f t="shared" si="0"/>
        <v>994870.65154615394</v>
      </c>
      <c r="F20" s="445">
        <v>341164.74032967037</v>
      </c>
      <c r="G20" s="445">
        <v>269185.21827692311</v>
      </c>
      <c r="H20" s="445">
        <f t="shared" si="1"/>
        <v>610349.95860659354</v>
      </c>
      <c r="I20" s="445">
        <v>341164.74032967037</v>
      </c>
      <c r="J20" s="445">
        <v>269185.21827692311</v>
      </c>
      <c r="K20" s="446">
        <f>SUM(I20:J20)</f>
        <v>610349.95860659354</v>
      </c>
    </row>
    <row r="21" spans="1:11" ht="13.5" thickBot="1" x14ac:dyDescent="0.25">
      <c r="A21" s="164">
        <v>12</v>
      </c>
      <c r="B21" s="451" t="s">
        <v>449</v>
      </c>
      <c r="C21" s="452">
        <f>SUM(C18:C20)</f>
        <v>234138736.90406615</v>
      </c>
      <c r="D21" s="452">
        <f>SUM(D18:D20)</f>
        <v>452707649.75203514</v>
      </c>
      <c r="E21" s="452">
        <f t="shared" si="0"/>
        <v>686846386.65610123</v>
      </c>
      <c r="F21" s="453">
        <f>SUM(F18:F20)</f>
        <v>9445153.2998351641</v>
      </c>
      <c r="G21" s="453">
        <f>SUM(G18:G20)</f>
        <v>9565767.4100901093</v>
      </c>
      <c r="H21" s="445">
        <f t="shared" si="1"/>
        <v>19010920.709925272</v>
      </c>
      <c r="I21" s="453">
        <f>SUM(I18:I20)</f>
        <v>13897881.092032967</v>
      </c>
      <c r="J21" s="453">
        <f>SUM(J18:J20)</f>
        <v>31617316.47068901</v>
      </c>
      <c r="K21" s="446">
        <f>SUM(I21:J21)</f>
        <v>45515197.562721975</v>
      </c>
    </row>
    <row r="22" spans="1:11" ht="38.25" customHeight="1" thickBot="1" x14ac:dyDescent="0.25">
      <c r="A22" s="454"/>
      <c r="B22" s="455"/>
      <c r="C22" s="455"/>
      <c r="D22" s="455"/>
      <c r="E22" s="455"/>
      <c r="F22" s="591" t="s">
        <v>450</v>
      </c>
      <c r="G22" s="589"/>
      <c r="H22" s="589"/>
      <c r="I22" s="591" t="s">
        <v>451</v>
      </c>
      <c r="J22" s="589"/>
      <c r="K22" s="590"/>
    </row>
    <row r="23" spans="1:11" x14ac:dyDescent="0.2">
      <c r="A23" s="456">
        <v>13</v>
      </c>
      <c r="B23" s="457" t="s">
        <v>436</v>
      </c>
      <c r="C23" s="458"/>
      <c r="D23" s="458"/>
      <c r="E23" s="458"/>
      <c r="F23" s="459">
        <f t="shared" ref="F23:K23" si="3">F8</f>
        <v>71877742.895409778</v>
      </c>
      <c r="G23" s="459">
        <f t="shared" si="3"/>
        <v>161300914.86749452</v>
      </c>
      <c r="H23" s="459">
        <f t="shared" si="3"/>
        <v>233178657.76290429</v>
      </c>
      <c r="I23" s="459">
        <f t="shared" si="3"/>
        <v>67425015.103211984</v>
      </c>
      <c r="J23" s="459">
        <f t="shared" si="3"/>
        <v>140337109.52504945</v>
      </c>
      <c r="K23" s="460">
        <f t="shared" si="3"/>
        <v>207762124.62826142</v>
      </c>
    </row>
    <row r="24" spans="1:11" ht="13.5" thickBot="1" x14ac:dyDescent="0.25">
      <c r="A24" s="461">
        <v>14</v>
      </c>
      <c r="B24" s="462" t="s">
        <v>452</v>
      </c>
      <c r="C24" s="463"/>
      <c r="D24" s="464"/>
      <c r="E24" s="465"/>
      <c r="F24" s="466">
        <f t="shared" ref="F24:K24" si="4">MAX(F16-F21,F16*0.25)</f>
        <v>42789859.367180079</v>
      </c>
      <c r="G24" s="466">
        <f t="shared" si="4"/>
        <v>113344758.59753211</v>
      </c>
      <c r="H24" s="466">
        <f t="shared" si="4"/>
        <v>156134617.9647122</v>
      </c>
      <c r="I24" s="466">
        <f t="shared" si="4"/>
        <v>22550659.352072135</v>
      </c>
      <c r="J24" s="466">
        <f t="shared" si="4"/>
        <v>32582731.779948141</v>
      </c>
      <c r="K24" s="467">
        <f t="shared" si="4"/>
        <v>55133391.132020287</v>
      </c>
    </row>
    <row r="25" spans="1:11" ht="13.5" thickBot="1" x14ac:dyDescent="0.25">
      <c r="A25" s="468">
        <v>15</v>
      </c>
      <c r="B25" s="469" t="s">
        <v>62</v>
      </c>
      <c r="C25" s="470"/>
      <c r="D25" s="470"/>
      <c r="E25" s="470"/>
      <c r="F25" s="471">
        <f t="shared" ref="F25:K25" si="5">F23/F24</f>
        <v>1.6797845087226477</v>
      </c>
      <c r="G25" s="471">
        <f t="shared" si="5"/>
        <v>1.4230999021335122</v>
      </c>
      <c r="H25" s="471">
        <f t="shared" si="5"/>
        <v>1.4934462376281263</v>
      </c>
      <c r="I25" s="472">
        <f t="shared" si="5"/>
        <v>2.9899354183192179</v>
      </c>
      <c r="J25" s="472">
        <f t="shared" si="5"/>
        <v>4.3071007818753495</v>
      </c>
      <c r="K25" s="473">
        <f t="shared" si="5"/>
        <v>3.7683538117719309</v>
      </c>
    </row>
    <row r="27" spans="1:11" ht="15" x14ac:dyDescent="0.25">
      <c r="F27" s="474"/>
      <c r="G27" s="474"/>
      <c r="H27" s="474"/>
      <c r="I27" s="432"/>
    </row>
    <row r="28" spans="1:11" ht="39" x14ac:dyDescent="0.25">
      <c r="B28" s="86" t="s">
        <v>453</v>
      </c>
      <c r="F28" s="474"/>
      <c r="G28" s="474"/>
      <c r="H28" s="474"/>
      <c r="I28" s="432"/>
    </row>
    <row r="29" spans="1:11" ht="15" x14ac:dyDescent="0.25">
      <c r="F29" s="474"/>
      <c r="G29" s="474"/>
      <c r="H29" s="474"/>
      <c r="I29" s="432"/>
    </row>
    <row r="30" spans="1:11" ht="15" x14ac:dyDescent="0.25">
      <c r="F30" s="474"/>
      <c r="G30" s="474"/>
      <c r="H30" s="474"/>
      <c r="I30" s="432"/>
    </row>
    <row r="31" spans="1:11" ht="15" x14ac:dyDescent="0.25">
      <c r="F31" s="474"/>
      <c r="G31" s="474"/>
      <c r="H31" s="474"/>
      <c r="I31" s="432"/>
    </row>
    <row r="32" spans="1:11" ht="15" x14ac:dyDescent="0.25">
      <c r="F32" s="474"/>
      <c r="G32" s="474"/>
      <c r="H32" s="474"/>
      <c r="I32" s="432"/>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ColWidth="9.140625" defaultRowHeight="15" x14ac:dyDescent="0.3"/>
  <cols>
    <col min="1" max="1" width="10.5703125" style="196" bestFit="1" customWidth="1"/>
    <col min="2" max="2" width="95" style="196" customWidth="1"/>
    <col min="3" max="3" width="14.7109375" style="196" bestFit="1" customWidth="1"/>
    <col min="4" max="4" width="10" style="196" bestFit="1" customWidth="1"/>
    <col min="5" max="5" width="18.28515625" style="196" bestFit="1" customWidth="1"/>
    <col min="6" max="10" width="4.85546875" style="196" bestFit="1" customWidth="1"/>
    <col min="11" max="11" width="10" style="196" bestFit="1" customWidth="1"/>
    <col min="12" max="13" width="5.7109375" style="196" bestFit="1" customWidth="1"/>
    <col min="14" max="14" width="31" style="196" bestFit="1" customWidth="1"/>
    <col min="15" max="16384" width="9.140625" style="135"/>
  </cols>
  <sheetData>
    <row r="1" spans="1:15" x14ac:dyDescent="0.3">
      <c r="A1" s="196" t="s">
        <v>454</v>
      </c>
      <c r="B1" s="22" t="str">
        <f>'1. key ratios'!B1</f>
        <v>სს ტერაბანკი</v>
      </c>
    </row>
    <row r="2" spans="1:15" ht="14.25" customHeight="1" x14ac:dyDescent="0.3">
      <c r="A2" s="196" t="s">
        <v>31</v>
      </c>
      <c r="B2" s="89">
        <f>'1. key ratios'!B2</f>
        <v>43921</v>
      </c>
    </row>
    <row r="3" spans="1:15" ht="14.25" customHeight="1" x14ac:dyDescent="0.3"/>
    <row r="4" spans="1:15" ht="15.75" thickBot="1" x14ac:dyDescent="0.35">
      <c r="A4" s="22" t="s">
        <v>455</v>
      </c>
      <c r="B4" s="475" t="s">
        <v>27</v>
      </c>
    </row>
    <row r="5" spans="1:15" s="480" customFormat="1" ht="12.75" x14ac:dyDescent="0.2">
      <c r="A5" s="476"/>
      <c r="B5" s="477"/>
      <c r="C5" s="478" t="s">
        <v>255</v>
      </c>
      <c r="D5" s="478" t="s">
        <v>256</v>
      </c>
      <c r="E5" s="478" t="s">
        <v>257</v>
      </c>
      <c r="F5" s="478" t="s">
        <v>367</v>
      </c>
      <c r="G5" s="478" t="s">
        <v>368</v>
      </c>
      <c r="H5" s="478" t="s">
        <v>369</v>
      </c>
      <c r="I5" s="478" t="s">
        <v>370</v>
      </c>
      <c r="J5" s="478" t="s">
        <v>371</v>
      </c>
      <c r="K5" s="478" t="s">
        <v>372</v>
      </c>
      <c r="L5" s="478" t="s">
        <v>373</v>
      </c>
      <c r="M5" s="478" t="s">
        <v>374</v>
      </c>
      <c r="N5" s="479" t="s">
        <v>375</v>
      </c>
    </row>
    <row r="6" spans="1:15" ht="45" x14ac:dyDescent="0.3">
      <c r="A6" s="481"/>
      <c r="B6" s="482"/>
      <c r="C6" s="483" t="s">
        <v>456</v>
      </c>
      <c r="D6" s="484" t="s">
        <v>457</v>
      </c>
      <c r="E6" s="485" t="s">
        <v>458</v>
      </c>
      <c r="F6" s="486">
        <v>0</v>
      </c>
      <c r="G6" s="486">
        <v>0.2</v>
      </c>
      <c r="H6" s="486">
        <v>0.35</v>
      </c>
      <c r="I6" s="486">
        <v>0.5</v>
      </c>
      <c r="J6" s="486">
        <v>0.75</v>
      </c>
      <c r="K6" s="486">
        <v>1</v>
      </c>
      <c r="L6" s="486">
        <v>1.5</v>
      </c>
      <c r="M6" s="486">
        <v>2.5</v>
      </c>
      <c r="N6" s="487" t="s">
        <v>27</v>
      </c>
    </row>
    <row r="7" spans="1:15" x14ac:dyDescent="0.3">
      <c r="A7" s="488">
        <v>1</v>
      </c>
      <c r="B7" s="489" t="s">
        <v>459</v>
      </c>
      <c r="C7" s="490">
        <f>SUM(C8:C13)</f>
        <v>62704481.75</v>
      </c>
      <c r="D7" s="491"/>
      <c r="E7" s="492">
        <f>SUM(E8:E12)</f>
        <v>1254089.635</v>
      </c>
      <c r="F7" s="493">
        <v>0</v>
      </c>
      <c r="G7" s="493">
        <v>0</v>
      </c>
      <c r="H7" s="493">
        <v>0</v>
      </c>
      <c r="I7" s="493">
        <v>0</v>
      </c>
      <c r="J7" s="493">
        <v>0</v>
      </c>
      <c r="K7" s="493">
        <v>1254089.635</v>
      </c>
      <c r="L7" s="493">
        <v>0</v>
      </c>
      <c r="M7" s="493">
        <v>0</v>
      </c>
      <c r="N7" s="494">
        <v>1254089.635</v>
      </c>
      <c r="O7" s="495"/>
    </row>
    <row r="8" spans="1:15" x14ac:dyDescent="0.3">
      <c r="A8" s="488">
        <v>1.1000000000000001</v>
      </c>
      <c r="B8" s="496" t="s">
        <v>460</v>
      </c>
      <c r="C8" s="493">
        <v>62704481.75</v>
      </c>
      <c r="D8" s="497">
        <v>0.02</v>
      </c>
      <c r="E8" s="492">
        <f>C8*D8</f>
        <v>1254089.635</v>
      </c>
      <c r="F8" s="493">
        <v>0</v>
      </c>
      <c r="G8" s="493">
        <v>0</v>
      </c>
      <c r="H8" s="493">
        <v>0</v>
      </c>
      <c r="I8" s="493">
        <v>0</v>
      </c>
      <c r="J8" s="493">
        <v>0</v>
      </c>
      <c r="K8" s="493">
        <v>1254089.635</v>
      </c>
      <c r="L8" s="493">
        <v>0</v>
      </c>
      <c r="M8" s="493">
        <v>0</v>
      </c>
      <c r="N8" s="494">
        <v>1254089.635</v>
      </c>
      <c r="O8" s="495"/>
    </row>
    <row r="9" spans="1:15" x14ac:dyDescent="0.3">
      <c r="A9" s="488">
        <v>1.2</v>
      </c>
      <c r="B9" s="496" t="s">
        <v>461</v>
      </c>
      <c r="C9" s="493">
        <v>0</v>
      </c>
      <c r="D9" s="497">
        <v>0.05</v>
      </c>
      <c r="E9" s="492">
        <f>C9*D9</f>
        <v>0</v>
      </c>
      <c r="F9" s="493">
        <v>0</v>
      </c>
      <c r="G9" s="493">
        <v>0</v>
      </c>
      <c r="H9" s="493">
        <v>0</v>
      </c>
      <c r="I9" s="493">
        <v>0</v>
      </c>
      <c r="J9" s="493">
        <v>0</v>
      </c>
      <c r="K9" s="493">
        <v>0</v>
      </c>
      <c r="L9" s="493">
        <v>0</v>
      </c>
      <c r="M9" s="493">
        <v>0</v>
      </c>
      <c r="N9" s="494">
        <v>0</v>
      </c>
      <c r="O9" s="495"/>
    </row>
    <row r="10" spans="1:15" x14ac:dyDescent="0.3">
      <c r="A10" s="488">
        <v>1.3</v>
      </c>
      <c r="B10" s="496" t="s">
        <v>462</v>
      </c>
      <c r="C10" s="493">
        <v>0</v>
      </c>
      <c r="D10" s="497">
        <v>0.08</v>
      </c>
      <c r="E10" s="492">
        <f>C10*D10</f>
        <v>0</v>
      </c>
      <c r="F10" s="493">
        <v>0</v>
      </c>
      <c r="G10" s="493">
        <v>0</v>
      </c>
      <c r="H10" s="493">
        <v>0</v>
      </c>
      <c r="I10" s="493">
        <v>0</v>
      </c>
      <c r="J10" s="493">
        <v>0</v>
      </c>
      <c r="K10" s="493">
        <v>0</v>
      </c>
      <c r="L10" s="493">
        <v>0</v>
      </c>
      <c r="M10" s="493">
        <v>0</v>
      </c>
      <c r="N10" s="494">
        <v>0</v>
      </c>
      <c r="O10" s="495"/>
    </row>
    <row r="11" spans="1:15" x14ac:dyDescent="0.3">
      <c r="A11" s="488">
        <v>1.4</v>
      </c>
      <c r="B11" s="496" t="s">
        <v>463</v>
      </c>
      <c r="C11" s="493">
        <v>0</v>
      </c>
      <c r="D11" s="497">
        <v>0.11</v>
      </c>
      <c r="E11" s="492">
        <f>C11*D11</f>
        <v>0</v>
      </c>
      <c r="F11" s="493">
        <v>0</v>
      </c>
      <c r="G11" s="493">
        <v>0</v>
      </c>
      <c r="H11" s="493">
        <v>0</v>
      </c>
      <c r="I11" s="493">
        <v>0</v>
      </c>
      <c r="J11" s="493">
        <v>0</v>
      </c>
      <c r="K11" s="493">
        <v>0</v>
      </c>
      <c r="L11" s="493">
        <v>0</v>
      </c>
      <c r="M11" s="493">
        <v>0</v>
      </c>
      <c r="N11" s="494">
        <v>0</v>
      </c>
      <c r="O11" s="495"/>
    </row>
    <row r="12" spans="1:15" x14ac:dyDescent="0.3">
      <c r="A12" s="488">
        <v>1.5</v>
      </c>
      <c r="B12" s="496" t="s">
        <v>464</v>
      </c>
      <c r="C12" s="493">
        <v>0</v>
      </c>
      <c r="D12" s="497">
        <v>0.14000000000000001</v>
      </c>
      <c r="E12" s="492">
        <f>C12*D12</f>
        <v>0</v>
      </c>
      <c r="F12" s="493">
        <v>0</v>
      </c>
      <c r="G12" s="493">
        <v>0</v>
      </c>
      <c r="H12" s="493">
        <v>0</v>
      </c>
      <c r="I12" s="493">
        <v>0</v>
      </c>
      <c r="J12" s="493">
        <v>0</v>
      </c>
      <c r="K12" s="493">
        <v>0</v>
      </c>
      <c r="L12" s="493">
        <v>0</v>
      </c>
      <c r="M12" s="493">
        <v>0</v>
      </c>
      <c r="N12" s="494">
        <v>0</v>
      </c>
      <c r="O12" s="495"/>
    </row>
    <row r="13" spans="1:15" x14ac:dyDescent="0.3">
      <c r="A13" s="488">
        <v>1.6</v>
      </c>
      <c r="B13" s="498" t="s">
        <v>465</v>
      </c>
      <c r="C13" s="493">
        <v>0</v>
      </c>
      <c r="D13" s="499"/>
      <c r="E13" s="493"/>
      <c r="F13" s="493">
        <v>0</v>
      </c>
      <c r="G13" s="493">
        <v>0</v>
      </c>
      <c r="H13" s="493">
        <v>0</v>
      </c>
      <c r="I13" s="493">
        <v>0</v>
      </c>
      <c r="J13" s="493">
        <v>0</v>
      </c>
      <c r="K13" s="493">
        <v>0</v>
      </c>
      <c r="L13" s="493">
        <v>0</v>
      </c>
      <c r="M13" s="493">
        <v>0</v>
      </c>
      <c r="N13" s="494">
        <v>0</v>
      </c>
      <c r="O13" s="495"/>
    </row>
    <row r="14" spans="1:15" x14ac:dyDescent="0.3">
      <c r="A14" s="488">
        <v>2</v>
      </c>
      <c r="B14" s="500" t="s">
        <v>466</v>
      </c>
      <c r="C14" s="490">
        <f>SUM(C15:C20)</f>
        <v>0</v>
      </c>
      <c r="D14" s="491"/>
      <c r="E14" s="492">
        <f>SUM(E15:E19)</f>
        <v>0</v>
      </c>
      <c r="F14" s="493">
        <v>0</v>
      </c>
      <c r="G14" s="493">
        <v>0</v>
      </c>
      <c r="H14" s="493">
        <v>0</v>
      </c>
      <c r="I14" s="493">
        <v>0</v>
      </c>
      <c r="J14" s="493">
        <v>0</v>
      </c>
      <c r="K14" s="493">
        <v>0</v>
      </c>
      <c r="L14" s="493">
        <v>0</v>
      </c>
      <c r="M14" s="493">
        <v>0</v>
      </c>
      <c r="N14" s="494">
        <v>0</v>
      </c>
      <c r="O14" s="495"/>
    </row>
    <row r="15" spans="1:15" x14ac:dyDescent="0.3">
      <c r="A15" s="488">
        <v>2.1</v>
      </c>
      <c r="B15" s="498" t="s">
        <v>460</v>
      </c>
      <c r="C15" s="493">
        <v>0</v>
      </c>
      <c r="D15" s="497">
        <v>5.0000000000000001E-3</v>
      </c>
      <c r="E15" s="492">
        <f>D15*C15</f>
        <v>0</v>
      </c>
      <c r="F15" s="493">
        <v>0</v>
      </c>
      <c r="G15" s="493">
        <v>0</v>
      </c>
      <c r="H15" s="493">
        <v>0</v>
      </c>
      <c r="I15" s="493">
        <v>0</v>
      </c>
      <c r="J15" s="493">
        <v>0</v>
      </c>
      <c r="K15" s="493">
        <v>0</v>
      </c>
      <c r="L15" s="493">
        <v>0</v>
      </c>
      <c r="M15" s="493">
        <v>0</v>
      </c>
      <c r="N15" s="494">
        <v>0</v>
      </c>
      <c r="O15" s="495"/>
    </row>
    <row r="16" spans="1:15" x14ac:dyDescent="0.3">
      <c r="A16" s="488">
        <v>2.2000000000000002</v>
      </c>
      <c r="B16" s="498" t="s">
        <v>461</v>
      </c>
      <c r="C16" s="493">
        <v>0</v>
      </c>
      <c r="D16" s="497">
        <v>0.01</v>
      </c>
      <c r="E16" s="492">
        <f>D16*C16</f>
        <v>0</v>
      </c>
      <c r="F16" s="493">
        <v>0</v>
      </c>
      <c r="G16" s="493">
        <v>0</v>
      </c>
      <c r="H16" s="493">
        <v>0</v>
      </c>
      <c r="I16" s="493">
        <v>0</v>
      </c>
      <c r="J16" s="493">
        <v>0</v>
      </c>
      <c r="K16" s="493">
        <v>0</v>
      </c>
      <c r="L16" s="493">
        <v>0</v>
      </c>
      <c r="M16" s="493">
        <v>0</v>
      </c>
      <c r="N16" s="494">
        <v>0</v>
      </c>
      <c r="O16" s="495"/>
    </row>
    <row r="17" spans="1:15" x14ac:dyDescent="0.3">
      <c r="A17" s="488">
        <v>2.2999999999999998</v>
      </c>
      <c r="B17" s="498" t="s">
        <v>462</v>
      </c>
      <c r="C17" s="493">
        <v>0</v>
      </c>
      <c r="D17" s="497">
        <v>0.02</v>
      </c>
      <c r="E17" s="492">
        <f>D17*C17</f>
        <v>0</v>
      </c>
      <c r="F17" s="493">
        <v>0</v>
      </c>
      <c r="G17" s="493">
        <v>0</v>
      </c>
      <c r="H17" s="493">
        <v>0</v>
      </c>
      <c r="I17" s="493">
        <v>0</v>
      </c>
      <c r="J17" s="493">
        <v>0</v>
      </c>
      <c r="K17" s="493">
        <v>0</v>
      </c>
      <c r="L17" s="493">
        <v>0</v>
      </c>
      <c r="M17" s="493">
        <v>0</v>
      </c>
      <c r="N17" s="494">
        <v>0</v>
      </c>
      <c r="O17" s="495"/>
    </row>
    <row r="18" spans="1:15" x14ac:dyDescent="0.3">
      <c r="A18" s="488">
        <v>2.4</v>
      </c>
      <c r="B18" s="498" t="s">
        <v>463</v>
      </c>
      <c r="C18" s="493">
        <v>0</v>
      </c>
      <c r="D18" s="497">
        <v>0.03</v>
      </c>
      <c r="E18" s="492">
        <f>D18*C18</f>
        <v>0</v>
      </c>
      <c r="F18" s="493">
        <v>0</v>
      </c>
      <c r="G18" s="493">
        <v>0</v>
      </c>
      <c r="H18" s="493">
        <v>0</v>
      </c>
      <c r="I18" s="493">
        <v>0</v>
      </c>
      <c r="J18" s="493">
        <v>0</v>
      </c>
      <c r="K18" s="493">
        <v>0</v>
      </c>
      <c r="L18" s="493">
        <v>0</v>
      </c>
      <c r="M18" s="493">
        <v>0</v>
      </c>
      <c r="N18" s="494">
        <v>0</v>
      </c>
      <c r="O18" s="495"/>
    </row>
    <row r="19" spans="1:15" x14ac:dyDescent="0.3">
      <c r="A19" s="488">
        <v>2.5</v>
      </c>
      <c r="B19" s="498" t="s">
        <v>464</v>
      </c>
      <c r="C19" s="493">
        <v>0</v>
      </c>
      <c r="D19" s="497">
        <v>0.04</v>
      </c>
      <c r="E19" s="492">
        <f>D19*C19</f>
        <v>0</v>
      </c>
      <c r="F19" s="493">
        <v>0</v>
      </c>
      <c r="G19" s="493">
        <v>0</v>
      </c>
      <c r="H19" s="493">
        <v>0</v>
      </c>
      <c r="I19" s="493">
        <v>0</v>
      </c>
      <c r="J19" s="493">
        <v>0</v>
      </c>
      <c r="K19" s="493">
        <v>0</v>
      </c>
      <c r="L19" s="493">
        <v>0</v>
      </c>
      <c r="M19" s="493">
        <v>0</v>
      </c>
      <c r="N19" s="494">
        <v>0</v>
      </c>
      <c r="O19" s="495"/>
    </row>
    <row r="20" spans="1:15" x14ac:dyDescent="0.3">
      <c r="A20" s="488">
        <v>2.6</v>
      </c>
      <c r="B20" s="498" t="s">
        <v>465</v>
      </c>
      <c r="C20" s="493">
        <v>0</v>
      </c>
      <c r="D20" s="499"/>
      <c r="E20" s="501"/>
      <c r="F20" s="493">
        <v>0</v>
      </c>
      <c r="G20" s="493">
        <v>0</v>
      </c>
      <c r="H20" s="493">
        <v>0</v>
      </c>
      <c r="I20" s="493">
        <v>0</v>
      </c>
      <c r="J20" s="493">
        <v>0</v>
      </c>
      <c r="K20" s="493">
        <v>0</v>
      </c>
      <c r="L20" s="493">
        <v>0</v>
      </c>
      <c r="M20" s="493">
        <v>0</v>
      </c>
      <c r="N20" s="494">
        <v>0</v>
      </c>
      <c r="O20" s="495"/>
    </row>
    <row r="21" spans="1:15" ht="15.75" thickBot="1" x14ac:dyDescent="0.35">
      <c r="A21" s="502">
        <v>3</v>
      </c>
      <c r="B21" s="503" t="s">
        <v>73</v>
      </c>
      <c r="C21" s="504">
        <f>C7+C14</f>
        <v>62704481.75</v>
      </c>
      <c r="D21" s="505"/>
      <c r="E21" s="506">
        <f>SUM(E7+E14)</f>
        <v>1254089.635</v>
      </c>
      <c r="F21" s="493">
        <v>0</v>
      </c>
      <c r="G21" s="493">
        <v>0</v>
      </c>
      <c r="H21" s="493">
        <v>0</v>
      </c>
      <c r="I21" s="493">
        <v>0</v>
      </c>
      <c r="J21" s="493">
        <v>0</v>
      </c>
      <c r="K21" s="493">
        <v>0</v>
      </c>
      <c r="L21" s="493">
        <v>0</v>
      </c>
      <c r="M21" s="493">
        <v>0</v>
      </c>
      <c r="N21" s="494">
        <v>1254089.635</v>
      </c>
      <c r="O21" s="495"/>
    </row>
    <row r="22" spans="1:15" x14ac:dyDescent="0.3">
      <c r="C22" s="507"/>
      <c r="D22" s="507"/>
      <c r="E22" s="508"/>
      <c r="F22" s="508"/>
      <c r="G22" s="508"/>
      <c r="H22" s="508"/>
      <c r="I22" s="508"/>
      <c r="J22" s="508"/>
      <c r="K22" s="508"/>
      <c r="L22" s="508"/>
      <c r="M22" s="508"/>
      <c r="N22" s="507"/>
      <c r="O22" s="495"/>
    </row>
    <row r="23" spans="1:15" x14ac:dyDescent="0.3">
      <c r="C23" s="507"/>
      <c r="D23" s="507"/>
      <c r="E23" s="507"/>
      <c r="F23" s="507"/>
      <c r="G23" s="507"/>
      <c r="H23" s="507"/>
      <c r="I23" s="507"/>
      <c r="J23" s="507"/>
      <c r="K23" s="507"/>
      <c r="L23" s="507"/>
      <c r="M23" s="507"/>
      <c r="N23" s="507"/>
      <c r="O23" s="495"/>
    </row>
    <row r="24" spans="1:15" x14ac:dyDescent="0.3">
      <c r="C24" s="507"/>
      <c r="D24" s="507"/>
      <c r="E24" s="507"/>
      <c r="F24" s="507"/>
      <c r="G24" s="507"/>
      <c r="H24" s="507"/>
      <c r="I24" s="507"/>
      <c r="J24" s="507"/>
      <c r="K24" s="507"/>
      <c r="L24" s="507"/>
      <c r="M24" s="507"/>
      <c r="N24" s="507"/>
      <c r="O24" s="49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D43"/>
  <sheetViews>
    <sheetView topLeftCell="A30" workbookViewId="0">
      <selection activeCell="C9" sqref="C9"/>
    </sheetView>
  </sheetViews>
  <sheetFormatPr defaultColWidth="9.140625" defaultRowHeight="12.75" x14ac:dyDescent="0.2"/>
  <cols>
    <col min="1" max="1" width="9.28515625" style="509" customWidth="1"/>
    <col min="2" max="2" width="64.5703125" style="510" customWidth="1"/>
    <col min="3" max="3" width="13.5703125" style="509" bestFit="1" customWidth="1"/>
    <col min="4" max="4" width="11.28515625" style="509" bestFit="1" customWidth="1"/>
    <col min="5" max="16384" width="9.140625" style="509"/>
  </cols>
  <sheetData>
    <row r="1" spans="1:4" ht="15" x14ac:dyDescent="0.3">
      <c r="A1" s="196" t="s">
        <v>454</v>
      </c>
      <c r="B1" s="22" t="str">
        <f>'1. key ratios'!B1</f>
        <v>სს ტერაბანკი</v>
      </c>
    </row>
    <row r="2" spans="1:4" ht="15" x14ac:dyDescent="0.3">
      <c r="A2" s="196" t="s">
        <v>31</v>
      </c>
      <c r="B2" s="89">
        <f>'1. key ratios'!B2</f>
        <v>43921</v>
      </c>
    </row>
    <row r="3" spans="1:4" ht="15" x14ac:dyDescent="0.3">
      <c r="A3" s="196"/>
    </row>
    <row r="4" spans="1:4" ht="23.25" x14ac:dyDescent="0.25">
      <c r="A4" s="594" t="s">
        <v>467</v>
      </c>
      <c r="B4" s="511" t="s">
        <v>28</v>
      </c>
      <c r="C4" s="512"/>
    </row>
    <row r="5" spans="1:4" x14ac:dyDescent="0.2">
      <c r="A5" s="513"/>
      <c r="B5" s="513" t="s">
        <v>468</v>
      </c>
      <c r="C5" s="514"/>
    </row>
    <row r="6" spans="1:4" x14ac:dyDescent="0.2">
      <c r="A6" s="515">
        <v>1</v>
      </c>
      <c r="B6" s="516" t="s">
        <v>225</v>
      </c>
      <c r="C6" s="517">
        <v>1065266191.2099969</v>
      </c>
      <c r="D6" s="518"/>
    </row>
    <row r="7" spans="1:4" x14ac:dyDescent="0.2">
      <c r="A7" s="515">
        <v>2</v>
      </c>
      <c r="B7" s="516" t="s">
        <v>469</v>
      </c>
      <c r="C7" s="517">
        <v>-22850336.979999997</v>
      </c>
    </row>
    <row r="8" spans="1:4" x14ac:dyDescent="0.2">
      <c r="A8" s="519">
        <v>3</v>
      </c>
      <c r="B8" s="520" t="s">
        <v>470</v>
      </c>
      <c r="C8" s="521">
        <f>C6+C7</f>
        <v>1042415854.2299969</v>
      </c>
    </row>
    <row r="9" spans="1:4" x14ac:dyDescent="0.2">
      <c r="A9" s="522"/>
      <c r="B9" s="522" t="s">
        <v>471</v>
      </c>
      <c r="C9" s="523"/>
    </row>
    <row r="10" spans="1:4" x14ac:dyDescent="0.2">
      <c r="A10" s="524">
        <v>4</v>
      </c>
      <c r="B10" s="525" t="s">
        <v>472</v>
      </c>
      <c r="C10" s="517"/>
    </row>
    <row r="11" spans="1:4" x14ac:dyDescent="0.2">
      <c r="A11" s="524">
        <v>5</v>
      </c>
      <c r="B11" s="526" t="s">
        <v>473</v>
      </c>
      <c r="C11" s="517"/>
    </row>
    <row r="12" spans="1:4" x14ac:dyDescent="0.2">
      <c r="A12" s="524" t="s">
        <v>474</v>
      </c>
      <c r="B12" s="516" t="s">
        <v>475</v>
      </c>
      <c r="C12" s="517">
        <v>1254089.635</v>
      </c>
    </row>
    <row r="13" spans="1:4" ht="25.5" customHeight="1" x14ac:dyDescent="0.2">
      <c r="A13" s="527">
        <v>6</v>
      </c>
      <c r="B13" s="528" t="s">
        <v>476</v>
      </c>
      <c r="C13" s="517"/>
    </row>
    <row r="14" spans="1:4" x14ac:dyDescent="0.2">
      <c r="A14" s="527">
        <v>7</v>
      </c>
      <c r="B14" s="529" t="s">
        <v>477</v>
      </c>
      <c r="C14" s="517"/>
    </row>
    <row r="15" spans="1:4" x14ac:dyDescent="0.2">
      <c r="A15" s="530">
        <v>8</v>
      </c>
      <c r="B15" s="516" t="s">
        <v>478</v>
      </c>
      <c r="C15" s="517"/>
    </row>
    <row r="16" spans="1:4" ht="24" x14ac:dyDescent="0.2">
      <c r="A16" s="527">
        <v>9</v>
      </c>
      <c r="B16" s="529" t="s">
        <v>479</v>
      </c>
      <c r="C16" s="517"/>
    </row>
    <row r="17" spans="1:3" x14ac:dyDescent="0.2">
      <c r="A17" s="527">
        <v>10</v>
      </c>
      <c r="B17" s="529" t="s">
        <v>480</v>
      </c>
      <c r="C17" s="517"/>
    </row>
    <row r="18" spans="1:3" x14ac:dyDescent="0.2">
      <c r="A18" s="531">
        <v>11</v>
      </c>
      <c r="B18" s="532" t="s">
        <v>481</v>
      </c>
      <c r="C18" s="533">
        <f>SUM(C10:C17)</f>
        <v>1254089.635</v>
      </c>
    </row>
    <row r="19" spans="1:3" x14ac:dyDescent="0.2">
      <c r="A19" s="522"/>
      <c r="B19" s="522" t="s">
        <v>482</v>
      </c>
      <c r="C19" s="534"/>
    </row>
    <row r="20" spans="1:3" ht="24" customHeight="1" x14ac:dyDescent="0.2">
      <c r="A20" s="527">
        <v>12</v>
      </c>
      <c r="B20" s="525" t="s">
        <v>483</v>
      </c>
      <c r="C20" s="517"/>
    </row>
    <row r="21" spans="1:3" x14ac:dyDescent="0.2">
      <c r="A21" s="527">
        <v>13</v>
      </c>
      <c r="B21" s="525" t="s">
        <v>484</v>
      </c>
      <c r="C21" s="517"/>
    </row>
    <row r="22" spans="1:3" ht="24.75" customHeight="1" x14ac:dyDescent="0.2">
      <c r="A22" s="527">
        <v>14</v>
      </c>
      <c r="B22" s="525" t="s">
        <v>485</v>
      </c>
      <c r="C22" s="517"/>
    </row>
    <row r="23" spans="1:3" ht="24" x14ac:dyDescent="0.2">
      <c r="A23" s="527" t="s">
        <v>486</v>
      </c>
      <c r="B23" s="525" t="s">
        <v>487</v>
      </c>
      <c r="C23" s="517"/>
    </row>
    <row r="24" spans="1:3" x14ac:dyDescent="0.2">
      <c r="A24" s="527">
        <v>15</v>
      </c>
      <c r="B24" s="525" t="s">
        <v>488</v>
      </c>
      <c r="C24" s="517"/>
    </row>
    <row r="25" spans="1:3" x14ac:dyDescent="0.2">
      <c r="A25" s="527" t="s">
        <v>489</v>
      </c>
      <c r="B25" s="516" t="s">
        <v>490</v>
      </c>
      <c r="C25" s="517"/>
    </row>
    <row r="26" spans="1:3" x14ac:dyDescent="0.2">
      <c r="A26" s="531">
        <v>16</v>
      </c>
      <c r="B26" s="532" t="s">
        <v>491</v>
      </c>
      <c r="C26" s="533">
        <f>SUM(C20:C25)</f>
        <v>0</v>
      </c>
    </row>
    <row r="27" spans="1:3" x14ac:dyDescent="0.2">
      <c r="A27" s="522"/>
      <c r="B27" s="522" t="s">
        <v>492</v>
      </c>
      <c r="C27" s="523"/>
    </row>
    <row r="28" spans="1:3" x14ac:dyDescent="0.2">
      <c r="A28" s="524">
        <v>17</v>
      </c>
      <c r="B28" s="516" t="s">
        <v>493</v>
      </c>
      <c r="C28" s="517">
        <v>64956985.92999994</v>
      </c>
    </row>
    <row r="29" spans="1:3" x14ac:dyDescent="0.2">
      <c r="A29" s="524">
        <v>18</v>
      </c>
      <c r="B29" s="516" t="s">
        <v>494</v>
      </c>
      <c r="C29" s="517">
        <v>-30850554.229999922</v>
      </c>
    </row>
    <row r="30" spans="1:3" x14ac:dyDescent="0.2">
      <c r="A30" s="531">
        <v>19</v>
      </c>
      <c r="B30" s="532" t="s">
        <v>495</v>
      </c>
      <c r="C30" s="533">
        <f>C28+C29</f>
        <v>34106431.700000018</v>
      </c>
    </row>
    <row r="31" spans="1:3" x14ac:dyDescent="0.2">
      <c r="A31" s="535"/>
      <c r="B31" s="522" t="s">
        <v>496</v>
      </c>
      <c r="C31" s="523"/>
    </row>
    <row r="32" spans="1:3" x14ac:dyDescent="0.2">
      <c r="A32" s="524" t="s">
        <v>497</v>
      </c>
      <c r="B32" s="525" t="s">
        <v>498</v>
      </c>
      <c r="C32" s="536"/>
    </row>
    <row r="33" spans="1:3" x14ac:dyDescent="0.2">
      <c r="A33" s="524" t="s">
        <v>499</v>
      </c>
      <c r="B33" s="526" t="s">
        <v>500</v>
      </c>
      <c r="C33" s="536"/>
    </row>
    <row r="34" spans="1:3" x14ac:dyDescent="0.2">
      <c r="A34" s="522"/>
      <c r="B34" s="522" t="s">
        <v>501</v>
      </c>
      <c r="C34" s="523"/>
    </row>
    <row r="35" spans="1:3" x14ac:dyDescent="0.2">
      <c r="A35" s="531">
        <v>20</v>
      </c>
      <c r="B35" s="532" t="s">
        <v>37</v>
      </c>
      <c r="C35" s="517">
        <v>97812466.859999955</v>
      </c>
    </row>
    <row r="36" spans="1:3" ht="23.25" customHeight="1" x14ac:dyDescent="0.2">
      <c r="A36" s="531">
        <v>21</v>
      </c>
      <c r="B36" s="532" t="s">
        <v>502</v>
      </c>
      <c r="C36" s="533">
        <f>C8+C18+C26+C30</f>
        <v>1077776375.564997</v>
      </c>
    </row>
    <row r="37" spans="1:3" x14ac:dyDescent="0.2">
      <c r="A37" s="592" t="s">
        <v>28</v>
      </c>
      <c r="B37" s="593"/>
      <c r="C37" s="523"/>
    </row>
    <row r="38" spans="1:3" x14ac:dyDescent="0.2">
      <c r="A38" s="531">
        <v>22</v>
      </c>
      <c r="B38" s="537" t="s">
        <v>28</v>
      </c>
      <c r="C38" s="538">
        <f>IFERROR(C35/C36,0)</f>
        <v>9.075395330383286E-2</v>
      </c>
    </row>
    <row r="39" spans="1:3" x14ac:dyDescent="0.2">
      <c r="A39" s="539"/>
      <c r="B39" s="539" t="s">
        <v>503</v>
      </c>
      <c r="C39" s="523"/>
    </row>
    <row r="40" spans="1:3" ht="18" customHeight="1" x14ac:dyDescent="0.2">
      <c r="A40" s="540" t="s">
        <v>504</v>
      </c>
      <c r="B40" s="525" t="s">
        <v>505</v>
      </c>
      <c r="C40" s="536"/>
    </row>
    <row r="41" spans="1:3" ht="24.75" customHeight="1" x14ac:dyDescent="0.2">
      <c r="A41" s="541" t="s">
        <v>506</v>
      </c>
      <c r="B41" s="526" t="s">
        <v>507</v>
      </c>
      <c r="C41" s="536"/>
    </row>
    <row r="43" spans="1:3" x14ac:dyDescent="0.2">
      <c r="B43" s="542" t="s">
        <v>508</v>
      </c>
    </row>
  </sheetData>
  <mergeCells count="1">
    <mergeCell ref="A37:B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2"/>
  <sheetViews>
    <sheetView showGridLines="0" zoomScaleNormal="100"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RowHeight="15.75" x14ac:dyDescent="0.3"/>
  <cols>
    <col min="1" max="1" width="9.5703125" style="87" bestFit="1" customWidth="1"/>
    <col min="2" max="2" width="86" style="24" customWidth="1"/>
    <col min="3" max="3" width="12.7109375" style="24" customWidth="1"/>
    <col min="4" max="4" width="12" style="22" bestFit="1" customWidth="1"/>
    <col min="5" max="5" width="14" style="22" bestFit="1" customWidth="1"/>
    <col min="6" max="6" width="13.7109375" style="22" bestFit="1" customWidth="1"/>
    <col min="7" max="7" width="13.28515625" style="22" bestFit="1" customWidth="1"/>
    <col min="8" max="8" width="6.7109375" customWidth="1"/>
    <col min="9" max="9" width="11.5703125" customWidth="1"/>
    <col min="10" max="13" width="6.7109375" customWidth="1"/>
  </cols>
  <sheetData>
    <row r="1" spans="1:12" x14ac:dyDescent="0.3">
      <c r="A1" s="23" t="s">
        <v>29</v>
      </c>
      <c r="B1" s="24" t="s">
        <v>30</v>
      </c>
    </row>
    <row r="2" spans="1:12" x14ac:dyDescent="0.3">
      <c r="A2" s="23" t="s">
        <v>31</v>
      </c>
      <c r="B2" s="25">
        <v>43921</v>
      </c>
      <c r="C2" s="26"/>
      <c r="D2" s="27"/>
      <c r="E2" s="27"/>
      <c r="F2" s="27"/>
      <c r="G2" s="27"/>
      <c r="H2" s="28"/>
    </row>
    <row r="3" spans="1:12" x14ac:dyDescent="0.3">
      <c r="A3" s="23"/>
      <c r="C3" s="26"/>
      <c r="D3" s="27"/>
      <c r="E3" s="27"/>
      <c r="F3" s="27"/>
      <c r="G3" s="27"/>
      <c r="H3" s="28"/>
    </row>
    <row r="4" spans="1:12" ht="16.5" thickBot="1" x14ac:dyDescent="0.35">
      <c r="A4" s="29" t="s">
        <v>32</v>
      </c>
      <c r="B4" s="30" t="s">
        <v>12</v>
      </c>
      <c r="C4" s="31"/>
      <c r="D4" s="32"/>
      <c r="E4" s="32"/>
      <c r="F4" s="32"/>
      <c r="G4" s="32"/>
      <c r="H4" s="28"/>
    </row>
    <row r="5" spans="1:12" ht="15" x14ac:dyDescent="0.25">
      <c r="A5" s="33" t="s">
        <v>33</v>
      </c>
      <c r="B5" s="34"/>
      <c r="C5" s="35">
        <f>B2</f>
        <v>43921</v>
      </c>
      <c r="D5" s="36">
        <f>EOMONTH(C5,-3)</f>
        <v>43830</v>
      </c>
      <c r="E5" s="36">
        <f>EOMONTH(D5,-3)</f>
        <v>43738</v>
      </c>
      <c r="F5" s="36">
        <f>EOMONTH(E5,-3)</f>
        <v>43646</v>
      </c>
      <c r="G5" s="37">
        <f>EOMONTH(F5,-3)</f>
        <v>43555</v>
      </c>
    </row>
    <row r="6" spans="1:12" ht="15" x14ac:dyDescent="0.25">
      <c r="A6" s="38"/>
      <c r="B6" s="39" t="s">
        <v>34</v>
      </c>
      <c r="C6" s="40"/>
      <c r="D6" s="40"/>
      <c r="E6" s="40"/>
      <c r="F6" s="40"/>
      <c r="G6" s="41"/>
    </row>
    <row r="7" spans="1:12" ht="15" x14ac:dyDescent="0.25">
      <c r="A7" s="38"/>
      <c r="B7" s="42" t="s">
        <v>35</v>
      </c>
      <c r="C7" s="40"/>
      <c r="D7" s="40"/>
      <c r="E7" s="40"/>
      <c r="F7" s="40"/>
      <c r="G7" s="41"/>
    </row>
    <row r="8" spans="1:12" ht="15" x14ac:dyDescent="0.25">
      <c r="A8" s="43">
        <v>1</v>
      </c>
      <c r="B8" s="44" t="s">
        <v>36</v>
      </c>
      <c r="C8" s="45">
        <v>97812466.859999955</v>
      </c>
      <c r="D8" s="46">
        <v>116131509.71000022</v>
      </c>
      <c r="E8" s="46">
        <v>116068649.19000015</v>
      </c>
      <c r="F8" s="46">
        <v>108722461.78999999</v>
      </c>
      <c r="G8" s="47">
        <v>110978440.77000006</v>
      </c>
    </row>
    <row r="9" spans="1:12" ht="15" x14ac:dyDescent="0.25">
      <c r="A9" s="43">
        <v>2</v>
      </c>
      <c r="B9" s="44" t="s">
        <v>37</v>
      </c>
      <c r="C9" s="45">
        <v>97812466.859999955</v>
      </c>
      <c r="D9" s="46">
        <v>116131509.71000022</v>
      </c>
      <c r="E9" s="46">
        <v>116068649.19000015</v>
      </c>
      <c r="F9" s="46">
        <v>108722461.78999999</v>
      </c>
      <c r="G9" s="47">
        <v>110978440.77000006</v>
      </c>
      <c r="I9" s="48"/>
    </row>
    <row r="10" spans="1:12" ht="15" x14ac:dyDescent="0.25">
      <c r="A10" s="43">
        <v>3</v>
      </c>
      <c r="B10" s="44" t="s">
        <v>20</v>
      </c>
      <c r="C10" s="45">
        <v>163125145.89576554</v>
      </c>
      <c r="D10" s="46">
        <v>172988560.74368143</v>
      </c>
      <c r="E10" s="46">
        <v>177356900.82311577</v>
      </c>
      <c r="F10" s="46">
        <v>167351193.26255161</v>
      </c>
      <c r="G10" s="47">
        <v>164715332.73996907</v>
      </c>
    </row>
    <row r="11" spans="1:12" ht="15" x14ac:dyDescent="0.25">
      <c r="A11" s="38"/>
      <c r="B11" s="39" t="s">
        <v>38</v>
      </c>
      <c r="C11" s="49"/>
      <c r="D11" s="49"/>
      <c r="E11" s="49"/>
      <c r="F11" s="49"/>
      <c r="G11" s="50"/>
    </row>
    <row r="12" spans="1:12" ht="15" customHeight="1" x14ac:dyDescent="0.25">
      <c r="A12" s="43">
        <v>4</v>
      </c>
      <c r="B12" s="44" t="s">
        <v>39</v>
      </c>
      <c r="C12" s="51">
        <v>962318943.62999654</v>
      </c>
      <c r="D12" s="46">
        <v>898692525.95324779</v>
      </c>
      <c r="E12" s="52">
        <v>940885173.26799881</v>
      </c>
      <c r="F12" s="52">
        <v>932602567.52287805</v>
      </c>
      <c r="G12" s="53">
        <v>889510858.74627233</v>
      </c>
      <c r="I12" s="54"/>
      <c r="J12" s="54"/>
      <c r="K12" s="54"/>
      <c r="L12" s="54"/>
    </row>
    <row r="13" spans="1:12" ht="15" x14ac:dyDescent="0.25">
      <c r="A13" s="38"/>
      <c r="B13" s="39" t="s">
        <v>40</v>
      </c>
      <c r="C13" s="40"/>
      <c r="D13" s="40"/>
      <c r="E13" s="40"/>
      <c r="F13" s="40"/>
      <c r="G13" s="41"/>
    </row>
    <row r="14" spans="1:12" s="21" customFormat="1" ht="15" x14ac:dyDescent="0.25">
      <c r="A14" s="43"/>
      <c r="B14" s="42" t="s">
        <v>41</v>
      </c>
      <c r="C14" s="40"/>
      <c r="D14" s="40"/>
      <c r="E14" s="40"/>
      <c r="F14" s="40"/>
      <c r="G14" s="41"/>
    </row>
    <row r="15" spans="1:12" ht="15" x14ac:dyDescent="0.25">
      <c r="A15" s="55">
        <v>5</v>
      </c>
      <c r="B15" s="56"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&gt;=5.63%</v>
      </c>
      <c r="C15" s="57">
        <f>C8/C12</f>
        <v>0.10164246220804733</v>
      </c>
      <c r="D15" s="58">
        <v>0.12922273898608305</v>
      </c>
      <c r="E15" s="58">
        <v>0.12336112045092193</v>
      </c>
      <c r="F15" s="58">
        <v>0.1165796294972487</v>
      </c>
      <c r="G15" s="59">
        <v>0.12476344687508306</v>
      </c>
    </row>
    <row r="16" spans="1:12" ht="15" customHeight="1" x14ac:dyDescent="0.25">
      <c r="A16" s="55">
        <v>6</v>
      </c>
      <c r="B16" s="56" t="str">
        <f>"პირველადი კაპიტალის კოეფიციენტი &gt;="&amp;ROUND('9.1. Capital Requirements'!$C$20*100,2)&amp;"%"</f>
        <v>პირველადი კაპიტალის კოეფიციენტი &gt;=7.51%</v>
      </c>
      <c r="C16" s="57">
        <f>C9/C12</f>
        <v>0.10164246220804733</v>
      </c>
      <c r="D16" s="58">
        <v>0.12922273898608305</v>
      </c>
      <c r="E16" s="58">
        <v>0.12336112045092193</v>
      </c>
      <c r="F16" s="58">
        <v>0.1165796294972487</v>
      </c>
      <c r="G16" s="59">
        <v>0.12476344687508306</v>
      </c>
    </row>
    <row r="17" spans="1:9" ht="15" x14ac:dyDescent="0.25">
      <c r="A17" s="55">
        <v>7</v>
      </c>
      <c r="B17" s="56" t="str">
        <f>"საზედამხედველო კაპიტალის კოეფიციენტი &gt;="&amp;ROUND('9.1. Capital Requirements'!$C$21*100,2)&amp;"%"</f>
        <v>საზედამხედველო კაპიტალის კოეფიციენტი &gt;=12.75%</v>
      </c>
      <c r="C17" s="57">
        <f>C10/C12</f>
        <v>0.16951255815502866</v>
      </c>
      <c r="D17" s="58">
        <v>0.19248915034671238</v>
      </c>
      <c r="E17" s="58">
        <v>0.18850004853099964</v>
      </c>
      <c r="F17" s="58">
        <v>0.17944534905909557</v>
      </c>
      <c r="G17" s="59">
        <v>0.18517517928013641</v>
      </c>
    </row>
    <row r="18" spans="1:9" ht="15" x14ac:dyDescent="0.25">
      <c r="A18" s="38"/>
      <c r="B18" s="39" t="s">
        <v>42</v>
      </c>
      <c r="C18" s="60"/>
      <c r="D18" s="60"/>
      <c r="E18" s="60"/>
      <c r="F18" s="60"/>
      <c r="G18" s="61"/>
    </row>
    <row r="19" spans="1:9" ht="15" customHeight="1" x14ac:dyDescent="0.25">
      <c r="A19" s="62">
        <v>8</v>
      </c>
      <c r="B19" s="63" t="s">
        <v>43</v>
      </c>
      <c r="C19" s="64">
        <v>8.034303039887182E-2</v>
      </c>
      <c r="D19" s="65">
        <v>8.0578701357911842E-2</v>
      </c>
      <c r="E19" s="65">
        <v>7.9769621602389582E-2</v>
      </c>
      <c r="F19" s="65">
        <v>8.0340333687152543E-2</v>
      </c>
      <c r="G19" s="66">
        <v>8.0620064004284259E-2</v>
      </c>
    </row>
    <row r="20" spans="1:9" ht="15" x14ac:dyDescent="0.25">
      <c r="A20" s="62">
        <v>9</v>
      </c>
      <c r="B20" s="63" t="s">
        <v>44</v>
      </c>
      <c r="C20" s="64">
        <v>3.8436220271917412E-2</v>
      </c>
      <c r="D20" s="65">
        <v>3.749526755884524E-2</v>
      </c>
      <c r="E20" s="65">
        <v>3.7240627187445391E-2</v>
      </c>
      <c r="F20" s="65">
        <v>3.6961994849379273E-2</v>
      </c>
      <c r="G20" s="66">
        <v>3.6482096493412206E-2</v>
      </c>
    </row>
    <row r="21" spans="1:9" ht="15" x14ac:dyDescent="0.25">
      <c r="A21" s="62">
        <v>10</v>
      </c>
      <c r="B21" s="63" t="s">
        <v>45</v>
      </c>
      <c r="C21" s="64">
        <v>2.7618733665792504E-2</v>
      </c>
      <c r="D21" s="65">
        <v>2.0789249561113922E-2</v>
      </c>
      <c r="E21" s="65">
        <v>2.2986983096665574E-2</v>
      </c>
      <c r="F21" s="65">
        <v>2.4683889073176663E-2</v>
      </c>
      <c r="G21" s="66">
        <v>2.9192501328584378E-2</v>
      </c>
    </row>
    <row r="22" spans="1:9" ht="15" x14ac:dyDescent="0.25">
      <c r="A22" s="62">
        <v>11</v>
      </c>
      <c r="B22" s="63" t="s">
        <v>46</v>
      </c>
      <c r="C22" s="64">
        <v>4.1906810126954401E-2</v>
      </c>
      <c r="D22" s="65">
        <v>4.3083433799066602E-2</v>
      </c>
      <c r="E22" s="65">
        <v>4.2528994414944191E-2</v>
      </c>
      <c r="F22" s="65">
        <v>4.337833883777327E-2</v>
      </c>
      <c r="G22" s="66">
        <v>4.413796751087206E-2</v>
      </c>
    </row>
    <row r="23" spans="1:9" ht="15" x14ac:dyDescent="0.25">
      <c r="A23" s="62">
        <v>12</v>
      </c>
      <c r="B23" s="63" t="s">
        <v>47</v>
      </c>
      <c r="C23" s="64">
        <v>-7.1564399565378273E-2</v>
      </c>
      <c r="D23" s="65">
        <v>2.0356380179567975E-2</v>
      </c>
      <c r="E23" s="65">
        <v>2.7524169086467456E-2</v>
      </c>
      <c r="F23" s="65">
        <v>2.6662636497584595E-2</v>
      </c>
      <c r="G23" s="66">
        <v>2.6254096797861583E-2</v>
      </c>
    </row>
    <row r="24" spans="1:9" ht="15" x14ac:dyDescent="0.25">
      <c r="A24" s="62">
        <v>13</v>
      </c>
      <c r="B24" s="63" t="s">
        <v>48</v>
      </c>
      <c r="C24" s="64">
        <v>-0.5488843340084143</v>
      </c>
      <c r="D24" s="65">
        <v>0.14963020201970725</v>
      </c>
      <c r="E24" s="65">
        <v>0.20338505791313632</v>
      </c>
      <c r="F24" s="65">
        <v>0.19556363438395086</v>
      </c>
      <c r="G24" s="66">
        <v>0.18968679165280927</v>
      </c>
      <c r="I24" s="67"/>
    </row>
    <row r="25" spans="1:9" ht="15" x14ac:dyDescent="0.25">
      <c r="A25" s="38"/>
      <c r="B25" s="39" t="s">
        <v>49</v>
      </c>
      <c r="C25" s="60"/>
      <c r="D25" s="60"/>
      <c r="E25" s="60"/>
      <c r="F25" s="60"/>
      <c r="G25" s="61"/>
    </row>
    <row r="26" spans="1:9" ht="15" x14ac:dyDescent="0.25">
      <c r="A26" s="62">
        <v>14</v>
      </c>
      <c r="B26" s="63" t="s">
        <v>50</v>
      </c>
      <c r="C26" s="64">
        <v>4.9162047653363898E-2</v>
      </c>
      <c r="D26" s="65">
        <v>5.5045923603628713E-2</v>
      </c>
      <c r="E26" s="65">
        <v>6.6048174051329664E-2</v>
      </c>
      <c r="F26" s="65">
        <v>7.1731810397726734E-2</v>
      </c>
      <c r="G26" s="66">
        <v>7.289384593086469E-2</v>
      </c>
    </row>
    <row r="27" spans="1:9" ht="15" customHeight="1" x14ac:dyDescent="0.25">
      <c r="A27" s="62">
        <v>15</v>
      </c>
      <c r="B27" s="63" t="s">
        <v>51</v>
      </c>
      <c r="C27" s="64">
        <f>-'2. RC'!E13/'2. RC'!E12</f>
        <v>7.956774948323736E-2</v>
      </c>
      <c r="D27" s="65">
        <v>4.8819297340186446E-2</v>
      </c>
      <c r="E27" s="65">
        <v>5.3588114360708643E-2</v>
      </c>
      <c r="F27" s="65">
        <v>5.4779290588043435E-2</v>
      </c>
      <c r="G27" s="66">
        <v>5.4677214531019688E-2</v>
      </c>
    </row>
    <row r="28" spans="1:9" ht="15" x14ac:dyDescent="0.25">
      <c r="A28" s="62">
        <v>16</v>
      </c>
      <c r="B28" s="63" t="s">
        <v>52</v>
      </c>
      <c r="C28" s="64">
        <f>'2. RC'!D12/'2. RC'!E12</f>
        <v>0.6482525004346954</v>
      </c>
      <c r="D28" s="65">
        <v>0.62599737248936949</v>
      </c>
      <c r="E28" s="65">
        <v>0.61951596488861727</v>
      </c>
      <c r="F28" s="65">
        <v>0.63200081160158073</v>
      </c>
      <c r="G28" s="66">
        <v>0.61322293379588433</v>
      </c>
    </row>
    <row r="29" spans="1:9" ht="15" customHeight="1" x14ac:dyDescent="0.25">
      <c r="A29" s="62">
        <v>17</v>
      </c>
      <c r="B29" s="63" t="s">
        <v>53</v>
      </c>
      <c r="C29" s="64">
        <f>'2. RC'!D20/'2. RC'!E20</f>
        <v>0.64472448882797606</v>
      </c>
      <c r="D29" s="65">
        <v>0.59386909246356578</v>
      </c>
      <c r="E29" s="65">
        <v>0.60265463022071764</v>
      </c>
      <c r="F29" s="65">
        <v>0.61064170449843569</v>
      </c>
      <c r="G29" s="66">
        <v>0.60332776039229008</v>
      </c>
    </row>
    <row r="30" spans="1:9" ht="15" x14ac:dyDescent="0.25">
      <c r="A30" s="62">
        <v>18</v>
      </c>
      <c r="B30" s="63" t="s">
        <v>54</v>
      </c>
      <c r="C30" s="64">
        <v>6.015333062860076E-2</v>
      </c>
      <c r="D30" s="65">
        <v>0.10821067248692923</v>
      </c>
      <c r="E30" s="65">
        <v>4.1432872819423094E-2</v>
      </c>
      <c r="F30" s="65">
        <v>6.2110272296294129E-2</v>
      </c>
      <c r="G30" s="66">
        <v>7.6100377495003273E-3</v>
      </c>
    </row>
    <row r="31" spans="1:9" ht="15" customHeight="1" x14ac:dyDescent="0.25">
      <c r="A31" s="38"/>
      <c r="B31" s="39" t="s">
        <v>55</v>
      </c>
      <c r="C31" s="60"/>
      <c r="D31" s="60"/>
      <c r="E31" s="60"/>
      <c r="F31" s="60"/>
      <c r="G31" s="61"/>
    </row>
    <row r="32" spans="1:9" ht="15" customHeight="1" x14ac:dyDescent="0.25">
      <c r="A32" s="62">
        <v>19</v>
      </c>
      <c r="B32" s="63" t="s">
        <v>56</v>
      </c>
      <c r="C32" s="64">
        <v>0.21021307091457325</v>
      </c>
      <c r="D32" s="68">
        <v>0.21476437006349638</v>
      </c>
      <c r="E32" s="64">
        <v>0.2565089112805527</v>
      </c>
      <c r="F32" s="64">
        <v>0.20561885131614835</v>
      </c>
      <c r="G32" s="69">
        <v>0.21002217714485491</v>
      </c>
    </row>
    <row r="33" spans="1:7" ht="15" customHeight="1" x14ac:dyDescent="0.25">
      <c r="A33" s="62">
        <v>20</v>
      </c>
      <c r="B33" s="63" t="s">
        <v>57</v>
      </c>
      <c r="C33" s="64">
        <f>'2. RC'!D31/'2. RC'!E31</f>
        <v>0.70946902796697819</v>
      </c>
      <c r="D33" s="68">
        <v>0.68573030123378609</v>
      </c>
      <c r="E33" s="64">
        <v>0.68673931725124704</v>
      </c>
      <c r="F33" s="64">
        <v>0.64107227678722867</v>
      </c>
      <c r="G33" s="69">
        <v>0.67879205773521678</v>
      </c>
    </row>
    <row r="34" spans="1:7" ht="15" x14ac:dyDescent="0.25">
      <c r="A34" s="62">
        <v>21</v>
      </c>
      <c r="B34" s="70" t="s">
        <v>58</v>
      </c>
      <c r="C34" s="64">
        <f>('2. RC'!E23+'2. RC'!E24)/'2. RC'!E20</f>
        <v>0.33228683874315895</v>
      </c>
      <c r="D34" s="64">
        <v>0.34763228668274182</v>
      </c>
      <c r="E34" s="64">
        <v>0.35868073898671504</v>
      </c>
      <c r="F34" s="64">
        <v>0.40162022029654859</v>
      </c>
      <c r="G34" s="69">
        <v>0.41131175259801867</v>
      </c>
    </row>
    <row r="35" spans="1:7" ht="15" x14ac:dyDescent="0.25">
      <c r="A35" s="71"/>
      <c r="B35" s="39" t="s">
        <v>59</v>
      </c>
      <c r="C35" s="40"/>
      <c r="D35" s="40"/>
      <c r="E35" s="40"/>
      <c r="F35" s="40"/>
      <c r="G35" s="41"/>
    </row>
    <row r="36" spans="1:7" ht="15" customHeight="1" x14ac:dyDescent="0.25">
      <c r="A36" s="62">
        <v>22</v>
      </c>
      <c r="B36" s="72" t="s">
        <v>60</v>
      </c>
      <c r="C36" s="73">
        <f>'14. LCR'!H23</f>
        <v>233178657.76290429</v>
      </c>
      <c r="D36" s="73">
        <v>252298139.22514838</v>
      </c>
      <c r="E36" s="73">
        <v>227311185.48313966</v>
      </c>
      <c r="F36" s="73">
        <v>175731209.26347753</v>
      </c>
      <c r="G36" s="74">
        <v>182406152.37841693</v>
      </c>
    </row>
    <row r="37" spans="1:7" ht="15" x14ac:dyDescent="0.25">
      <c r="A37" s="62">
        <v>23</v>
      </c>
      <c r="B37" s="75" t="s">
        <v>61</v>
      </c>
      <c r="C37" s="73">
        <f>'14. LCR'!$H$24</f>
        <v>156134617.9647122</v>
      </c>
      <c r="D37" s="76">
        <v>158182813.90794298</v>
      </c>
      <c r="E37" s="76">
        <v>171809199.87072283</v>
      </c>
      <c r="F37" s="76">
        <v>157540760.34728163</v>
      </c>
      <c r="G37" s="77">
        <v>158849134.94813639</v>
      </c>
    </row>
    <row r="38" spans="1:7" thickBot="1" x14ac:dyDescent="0.3">
      <c r="A38" s="78">
        <v>24</v>
      </c>
      <c r="B38" s="79" t="s">
        <v>62</v>
      </c>
      <c r="C38" s="80">
        <f>C36/C37</f>
        <v>1.4934462376281263</v>
      </c>
      <c r="D38" s="80">
        <v>1.5949781963796479</v>
      </c>
      <c r="E38" s="80">
        <v>1.3230443169177151</v>
      </c>
      <c r="F38" s="80">
        <v>1.1154650318818888</v>
      </c>
      <c r="G38" s="81">
        <v>1.1482980529794626</v>
      </c>
    </row>
    <row r="39" spans="1:7" ht="15" x14ac:dyDescent="0.25">
      <c r="A39" s="82"/>
      <c r="B39" s="83"/>
      <c r="C39" s="84"/>
      <c r="D39" s="84"/>
      <c r="E39" s="84"/>
      <c r="F39" s="84"/>
      <c r="G39" s="84"/>
    </row>
    <row r="40" spans="1:7" ht="39.75" x14ac:dyDescent="0.3">
      <c r="A40" s="85"/>
      <c r="B40" s="86" t="s">
        <v>63</v>
      </c>
    </row>
    <row r="41" spans="1:7" ht="6" customHeight="1" x14ac:dyDescent="0.3">
      <c r="A41" s="85"/>
      <c r="B41" s="86"/>
    </row>
    <row r="42" spans="1:7" ht="86.25" customHeight="1" x14ac:dyDescent="0.3">
      <c r="B42" s="88" t="s">
        <v>64</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53" activePane="bottomRight" state="frozen"/>
      <selection activeCell="C9" sqref="C9"/>
      <selection pane="topRight" activeCell="C9" sqref="C9"/>
      <selection pane="bottomLeft" activeCell="C9" sqref="C9"/>
      <selection pane="bottomRight" activeCell="C62" sqref="C62"/>
    </sheetView>
  </sheetViews>
  <sheetFormatPr defaultRowHeight="15" x14ac:dyDescent="0.25"/>
  <cols>
    <col min="1" max="1" width="9.5703125" style="22" bestFit="1" customWidth="1"/>
    <col min="2" max="2" width="55.140625" style="22" bestFit="1" customWidth="1"/>
    <col min="3" max="3" width="14.42578125" style="22" bestFit="1" customWidth="1"/>
    <col min="4" max="4" width="14.7109375" style="22" bestFit="1" customWidth="1"/>
    <col min="5" max="6" width="14.42578125" style="22" bestFit="1" customWidth="1"/>
    <col min="7" max="7" width="14" style="22" bestFit="1" customWidth="1"/>
    <col min="8" max="8" width="14.5703125" style="22" customWidth="1"/>
  </cols>
  <sheetData>
    <row r="1" spans="1:8" ht="15.75" x14ac:dyDescent="0.3">
      <c r="A1" s="23" t="s">
        <v>29</v>
      </c>
      <c r="B1" s="22" t="str">
        <f>'1. key ratios'!B1</f>
        <v>სს ტერაბანკი</v>
      </c>
    </row>
    <row r="2" spans="1:8" ht="15.75" x14ac:dyDescent="0.3">
      <c r="A2" s="23" t="s">
        <v>31</v>
      </c>
      <c r="B2" s="89">
        <f>'1. key ratios'!B2</f>
        <v>43921</v>
      </c>
    </row>
    <row r="3" spans="1:8" ht="15.75" x14ac:dyDescent="0.3">
      <c r="A3" s="23"/>
    </row>
    <row r="4" spans="1:8" ht="16.5" thickBot="1" x14ac:dyDescent="0.35">
      <c r="A4" s="90" t="s">
        <v>65</v>
      </c>
      <c r="B4" s="91" t="s">
        <v>66</v>
      </c>
      <c r="C4" s="90"/>
      <c r="D4" s="92"/>
      <c r="E4" s="92"/>
      <c r="F4" s="90"/>
      <c r="G4" s="92"/>
      <c r="H4" s="93" t="s">
        <v>67</v>
      </c>
    </row>
    <row r="5" spans="1:8" ht="15.75" x14ac:dyDescent="0.3">
      <c r="A5" s="94"/>
      <c r="B5" s="95"/>
      <c r="C5" s="545" t="s">
        <v>68</v>
      </c>
      <c r="D5" s="546"/>
      <c r="E5" s="547"/>
      <c r="F5" s="545" t="s">
        <v>69</v>
      </c>
      <c r="G5" s="546"/>
      <c r="H5" s="548"/>
    </row>
    <row r="6" spans="1:8" ht="15.75" x14ac:dyDescent="0.3">
      <c r="A6" s="96" t="s">
        <v>33</v>
      </c>
      <c r="B6" s="97" t="s">
        <v>70</v>
      </c>
      <c r="C6" s="98" t="s">
        <v>71</v>
      </c>
      <c r="D6" s="98" t="s">
        <v>72</v>
      </c>
      <c r="E6" s="98" t="s">
        <v>73</v>
      </c>
      <c r="F6" s="98" t="s">
        <v>71</v>
      </c>
      <c r="G6" s="98" t="s">
        <v>72</v>
      </c>
      <c r="H6" s="99" t="s">
        <v>73</v>
      </c>
    </row>
    <row r="7" spans="1:8" ht="15.75" x14ac:dyDescent="0.3">
      <c r="A7" s="96">
        <v>1</v>
      </c>
      <c r="B7" s="100" t="s">
        <v>74</v>
      </c>
      <c r="C7" s="101">
        <v>15357775.379999999</v>
      </c>
      <c r="D7" s="101">
        <v>17880243.850000001</v>
      </c>
      <c r="E7" s="102">
        <f>C7+D7</f>
        <v>33238019.23</v>
      </c>
      <c r="F7" s="101">
        <v>14456005.65</v>
      </c>
      <c r="G7" s="101">
        <v>18110717.010000013</v>
      </c>
      <c r="H7" s="103">
        <f>F7+G7</f>
        <v>32566722.660000011</v>
      </c>
    </row>
    <row r="8" spans="1:8" ht="15.75" x14ac:dyDescent="0.3">
      <c r="A8" s="96">
        <v>2</v>
      </c>
      <c r="B8" s="100" t="s">
        <v>75</v>
      </c>
      <c r="C8" s="101">
        <v>6413421.5899999999</v>
      </c>
      <c r="D8" s="101">
        <v>137060508</v>
      </c>
      <c r="E8" s="102">
        <f t="shared" ref="E8:E20" si="0">C8+D8</f>
        <v>143473929.59</v>
      </c>
      <c r="F8" s="101">
        <v>7213818.4399999995</v>
      </c>
      <c r="G8" s="101">
        <v>122410136.77</v>
      </c>
      <c r="H8" s="103">
        <f t="shared" ref="H8:H40" si="1">F8+G8</f>
        <v>129623955.20999999</v>
      </c>
    </row>
    <row r="9" spans="1:8" ht="15.75" x14ac:dyDescent="0.3">
      <c r="A9" s="96">
        <v>3</v>
      </c>
      <c r="B9" s="100" t="s">
        <v>76</v>
      </c>
      <c r="C9" s="101">
        <v>154230.96000000002</v>
      </c>
      <c r="D9" s="101">
        <v>28012138.150000002</v>
      </c>
      <c r="E9" s="102">
        <f t="shared" si="0"/>
        <v>28166369.110000003</v>
      </c>
      <c r="F9" s="101">
        <v>64251.05</v>
      </c>
      <c r="G9" s="101">
        <v>28074728.529999997</v>
      </c>
      <c r="H9" s="103">
        <f t="shared" si="1"/>
        <v>28138979.579999998</v>
      </c>
    </row>
    <row r="10" spans="1:8" ht="15.75" x14ac:dyDescent="0.3">
      <c r="A10" s="96">
        <v>4</v>
      </c>
      <c r="B10" s="100" t="s">
        <v>77</v>
      </c>
      <c r="C10" s="101">
        <v>0</v>
      </c>
      <c r="D10" s="101">
        <v>0</v>
      </c>
      <c r="E10" s="102">
        <f t="shared" si="0"/>
        <v>0</v>
      </c>
      <c r="F10" s="101">
        <v>0</v>
      </c>
      <c r="G10" s="101">
        <v>0</v>
      </c>
      <c r="H10" s="103">
        <f t="shared" si="1"/>
        <v>0</v>
      </c>
    </row>
    <row r="11" spans="1:8" ht="15.75" x14ac:dyDescent="0.3">
      <c r="A11" s="96">
        <v>5</v>
      </c>
      <c r="B11" s="100" t="s">
        <v>78</v>
      </c>
      <c r="C11" s="101">
        <v>57434608.059999995</v>
      </c>
      <c r="D11" s="101">
        <v>0</v>
      </c>
      <c r="E11" s="102">
        <f t="shared" si="0"/>
        <v>57434608.059999995</v>
      </c>
      <c r="F11" s="101">
        <v>50060374.970000006</v>
      </c>
      <c r="G11" s="101">
        <v>0</v>
      </c>
      <c r="H11" s="103">
        <f t="shared" si="1"/>
        <v>50060374.970000006</v>
      </c>
    </row>
    <row r="12" spans="1:8" ht="15.75" x14ac:dyDescent="0.3">
      <c r="A12" s="96">
        <v>6.1</v>
      </c>
      <c r="B12" s="104" t="s">
        <v>79</v>
      </c>
      <c r="C12" s="101">
        <v>287936343.02999794</v>
      </c>
      <c r="D12" s="101">
        <v>530651829.9800005</v>
      </c>
      <c r="E12" s="102">
        <f t="shared" si="0"/>
        <v>818588173.00999844</v>
      </c>
      <c r="F12" s="101">
        <v>271536149.61999941</v>
      </c>
      <c r="G12" s="101">
        <v>430512067.16000074</v>
      </c>
      <c r="H12" s="103">
        <f t="shared" si="1"/>
        <v>702048216.78000021</v>
      </c>
    </row>
    <row r="13" spans="1:8" ht="15.75" x14ac:dyDescent="0.3">
      <c r="A13" s="96">
        <v>6.2</v>
      </c>
      <c r="B13" s="104" t="s">
        <v>80</v>
      </c>
      <c r="C13" s="105">
        <v>-43784580.910000518</v>
      </c>
      <c r="D13" s="105">
        <v>-21348637.769999996</v>
      </c>
      <c r="E13" s="106">
        <f t="shared" si="0"/>
        <v>-65133218.680000514</v>
      </c>
      <c r="F13" s="105">
        <v>-17803016.109999053</v>
      </c>
      <c r="G13" s="105">
        <v>-20583024.850000832</v>
      </c>
      <c r="H13" s="106">
        <f t="shared" si="1"/>
        <v>-38386040.959999889</v>
      </c>
    </row>
    <row r="14" spans="1:8" ht="15.75" x14ac:dyDescent="0.3">
      <c r="A14" s="96">
        <v>6</v>
      </c>
      <c r="B14" s="100" t="s">
        <v>81</v>
      </c>
      <c r="C14" s="102">
        <f>C12+C13</f>
        <v>244151762.11999744</v>
      </c>
      <c r="D14" s="102">
        <f>D12+D13</f>
        <v>509303192.21000051</v>
      </c>
      <c r="E14" s="102">
        <f t="shared" si="0"/>
        <v>753454954.32999802</v>
      </c>
      <c r="F14" s="102">
        <f>F12+F13</f>
        <v>253733133.51000035</v>
      </c>
      <c r="G14" s="102">
        <f>G12+G13</f>
        <v>409929042.30999988</v>
      </c>
      <c r="H14" s="103">
        <f t="shared" si="1"/>
        <v>663662175.82000017</v>
      </c>
    </row>
    <row r="15" spans="1:8" ht="15.75" x14ac:dyDescent="0.3">
      <c r="A15" s="96">
        <v>7</v>
      </c>
      <c r="B15" s="100" t="s">
        <v>82</v>
      </c>
      <c r="C15" s="101">
        <v>3761611.6299999896</v>
      </c>
      <c r="D15" s="101">
        <v>3835552.1799999974</v>
      </c>
      <c r="E15" s="102">
        <f t="shared" si="0"/>
        <v>7597163.8099999875</v>
      </c>
      <c r="F15" s="101">
        <v>2955352.7199999946</v>
      </c>
      <c r="G15" s="101">
        <v>3119601.0999999968</v>
      </c>
      <c r="H15" s="103">
        <f t="shared" si="1"/>
        <v>6074953.819999991</v>
      </c>
    </row>
    <row r="16" spans="1:8" ht="15.75" x14ac:dyDescent="0.3">
      <c r="A16" s="96">
        <v>8</v>
      </c>
      <c r="B16" s="100" t="s">
        <v>83</v>
      </c>
      <c r="C16" s="101">
        <v>2519122.6000000043</v>
      </c>
      <c r="D16" s="101">
        <v>0</v>
      </c>
      <c r="E16" s="102">
        <f t="shared" si="0"/>
        <v>2519122.6000000043</v>
      </c>
      <c r="F16" s="101">
        <v>884778.9100000005</v>
      </c>
      <c r="G16" s="101">
        <v>0</v>
      </c>
      <c r="H16" s="103">
        <f t="shared" si="1"/>
        <v>884778.9100000005</v>
      </c>
    </row>
    <row r="17" spans="1:8" ht="15.75" x14ac:dyDescent="0.3">
      <c r="A17" s="96">
        <v>9</v>
      </c>
      <c r="B17" s="100" t="s">
        <v>84</v>
      </c>
      <c r="C17" s="101">
        <v>0</v>
      </c>
      <c r="D17" s="101">
        <v>0</v>
      </c>
      <c r="E17" s="102">
        <f t="shared" si="0"/>
        <v>0</v>
      </c>
      <c r="F17" s="101">
        <v>0</v>
      </c>
      <c r="G17" s="101">
        <v>0</v>
      </c>
      <c r="H17" s="103">
        <f t="shared" si="1"/>
        <v>0</v>
      </c>
    </row>
    <row r="18" spans="1:8" ht="15.75" x14ac:dyDescent="0.3">
      <c r="A18" s="96">
        <v>10</v>
      </c>
      <c r="B18" s="100" t="s">
        <v>85</v>
      </c>
      <c r="C18" s="101">
        <v>46292850.25</v>
      </c>
      <c r="D18" s="101">
        <v>0</v>
      </c>
      <c r="E18" s="102">
        <f t="shared" si="0"/>
        <v>46292850.25</v>
      </c>
      <c r="F18" s="101">
        <v>48403883.669999979</v>
      </c>
      <c r="G18" s="101">
        <v>0</v>
      </c>
      <c r="H18" s="103">
        <f t="shared" si="1"/>
        <v>48403883.669999979</v>
      </c>
    </row>
    <row r="19" spans="1:8" ht="15.75" x14ac:dyDescent="0.3">
      <c r="A19" s="96">
        <v>11</v>
      </c>
      <c r="B19" s="100" t="s">
        <v>86</v>
      </c>
      <c r="C19" s="101">
        <v>7620958.9930000007</v>
      </c>
      <c r="D19" s="101">
        <v>226764.03</v>
      </c>
      <c r="E19" s="102">
        <f t="shared" si="0"/>
        <v>7847723.023000001</v>
      </c>
      <c r="F19" s="101">
        <v>4890698.0649999995</v>
      </c>
      <c r="G19" s="101">
        <v>374790.42</v>
      </c>
      <c r="H19" s="103">
        <f t="shared" si="1"/>
        <v>5265488.4849999994</v>
      </c>
    </row>
    <row r="20" spans="1:8" ht="15.75" x14ac:dyDescent="0.3">
      <c r="A20" s="96">
        <v>12</v>
      </c>
      <c r="B20" s="107" t="s">
        <v>87</v>
      </c>
      <c r="C20" s="102">
        <f>SUM(C7:C11)+SUM(C14:C19)</f>
        <v>383706341.58299744</v>
      </c>
      <c r="D20" s="102">
        <f>SUM(D7:D11)+SUM(D14:D19)</f>
        <v>696318398.42000055</v>
      </c>
      <c r="E20" s="102">
        <f t="shared" si="0"/>
        <v>1080024740.0029979</v>
      </c>
      <c r="F20" s="102">
        <f>SUM(F7:F11)+SUM(F14:F19)</f>
        <v>382662296.98500031</v>
      </c>
      <c r="G20" s="102">
        <f>SUM(G7:G11)+SUM(G14:G19)</f>
        <v>582019016.13999987</v>
      </c>
      <c r="H20" s="103">
        <f t="shared" si="1"/>
        <v>964681313.12500024</v>
      </c>
    </row>
    <row r="21" spans="1:8" ht="15.75" x14ac:dyDescent="0.3">
      <c r="A21" s="96"/>
      <c r="B21" s="97" t="s">
        <v>88</v>
      </c>
      <c r="C21" s="108"/>
      <c r="D21" s="108"/>
      <c r="E21" s="108"/>
      <c r="F21" s="108"/>
      <c r="G21" s="108"/>
      <c r="H21" s="109"/>
    </row>
    <row r="22" spans="1:8" ht="15.75" x14ac:dyDescent="0.3">
      <c r="A22" s="96">
        <v>13</v>
      </c>
      <c r="B22" s="100" t="s">
        <v>89</v>
      </c>
      <c r="C22" s="101">
        <v>11142.42</v>
      </c>
      <c r="D22" s="101">
        <v>10619581.560000001</v>
      </c>
      <c r="E22" s="102">
        <f>C22+D22</f>
        <v>10630723.98</v>
      </c>
      <c r="F22" s="101">
        <v>41402.009999999995</v>
      </c>
      <c r="G22" s="101">
        <v>247178.13</v>
      </c>
      <c r="H22" s="103">
        <f t="shared" si="1"/>
        <v>288580.14</v>
      </c>
    </row>
    <row r="23" spans="1:8" ht="15.75" x14ac:dyDescent="0.3">
      <c r="A23" s="96">
        <v>14</v>
      </c>
      <c r="B23" s="100" t="s">
        <v>90</v>
      </c>
      <c r="C23" s="101">
        <v>54593148.170000315</v>
      </c>
      <c r="D23" s="101">
        <v>155666795.97999805</v>
      </c>
      <c r="E23" s="102">
        <f t="shared" ref="E23:E40" si="2">C23+D23</f>
        <v>210259944.14999837</v>
      </c>
      <c r="F23" s="101">
        <v>55159929.439999864</v>
      </c>
      <c r="G23" s="101">
        <v>128613396.31000192</v>
      </c>
      <c r="H23" s="103">
        <f t="shared" si="1"/>
        <v>183773325.75000179</v>
      </c>
    </row>
    <row r="24" spans="1:8" ht="15.75" x14ac:dyDescent="0.3">
      <c r="A24" s="96">
        <v>15</v>
      </c>
      <c r="B24" s="100" t="s">
        <v>91</v>
      </c>
      <c r="C24" s="101">
        <v>43186172.159999996</v>
      </c>
      <c r="D24" s="101">
        <v>105431890.30999997</v>
      </c>
      <c r="E24" s="102">
        <f t="shared" si="2"/>
        <v>148618062.46999997</v>
      </c>
      <c r="F24" s="101">
        <v>58740595.819999978</v>
      </c>
      <c r="G24" s="101">
        <v>154270840.03000012</v>
      </c>
      <c r="H24" s="103">
        <f t="shared" si="1"/>
        <v>213011435.85000008</v>
      </c>
    </row>
    <row r="25" spans="1:8" ht="15.75" x14ac:dyDescent="0.3">
      <c r="A25" s="96">
        <v>16</v>
      </c>
      <c r="B25" s="100" t="s">
        <v>92</v>
      </c>
      <c r="C25" s="101">
        <v>113089361.22000003</v>
      </c>
      <c r="D25" s="101">
        <v>252770343.06000036</v>
      </c>
      <c r="E25" s="102">
        <f t="shared" si="2"/>
        <v>365859704.28000039</v>
      </c>
      <c r="F25" s="101">
        <v>75098267.609999999</v>
      </c>
      <c r="G25" s="101">
        <v>180741789.70000029</v>
      </c>
      <c r="H25" s="103">
        <f t="shared" si="1"/>
        <v>255840057.3100003</v>
      </c>
    </row>
    <row r="26" spans="1:8" ht="15.75" x14ac:dyDescent="0.3">
      <c r="A26" s="96">
        <v>17</v>
      </c>
      <c r="B26" s="100" t="s">
        <v>93</v>
      </c>
      <c r="C26" s="101">
        <v>0</v>
      </c>
      <c r="D26" s="101">
        <v>0</v>
      </c>
      <c r="E26" s="102">
        <f t="shared" si="2"/>
        <v>0</v>
      </c>
      <c r="F26" s="101">
        <v>0</v>
      </c>
      <c r="G26" s="101">
        <v>0</v>
      </c>
      <c r="H26" s="103">
        <f t="shared" si="1"/>
        <v>0</v>
      </c>
    </row>
    <row r="27" spans="1:8" ht="15.75" x14ac:dyDescent="0.3">
      <c r="A27" s="96">
        <v>18</v>
      </c>
      <c r="B27" s="100" t="s">
        <v>94</v>
      </c>
      <c r="C27" s="101">
        <v>54844000</v>
      </c>
      <c r="D27" s="101">
        <v>79131240</v>
      </c>
      <c r="E27" s="102">
        <f t="shared" si="2"/>
        <v>133975240</v>
      </c>
      <c r="F27" s="101">
        <v>69055000</v>
      </c>
      <c r="G27" s="101">
        <v>30967303</v>
      </c>
      <c r="H27" s="103">
        <f t="shared" si="1"/>
        <v>100022303</v>
      </c>
    </row>
    <row r="28" spans="1:8" ht="15.75" x14ac:dyDescent="0.3">
      <c r="A28" s="96">
        <v>19</v>
      </c>
      <c r="B28" s="100" t="s">
        <v>95</v>
      </c>
      <c r="C28" s="101">
        <v>2757258.8100000005</v>
      </c>
      <c r="D28" s="101">
        <v>2876645.819999997</v>
      </c>
      <c r="E28" s="102">
        <f t="shared" si="2"/>
        <v>5633904.6299999971</v>
      </c>
      <c r="F28" s="101">
        <v>2533854.4499999993</v>
      </c>
      <c r="G28" s="101">
        <v>2324627.839999998</v>
      </c>
      <c r="H28" s="103">
        <f t="shared" si="1"/>
        <v>4858482.2899999972</v>
      </c>
    </row>
    <row r="29" spans="1:8" ht="15.75" x14ac:dyDescent="0.3">
      <c r="A29" s="96">
        <v>20</v>
      </c>
      <c r="B29" s="100" t="s">
        <v>96</v>
      </c>
      <c r="C29" s="101">
        <v>10243272.819999997</v>
      </c>
      <c r="D29" s="101">
        <v>12505802.089999998</v>
      </c>
      <c r="E29" s="102">
        <f t="shared" si="2"/>
        <v>22749074.909999996</v>
      </c>
      <c r="F29" s="101">
        <v>6212691.320000004</v>
      </c>
      <c r="G29" s="101">
        <v>17587786.399999999</v>
      </c>
      <c r="H29" s="103">
        <f t="shared" si="1"/>
        <v>23800477.720000003</v>
      </c>
    </row>
    <row r="30" spans="1:8" ht="15.75" x14ac:dyDescent="0.3">
      <c r="A30" s="96">
        <v>21</v>
      </c>
      <c r="B30" s="100" t="s">
        <v>97</v>
      </c>
      <c r="C30" s="101">
        <v>0</v>
      </c>
      <c r="D30" s="101">
        <v>61635280.899999999</v>
      </c>
      <c r="E30" s="102">
        <f t="shared" si="2"/>
        <v>61635280.899999999</v>
      </c>
      <c r="F30" s="101">
        <v>0</v>
      </c>
      <c r="G30" s="101">
        <v>49149866.759999998</v>
      </c>
      <c r="H30" s="103">
        <f t="shared" si="1"/>
        <v>49149866.759999998</v>
      </c>
    </row>
    <row r="31" spans="1:8" ht="15.75" x14ac:dyDescent="0.3">
      <c r="A31" s="96">
        <v>22</v>
      </c>
      <c r="B31" s="107" t="s">
        <v>98</v>
      </c>
      <c r="C31" s="102">
        <f>SUM(C22:C30)</f>
        <v>278724355.60000032</v>
      </c>
      <c r="D31" s="102">
        <f>SUM(D22:D30)</f>
        <v>680637579.71999848</v>
      </c>
      <c r="E31" s="102">
        <f>C31+D31</f>
        <v>959361935.31999874</v>
      </c>
      <c r="F31" s="102">
        <f>SUM(F22:F30)</f>
        <v>266841740.6499998</v>
      </c>
      <c r="G31" s="102">
        <f>SUM(G22:G30)</f>
        <v>563902788.17000234</v>
      </c>
      <c r="H31" s="103">
        <f t="shared" si="1"/>
        <v>830744528.82000208</v>
      </c>
    </row>
    <row r="32" spans="1:8" ht="15.75" x14ac:dyDescent="0.3">
      <c r="A32" s="96"/>
      <c r="B32" s="97" t="s">
        <v>99</v>
      </c>
      <c r="C32" s="108"/>
      <c r="D32" s="108"/>
      <c r="E32" s="101"/>
      <c r="F32" s="108"/>
      <c r="G32" s="108"/>
      <c r="H32" s="109"/>
    </row>
    <row r="33" spans="1:8" ht="15.75" x14ac:dyDescent="0.3">
      <c r="A33" s="96">
        <v>23</v>
      </c>
      <c r="B33" s="100" t="s">
        <v>100</v>
      </c>
      <c r="C33" s="101">
        <v>121372000</v>
      </c>
      <c r="D33" s="108"/>
      <c r="E33" s="102">
        <f t="shared" si="2"/>
        <v>121372000</v>
      </c>
      <c r="F33" s="101">
        <v>121372000</v>
      </c>
      <c r="G33" s="108"/>
      <c r="H33" s="103">
        <f t="shared" si="1"/>
        <v>121372000</v>
      </c>
    </row>
    <row r="34" spans="1:8" ht="15.75" x14ac:dyDescent="0.3">
      <c r="A34" s="96">
        <v>24</v>
      </c>
      <c r="B34" s="100" t="s">
        <v>101</v>
      </c>
      <c r="C34" s="101">
        <v>0</v>
      </c>
      <c r="D34" s="108"/>
      <c r="E34" s="102">
        <f t="shared" si="2"/>
        <v>0</v>
      </c>
      <c r="F34" s="101">
        <v>0</v>
      </c>
      <c r="G34" s="108"/>
      <c r="H34" s="103">
        <f t="shared" si="1"/>
        <v>0</v>
      </c>
    </row>
    <row r="35" spans="1:8" ht="15.75" x14ac:dyDescent="0.3">
      <c r="A35" s="96">
        <v>25</v>
      </c>
      <c r="B35" s="104" t="s">
        <v>102</v>
      </c>
      <c r="C35" s="101">
        <v>0</v>
      </c>
      <c r="D35" s="108"/>
      <c r="E35" s="102">
        <f t="shared" si="2"/>
        <v>0</v>
      </c>
      <c r="F35" s="101">
        <v>0</v>
      </c>
      <c r="G35" s="108"/>
      <c r="H35" s="103">
        <f t="shared" si="1"/>
        <v>0</v>
      </c>
    </row>
    <row r="36" spans="1:8" ht="15.75" x14ac:dyDescent="0.3">
      <c r="A36" s="96">
        <v>26</v>
      </c>
      <c r="B36" s="100" t="s">
        <v>103</v>
      </c>
      <c r="C36" s="101">
        <v>0</v>
      </c>
      <c r="D36" s="108"/>
      <c r="E36" s="102">
        <f t="shared" si="2"/>
        <v>0</v>
      </c>
      <c r="F36" s="101">
        <v>0</v>
      </c>
      <c r="G36" s="108"/>
      <c r="H36" s="103">
        <f t="shared" si="1"/>
        <v>0</v>
      </c>
    </row>
    <row r="37" spans="1:8" ht="15.75" x14ac:dyDescent="0.3">
      <c r="A37" s="96">
        <v>27</v>
      </c>
      <c r="B37" s="100" t="s">
        <v>104</v>
      </c>
      <c r="C37" s="101">
        <v>0</v>
      </c>
      <c r="D37" s="108"/>
      <c r="E37" s="102">
        <f t="shared" si="2"/>
        <v>0</v>
      </c>
      <c r="F37" s="101">
        <v>0</v>
      </c>
      <c r="G37" s="108"/>
      <c r="H37" s="103">
        <f t="shared" si="1"/>
        <v>0</v>
      </c>
    </row>
    <row r="38" spans="1:8" ht="15.75" x14ac:dyDescent="0.3">
      <c r="A38" s="96">
        <v>28</v>
      </c>
      <c r="B38" s="100" t="s">
        <v>105</v>
      </c>
      <c r="C38" s="101">
        <v>-709196.13000000012</v>
      </c>
      <c r="D38" s="108"/>
      <c r="E38" s="102">
        <f t="shared" si="2"/>
        <v>-709196.13000000012</v>
      </c>
      <c r="F38" s="101">
        <v>12564783.779999988</v>
      </c>
      <c r="G38" s="108"/>
      <c r="H38" s="103">
        <f t="shared" si="1"/>
        <v>12564783.779999988</v>
      </c>
    </row>
    <row r="39" spans="1:8" ht="15.75" x14ac:dyDescent="0.3">
      <c r="A39" s="96">
        <v>29</v>
      </c>
      <c r="B39" s="100" t="s">
        <v>106</v>
      </c>
      <c r="C39" s="101">
        <v>0</v>
      </c>
      <c r="D39" s="108"/>
      <c r="E39" s="102">
        <f t="shared" si="2"/>
        <v>0</v>
      </c>
      <c r="F39" s="101">
        <v>0</v>
      </c>
      <c r="G39" s="108"/>
      <c r="H39" s="103">
        <f t="shared" si="1"/>
        <v>0</v>
      </c>
    </row>
    <row r="40" spans="1:8" ht="15.75" x14ac:dyDescent="0.3">
      <c r="A40" s="96">
        <v>30</v>
      </c>
      <c r="B40" s="107" t="s">
        <v>107</v>
      </c>
      <c r="C40" s="101">
        <v>120662803.87</v>
      </c>
      <c r="D40" s="108"/>
      <c r="E40" s="102">
        <f t="shared" si="2"/>
        <v>120662803.87</v>
      </c>
      <c r="F40" s="101">
        <v>133936783.77999999</v>
      </c>
      <c r="G40" s="108"/>
      <c r="H40" s="103">
        <f t="shared" si="1"/>
        <v>133936783.77999999</v>
      </c>
    </row>
    <row r="41" spans="1:8" ht="16.5" thickBot="1" x14ac:dyDescent="0.35">
      <c r="A41" s="110">
        <v>31</v>
      </c>
      <c r="B41" s="111" t="s">
        <v>108</v>
      </c>
      <c r="C41" s="112">
        <f>C31+C40</f>
        <v>399387159.47000033</v>
      </c>
      <c r="D41" s="112">
        <f>D31+D40</f>
        <v>680637579.71999848</v>
      </c>
      <c r="E41" s="112">
        <f>C41+D41</f>
        <v>1080024739.1899989</v>
      </c>
      <c r="F41" s="112">
        <f>F31+F40</f>
        <v>400778524.42999977</v>
      </c>
      <c r="G41" s="112">
        <f>G31+G40</f>
        <v>563902788.17000234</v>
      </c>
      <c r="H41" s="113">
        <f>F41+G41</f>
        <v>964681312.60000205</v>
      </c>
    </row>
    <row r="42" spans="1:8" x14ac:dyDescent="0.25">
      <c r="C42" s="114"/>
      <c r="D42" s="114"/>
      <c r="E42" s="114"/>
      <c r="F42" s="114"/>
      <c r="G42" s="114"/>
      <c r="H42" s="114"/>
    </row>
    <row r="43" spans="1:8" x14ac:dyDescent="0.25">
      <c r="B43" s="115"/>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66" activePane="bottomRight" state="frozen"/>
      <selection activeCell="C9" sqref="C9"/>
      <selection pane="topRight" activeCell="C9" sqref="C9"/>
      <selection pane="bottomLeft" activeCell="C9" sqref="C9"/>
      <selection pane="bottomRight" activeCell="C74" sqref="C74"/>
    </sheetView>
  </sheetViews>
  <sheetFormatPr defaultColWidth="9.140625" defaultRowHeight="15" x14ac:dyDescent="0.25"/>
  <cols>
    <col min="1" max="1" width="9.5703125" style="22" bestFit="1" customWidth="1"/>
    <col min="2" max="2" width="89.140625" style="22" customWidth="1"/>
    <col min="3" max="8" width="12.7109375" style="22" customWidth="1"/>
    <col min="9" max="9" width="8.85546875" customWidth="1"/>
    <col min="10" max="10" width="12.5703125" style="135" bestFit="1" customWidth="1"/>
    <col min="11" max="16384" width="9.140625" style="135"/>
  </cols>
  <sheetData>
    <row r="1" spans="1:8" ht="15.75" x14ac:dyDescent="0.3">
      <c r="A1" s="23" t="s">
        <v>29</v>
      </c>
      <c r="B1" s="22" t="str">
        <f>'1. key ratios'!B1</f>
        <v>სს ტერაბანკი</v>
      </c>
      <c r="C1" s="24"/>
      <c r="F1" s="24"/>
    </row>
    <row r="2" spans="1:8" ht="15.75" x14ac:dyDescent="0.3">
      <c r="A2" s="23" t="s">
        <v>31</v>
      </c>
      <c r="B2" s="89">
        <f>'1. key ratios'!B2</f>
        <v>43921</v>
      </c>
      <c r="C2" s="26"/>
      <c r="D2" s="27"/>
      <c r="E2" s="27"/>
      <c r="F2" s="26"/>
      <c r="G2" s="27"/>
      <c r="H2" s="27"/>
    </row>
    <row r="3" spans="1:8" ht="15.75" x14ac:dyDescent="0.3">
      <c r="A3" s="23"/>
      <c r="B3" s="24"/>
      <c r="C3" s="26"/>
      <c r="D3" s="27"/>
      <c r="E3" s="27"/>
      <c r="F3" s="26"/>
      <c r="G3" s="27"/>
      <c r="H3" s="27"/>
    </row>
    <row r="4" spans="1:8" ht="16.5" thickBot="1" x14ac:dyDescent="0.35">
      <c r="A4" s="116" t="s">
        <v>109</v>
      </c>
      <c r="B4" s="117" t="s">
        <v>110</v>
      </c>
      <c r="C4" s="118"/>
      <c r="D4" s="118"/>
      <c r="E4" s="118"/>
      <c r="F4" s="118"/>
      <c r="G4" s="118"/>
      <c r="H4" s="119" t="s">
        <v>67</v>
      </c>
    </row>
    <row r="5" spans="1:8" ht="15.75" x14ac:dyDescent="0.3">
      <c r="A5" s="120"/>
      <c r="B5" s="121"/>
      <c r="C5" s="545" t="s">
        <v>68</v>
      </c>
      <c r="D5" s="546"/>
      <c r="E5" s="547"/>
      <c r="F5" s="545" t="s">
        <v>69</v>
      </c>
      <c r="G5" s="546"/>
      <c r="H5" s="548"/>
    </row>
    <row r="6" spans="1:8" x14ac:dyDescent="0.25">
      <c r="A6" s="122" t="s">
        <v>33</v>
      </c>
      <c r="B6" s="123"/>
      <c r="C6" s="124" t="s">
        <v>71</v>
      </c>
      <c r="D6" s="124" t="s">
        <v>111</v>
      </c>
      <c r="E6" s="124" t="s">
        <v>73</v>
      </c>
      <c r="F6" s="124" t="s">
        <v>71</v>
      </c>
      <c r="G6" s="124" t="s">
        <v>111</v>
      </c>
      <c r="H6" s="125" t="s">
        <v>73</v>
      </c>
    </row>
    <row r="7" spans="1:8" x14ac:dyDescent="0.25">
      <c r="A7" s="126"/>
      <c r="B7" s="127" t="s">
        <v>112</v>
      </c>
      <c r="C7" s="128"/>
      <c r="D7" s="128"/>
      <c r="E7" s="128"/>
      <c r="F7" s="128"/>
      <c r="G7" s="128"/>
      <c r="H7" s="129"/>
    </row>
    <row r="8" spans="1:8" ht="15.75" x14ac:dyDescent="0.3">
      <c r="A8" s="126">
        <v>1</v>
      </c>
      <c r="B8" s="130" t="s">
        <v>113</v>
      </c>
      <c r="C8" s="131">
        <v>282961.76</v>
      </c>
      <c r="D8" s="132">
        <v>230439.42</v>
      </c>
      <c r="E8" s="102">
        <f>C8+D8</f>
        <v>513401.18000000005</v>
      </c>
      <c r="F8" s="131">
        <v>165008.60999999999</v>
      </c>
      <c r="G8" s="132">
        <v>85671.459999999992</v>
      </c>
      <c r="H8" s="103">
        <f>F8+G8</f>
        <v>250680.06999999998</v>
      </c>
    </row>
    <row r="9" spans="1:8" ht="15.75" x14ac:dyDescent="0.3">
      <c r="A9" s="126">
        <v>2</v>
      </c>
      <c r="B9" s="130" t="s">
        <v>114</v>
      </c>
      <c r="C9" s="133">
        <f>SUM(C10:C18)</f>
        <v>9000269.4299999997</v>
      </c>
      <c r="D9" s="133">
        <f>SUM(D10:D18)</f>
        <v>9084825.8900000006</v>
      </c>
      <c r="E9" s="102">
        <f>C9+D9</f>
        <v>18085095.32</v>
      </c>
      <c r="F9" s="133">
        <f>SUM(F10:F18)</f>
        <v>8253069.4700000007</v>
      </c>
      <c r="G9" s="133">
        <f>SUM(G10:G18)</f>
        <v>8585699.3000000007</v>
      </c>
      <c r="H9" s="103">
        <f t="shared" ref="H9:H67" si="0">F9+G9</f>
        <v>16838768.770000003</v>
      </c>
    </row>
    <row r="10" spans="1:8" ht="15.75" x14ac:dyDescent="0.3">
      <c r="A10" s="126">
        <v>2.1</v>
      </c>
      <c r="B10" s="134" t="s">
        <v>115</v>
      </c>
      <c r="C10" s="131">
        <v>0</v>
      </c>
      <c r="D10" s="131">
        <v>0</v>
      </c>
      <c r="E10" s="102">
        <f t="shared" ref="E10:E67" si="1">C10+D10</f>
        <v>0</v>
      </c>
      <c r="F10" s="131">
        <v>0</v>
      </c>
      <c r="G10" s="131">
        <v>0</v>
      </c>
      <c r="H10" s="103">
        <f t="shared" si="0"/>
        <v>0</v>
      </c>
    </row>
    <row r="11" spans="1:8" ht="15.75" x14ac:dyDescent="0.3">
      <c r="A11" s="126">
        <v>2.2000000000000002</v>
      </c>
      <c r="B11" s="134" t="s">
        <v>116</v>
      </c>
      <c r="C11" s="131">
        <v>1633967.38</v>
      </c>
      <c r="D11" s="131">
        <v>3438681.5199999996</v>
      </c>
      <c r="E11" s="102">
        <f t="shared" si="1"/>
        <v>5072648.8999999994</v>
      </c>
      <c r="F11" s="131">
        <v>1405467.1600000001</v>
      </c>
      <c r="G11" s="131">
        <v>3166474.23</v>
      </c>
      <c r="H11" s="103">
        <f t="shared" si="0"/>
        <v>4571941.3900000006</v>
      </c>
    </row>
    <row r="12" spans="1:8" ht="15.75" x14ac:dyDescent="0.3">
      <c r="A12" s="126">
        <v>2.2999999999999998</v>
      </c>
      <c r="B12" s="134" t="s">
        <v>117</v>
      </c>
      <c r="C12" s="131">
        <v>0</v>
      </c>
      <c r="D12" s="131">
        <v>432157.59</v>
      </c>
      <c r="E12" s="102">
        <f t="shared" si="1"/>
        <v>432157.59</v>
      </c>
      <c r="F12" s="131">
        <v>0</v>
      </c>
      <c r="G12" s="131">
        <v>58915.63</v>
      </c>
      <c r="H12" s="103">
        <f t="shared" si="0"/>
        <v>58915.63</v>
      </c>
    </row>
    <row r="13" spans="1:8" ht="15.75" x14ac:dyDescent="0.3">
      <c r="A13" s="126">
        <v>2.4</v>
      </c>
      <c r="B13" s="134" t="s">
        <v>118</v>
      </c>
      <c r="C13" s="131">
        <v>99778.719999999987</v>
      </c>
      <c r="D13" s="131">
        <v>36701.890000000007</v>
      </c>
      <c r="E13" s="102">
        <f t="shared" si="1"/>
        <v>136480.60999999999</v>
      </c>
      <c r="F13" s="131">
        <v>214171.51999999996</v>
      </c>
      <c r="G13" s="131">
        <v>74319.53</v>
      </c>
      <c r="H13" s="103">
        <f t="shared" si="0"/>
        <v>288491.04999999993</v>
      </c>
    </row>
    <row r="14" spans="1:8" ht="15.75" x14ac:dyDescent="0.3">
      <c r="A14" s="126">
        <v>2.5</v>
      </c>
      <c r="B14" s="134" t="s">
        <v>119</v>
      </c>
      <c r="C14" s="131">
        <v>80188.639999999999</v>
      </c>
      <c r="D14" s="131">
        <v>920549.57999999984</v>
      </c>
      <c r="E14" s="102">
        <f t="shared" si="1"/>
        <v>1000738.2199999999</v>
      </c>
      <c r="F14" s="131">
        <v>100842.31999999998</v>
      </c>
      <c r="G14" s="131">
        <v>881052.18</v>
      </c>
      <c r="H14" s="103">
        <f t="shared" si="0"/>
        <v>981894.5</v>
      </c>
    </row>
    <row r="15" spans="1:8" ht="15.75" x14ac:dyDescent="0.3">
      <c r="A15" s="126">
        <v>2.6</v>
      </c>
      <c r="B15" s="134" t="s">
        <v>120</v>
      </c>
      <c r="C15" s="131">
        <v>7150.21</v>
      </c>
      <c r="D15" s="131">
        <v>6279.73</v>
      </c>
      <c r="E15" s="102">
        <f t="shared" si="1"/>
        <v>13429.939999999999</v>
      </c>
      <c r="F15" s="131">
        <v>599.98</v>
      </c>
      <c r="G15" s="131">
        <v>577.32999999999993</v>
      </c>
      <c r="H15" s="103">
        <f t="shared" si="0"/>
        <v>1177.31</v>
      </c>
    </row>
    <row r="16" spans="1:8" ht="15.75" x14ac:dyDescent="0.3">
      <c r="A16" s="126">
        <v>2.7</v>
      </c>
      <c r="B16" s="134" t="s">
        <v>121</v>
      </c>
      <c r="C16" s="131">
        <v>965.58</v>
      </c>
      <c r="D16" s="131">
        <v>0</v>
      </c>
      <c r="E16" s="102">
        <f t="shared" si="1"/>
        <v>965.58</v>
      </c>
      <c r="F16" s="131">
        <v>150.22</v>
      </c>
      <c r="G16" s="131">
        <v>331939.81</v>
      </c>
      <c r="H16" s="103">
        <f t="shared" si="0"/>
        <v>332090.02999999997</v>
      </c>
    </row>
    <row r="17" spans="1:10" ht="15.75" x14ac:dyDescent="0.3">
      <c r="A17" s="126">
        <v>2.8</v>
      </c>
      <c r="B17" s="134" t="s">
        <v>122</v>
      </c>
      <c r="C17" s="131">
        <v>6231156.3300000001</v>
      </c>
      <c r="D17" s="131">
        <v>3868553.61</v>
      </c>
      <c r="E17" s="102">
        <f t="shared" si="1"/>
        <v>10099709.939999999</v>
      </c>
      <c r="F17" s="131">
        <v>5365059.0100000007</v>
      </c>
      <c r="G17" s="131">
        <v>3449766.8000000012</v>
      </c>
      <c r="H17" s="103">
        <f t="shared" si="0"/>
        <v>8814825.8100000024</v>
      </c>
    </row>
    <row r="18" spans="1:10" ht="15.75" x14ac:dyDescent="0.3">
      <c r="A18" s="126">
        <v>2.9</v>
      </c>
      <c r="B18" s="134" t="s">
        <v>123</v>
      </c>
      <c r="C18" s="131">
        <v>947062.57</v>
      </c>
      <c r="D18" s="131">
        <v>381901.97000000003</v>
      </c>
      <c r="E18" s="102">
        <f t="shared" si="1"/>
        <v>1328964.54</v>
      </c>
      <c r="F18" s="131">
        <v>1166779.2599999998</v>
      </c>
      <c r="G18" s="131">
        <v>622653.7899999998</v>
      </c>
      <c r="H18" s="103">
        <f t="shared" si="0"/>
        <v>1789433.0499999996</v>
      </c>
    </row>
    <row r="19" spans="1:10" ht="15.75" x14ac:dyDescent="0.3">
      <c r="A19" s="126">
        <v>3</v>
      </c>
      <c r="B19" s="130" t="s">
        <v>124</v>
      </c>
      <c r="C19" s="131">
        <v>364120.99</v>
      </c>
      <c r="D19" s="131">
        <v>538610.09999999986</v>
      </c>
      <c r="E19" s="102">
        <f t="shared" si="1"/>
        <v>902731.08999999985</v>
      </c>
      <c r="F19" s="131">
        <v>328511.12999999977</v>
      </c>
      <c r="G19" s="131">
        <v>306568.90000000002</v>
      </c>
      <c r="H19" s="103">
        <f t="shared" si="0"/>
        <v>635080.0299999998</v>
      </c>
    </row>
    <row r="20" spans="1:10" ht="15.75" x14ac:dyDescent="0.3">
      <c r="A20" s="126">
        <v>4</v>
      </c>
      <c r="B20" s="130" t="s">
        <v>125</v>
      </c>
      <c r="C20" s="131">
        <v>1195269.32</v>
      </c>
      <c r="D20" s="131">
        <v>0</v>
      </c>
      <c r="E20" s="102">
        <f t="shared" si="1"/>
        <v>1195269.32</v>
      </c>
      <c r="F20" s="131">
        <v>1074193.6499999999</v>
      </c>
      <c r="G20" s="131">
        <v>0</v>
      </c>
      <c r="H20" s="103">
        <f t="shared" si="0"/>
        <v>1074193.6499999999</v>
      </c>
    </row>
    <row r="21" spans="1:10" ht="15.75" x14ac:dyDescent="0.3">
      <c r="A21" s="126">
        <v>5</v>
      </c>
      <c r="B21" s="130" t="s">
        <v>126</v>
      </c>
      <c r="C21" s="131">
        <v>160739.67000000001</v>
      </c>
      <c r="D21" s="131">
        <v>94864.450000000012</v>
      </c>
      <c r="E21" s="102">
        <f t="shared" si="1"/>
        <v>255604.12000000002</v>
      </c>
      <c r="F21" s="131">
        <v>207147.03</v>
      </c>
      <c r="G21" s="131">
        <v>94425.81</v>
      </c>
      <c r="H21" s="103">
        <f>F21+G21</f>
        <v>301572.83999999997</v>
      </c>
    </row>
    <row r="22" spans="1:10" ht="15.75" x14ac:dyDescent="0.3">
      <c r="A22" s="126">
        <v>6</v>
      </c>
      <c r="B22" s="136" t="s">
        <v>127</v>
      </c>
      <c r="C22" s="133">
        <f>C8+C9+C19+C20+C21</f>
        <v>11003361.17</v>
      </c>
      <c r="D22" s="133">
        <f>D8+D9+D19+D20+D21</f>
        <v>9948739.8599999994</v>
      </c>
      <c r="E22" s="102">
        <f>C22+D22</f>
        <v>20952101.030000001</v>
      </c>
      <c r="F22" s="133">
        <f>F8+F9+F19+F20+F21</f>
        <v>10027929.889999999</v>
      </c>
      <c r="G22" s="133">
        <f>G8+G9+G19+G20+G21</f>
        <v>9072365.4700000025</v>
      </c>
      <c r="H22" s="103">
        <f>F22+G22</f>
        <v>19100295.359999999</v>
      </c>
      <c r="J22" s="137"/>
    </row>
    <row r="23" spans="1:10" ht="15.75" x14ac:dyDescent="0.3">
      <c r="A23" s="126"/>
      <c r="B23" s="127" t="s">
        <v>128</v>
      </c>
      <c r="C23" s="131"/>
      <c r="D23" s="131"/>
      <c r="E23" s="101"/>
      <c r="F23" s="131"/>
      <c r="G23" s="131"/>
      <c r="H23" s="109"/>
    </row>
    <row r="24" spans="1:10" ht="15.75" x14ac:dyDescent="0.3">
      <c r="A24" s="126">
        <v>7</v>
      </c>
      <c r="B24" s="130" t="s">
        <v>129</v>
      </c>
      <c r="C24" s="131">
        <v>1133700.94</v>
      </c>
      <c r="D24" s="131">
        <v>462718.02</v>
      </c>
      <c r="E24" s="102">
        <f t="shared" si="1"/>
        <v>1596418.96</v>
      </c>
      <c r="F24" s="131">
        <v>1278327.2399999998</v>
      </c>
      <c r="G24" s="131">
        <v>914877.05</v>
      </c>
      <c r="H24" s="103">
        <f t="shared" si="0"/>
        <v>2193204.29</v>
      </c>
    </row>
    <row r="25" spans="1:10" ht="15.75" x14ac:dyDescent="0.3">
      <c r="A25" s="126">
        <v>8</v>
      </c>
      <c r="B25" s="130" t="s">
        <v>130</v>
      </c>
      <c r="C25" s="131">
        <v>3079291.7500000005</v>
      </c>
      <c r="D25" s="131">
        <v>2393679.7700000005</v>
      </c>
      <c r="E25" s="102">
        <f t="shared" si="1"/>
        <v>5472971.5200000014</v>
      </c>
      <c r="F25" s="131">
        <v>2169937.6199999996</v>
      </c>
      <c r="G25" s="131">
        <v>1964811.5</v>
      </c>
      <c r="H25" s="103">
        <f t="shared" si="0"/>
        <v>4134749.1199999996</v>
      </c>
    </row>
    <row r="26" spans="1:10" ht="15.75" x14ac:dyDescent="0.3">
      <c r="A26" s="126">
        <v>9</v>
      </c>
      <c r="B26" s="130" t="s">
        <v>131</v>
      </c>
      <c r="C26" s="131">
        <v>0</v>
      </c>
      <c r="D26" s="131">
        <v>26054.98</v>
      </c>
      <c r="E26" s="102">
        <f t="shared" si="1"/>
        <v>26054.98</v>
      </c>
      <c r="F26" s="131">
        <v>3875.33</v>
      </c>
      <c r="G26" s="131">
        <v>127.5</v>
      </c>
      <c r="H26" s="103">
        <f t="shared" si="0"/>
        <v>4002.83</v>
      </c>
      <c r="J26" s="138"/>
    </row>
    <row r="27" spans="1:10" ht="15.75" x14ac:dyDescent="0.3">
      <c r="A27" s="126">
        <v>10</v>
      </c>
      <c r="B27" s="130" t="s">
        <v>132</v>
      </c>
      <c r="C27" s="131">
        <v>0</v>
      </c>
      <c r="D27" s="131">
        <v>0</v>
      </c>
      <c r="E27" s="102">
        <f t="shared" si="1"/>
        <v>0</v>
      </c>
      <c r="F27" s="131">
        <v>0</v>
      </c>
      <c r="G27" s="131">
        <v>0</v>
      </c>
      <c r="H27" s="103">
        <f t="shared" si="0"/>
        <v>0</v>
      </c>
    </row>
    <row r="28" spans="1:10" ht="15.75" x14ac:dyDescent="0.3">
      <c r="A28" s="126">
        <v>11</v>
      </c>
      <c r="B28" s="130" t="s">
        <v>133</v>
      </c>
      <c r="C28" s="131">
        <v>1241562.51</v>
      </c>
      <c r="D28" s="131">
        <v>1686507.0299999998</v>
      </c>
      <c r="E28" s="102">
        <f t="shared" si="1"/>
        <v>2928069.54</v>
      </c>
      <c r="F28" s="131">
        <v>1324851.3700000001</v>
      </c>
      <c r="G28" s="131">
        <v>986435.57000000007</v>
      </c>
      <c r="H28" s="103">
        <f t="shared" si="0"/>
        <v>2311286.9400000004</v>
      </c>
    </row>
    <row r="29" spans="1:10" ht="15.75" x14ac:dyDescent="0.3">
      <c r="A29" s="126">
        <v>12</v>
      </c>
      <c r="B29" s="130" t="s">
        <v>134</v>
      </c>
      <c r="C29" s="131">
        <v>0</v>
      </c>
      <c r="D29" s="131">
        <v>0</v>
      </c>
      <c r="E29" s="102">
        <f t="shared" si="1"/>
        <v>0</v>
      </c>
      <c r="F29" s="131">
        <v>0</v>
      </c>
      <c r="G29" s="131">
        <v>0</v>
      </c>
      <c r="H29" s="103">
        <f t="shared" si="0"/>
        <v>0</v>
      </c>
    </row>
    <row r="30" spans="1:10" ht="15.75" x14ac:dyDescent="0.3">
      <c r="A30" s="126">
        <v>13</v>
      </c>
      <c r="B30" s="139" t="s">
        <v>135</v>
      </c>
      <c r="C30" s="133">
        <f>SUM(C24:C29)</f>
        <v>5454555.2000000002</v>
      </c>
      <c r="D30" s="133">
        <f>SUM(D24:D29)</f>
        <v>4568959.8000000007</v>
      </c>
      <c r="E30" s="102">
        <f t="shared" si="1"/>
        <v>10023515</v>
      </c>
      <c r="F30" s="133">
        <f>SUM(F24:F29)</f>
        <v>4776991.5599999996</v>
      </c>
      <c r="G30" s="133">
        <f>SUM(G24:G29)</f>
        <v>3866251.62</v>
      </c>
      <c r="H30" s="103">
        <f t="shared" si="0"/>
        <v>8643243.1799999997</v>
      </c>
    </row>
    <row r="31" spans="1:10" ht="15.75" x14ac:dyDescent="0.3">
      <c r="A31" s="126">
        <v>14</v>
      </c>
      <c r="B31" s="139" t="s">
        <v>136</v>
      </c>
      <c r="C31" s="133">
        <f>C22-C30</f>
        <v>5548805.9699999997</v>
      </c>
      <c r="D31" s="133">
        <f>D22-D30</f>
        <v>5379780.0599999987</v>
      </c>
      <c r="E31" s="102">
        <f t="shared" si="1"/>
        <v>10928586.029999997</v>
      </c>
      <c r="F31" s="133">
        <f>F22-F30</f>
        <v>5250938.3299999991</v>
      </c>
      <c r="G31" s="133">
        <f>G22-G30</f>
        <v>5206113.8500000024</v>
      </c>
      <c r="H31" s="103">
        <f t="shared" si="0"/>
        <v>10457052.180000002</v>
      </c>
    </row>
    <row r="32" spans="1:10" x14ac:dyDescent="0.25">
      <c r="A32" s="126"/>
      <c r="B32" s="127"/>
      <c r="C32" s="140"/>
      <c r="D32" s="140"/>
      <c r="E32" s="140"/>
      <c r="F32" s="140"/>
      <c r="G32" s="140"/>
      <c r="H32" s="141"/>
    </row>
    <row r="33" spans="1:8" ht="15.75" x14ac:dyDescent="0.3">
      <c r="A33" s="126"/>
      <c r="B33" s="127" t="s">
        <v>137</v>
      </c>
      <c r="C33" s="131"/>
      <c r="D33" s="131"/>
      <c r="E33" s="101"/>
      <c r="F33" s="131"/>
      <c r="G33" s="131"/>
      <c r="H33" s="109"/>
    </row>
    <row r="34" spans="1:8" ht="15.75" x14ac:dyDescent="0.3">
      <c r="A34" s="126">
        <v>15</v>
      </c>
      <c r="B34" s="142" t="s">
        <v>138</v>
      </c>
      <c r="C34" s="133">
        <f>C35-C36</f>
        <v>635026.4700000009</v>
      </c>
      <c r="D34" s="133">
        <f>D35-D36</f>
        <v>99575.640000000014</v>
      </c>
      <c r="E34" s="102">
        <f t="shared" si="1"/>
        <v>734602.11000000092</v>
      </c>
      <c r="F34" s="133">
        <f>F35-F36</f>
        <v>817863.08000000042</v>
      </c>
      <c r="G34" s="133">
        <f>G35-G36</f>
        <v>204719.45999999996</v>
      </c>
      <c r="H34" s="103">
        <f t="shared" si="0"/>
        <v>1022582.5400000004</v>
      </c>
    </row>
    <row r="35" spans="1:8" ht="15.75" x14ac:dyDescent="0.3">
      <c r="A35" s="126">
        <v>15.1</v>
      </c>
      <c r="B35" s="134" t="s">
        <v>139</v>
      </c>
      <c r="C35" s="131">
        <v>1205444.280000001</v>
      </c>
      <c r="D35" s="131">
        <v>798425.76</v>
      </c>
      <c r="E35" s="102">
        <f t="shared" si="1"/>
        <v>2003870.040000001</v>
      </c>
      <c r="F35" s="131">
        <v>1279793.1700000004</v>
      </c>
      <c r="G35" s="131">
        <v>917949.71</v>
      </c>
      <c r="H35" s="103">
        <f t="shared" si="0"/>
        <v>2197742.8800000004</v>
      </c>
    </row>
    <row r="36" spans="1:8" ht="15.75" x14ac:dyDescent="0.3">
      <c r="A36" s="126">
        <v>15.2</v>
      </c>
      <c r="B36" s="134" t="s">
        <v>140</v>
      </c>
      <c r="C36" s="131">
        <v>570417.81000000006</v>
      </c>
      <c r="D36" s="131">
        <v>698850.12</v>
      </c>
      <c r="E36" s="102">
        <f t="shared" si="1"/>
        <v>1269267.9300000002</v>
      </c>
      <c r="F36" s="131">
        <v>461930.08999999997</v>
      </c>
      <c r="G36" s="131">
        <v>713230.25</v>
      </c>
      <c r="H36" s="103">
        <f t="shared" si="0"/>
        <v>1175160.3399999999</v>
      </c>
    </row>
    <row r="37" spans="1:8" ht="15.75" x14ac:dyDescent="0.3">
      <c r="A37" s="126">
        <v>16</v>
      </c>
      <c r="B37" s="130" t="s">
        <v>141</v>
      </c>
      <c r="C37" s="131">
        <v>0</v>
      </c>
      <c r="D37" s="131">
        <v>0</v>
      </c>
      <c r="E37" s="102">
        <f t="shared" si="1"/>
        <v>0</v>
      </c>
      <c r="F37" s="131">
        <v>0</v>
      </c>
      <c r="G37" s="131">
        <v>0</v>
      </c>
      <c r="H37" s="103">
        <f t="shared" si="0"/>
        <v>0</v>
      </c>
    </row>
    <row r="38" spans="1:8" ht="15.75" x14ac:dyDescent="0.3">
      <c r="A38" s="126">
        <v>17</v>
      </c>
      <c r="B38" s="130" t="s">
        <v>142</v>
      </c>
      <c r="C38" s="131">
        <v>0</v>
      </c>
      <c r="D38" s="131">
        <v>0</v>
      </c>
      <c r="E38" s="102">
        <f t="shared" si="1"/>
        <v>0</v>
      </c>
      <c r="F38" s="131">
        <v>0</v>
      </c>
      <c r="G38" s="131">
        <v>0</v>
      </c>
      <c r="H38" s="103">
        <f t="shared" si="0"/>
        <v>0</v>
      </c>
    </row>
    <row r="39" spans="1:8" ht="15.75" x14ac:dyDescent="0.3">
      <c r="A39" s="126">
        <v>18</v>
      </c>
      <c r="B39" s="130" t="s">
        <v>143</v>
      </c>
      <c r="C39" s="131">
        <v>0</v>
      </c>
      <c r="D39" s="131">
        <v>0</v>
      </c>
      <c r="E39" s="102">
        <f t="shared" si="1"/>
        <v>0</v>
      </c>
      <c r="F39" s="131">
        <v>0</v>
      </c>
      <c r="G39" s="131">
        <v>0</v>
      </c>
      <c r="H39" s="103">
        <f t="shared" si="0"/>
        <v>0</v>
      </c>
    </row>
    <row r="40" spans="1:8" ht="15.75" x14ac:dyDescent="0.3">
      <c r="A40" s="126">
        <v>19</v>
      </c>
      <c r="B40" s="130" t="s">
        <v>144</v>
      </c>
      <c r="C40" s="131">
        <v>2208861.1100000008</v>
      </c>
      <c r="D40" s="131">
        <v>0</v>
      </c>
      <c r="E40" s="102">
        <f t="shared" si="1"/>
        <v>2208861.1100000008</v>
      </c>
      <c r="F40" s="131">
        <v>1180064.1899999995</v>
      </c>
      <c r="G40" s="131">
        <v>0</v>
      </c>
      <c r="H40" s="103">
        <f t="shared" si="0"/>
        <v>1180064.1899999995</v>
      </c>
    </row>
    <row r="41" spans="1:8" ht="15.75" x14ac:dyDescent="0.3">
      <c r="A41" s="126">
        <v>20</v>
      </c>
      <c r="B41" s="130" t="s">
        <v>145</v>
      </c>
      <c r="C41" s="131">
        <v>1635173.1599999983</v>
      </c>
      <c r="D41" s="131">
        <v>0</v>
      </c>
      <c r="E41" s="102">
        <f t="shared" si="1"/>
        <v>1635173.1599999983</v>
      </c>
      <c r="F41" s="131">
        <v>105244.73999999976</v>
      </c>
      <c r="G41" s="131">
        <v>0</v>
      </c>
      <c r="H41" s="103">
        <f t="shared" si="0"/>
        <v>105244.73999999976</v>
      </c>
    </row>
    <row r="42" spans="1:8" ht="15.75" x14ac:dyDescent="0.3">
      <c r="A42" s="126">
        <v>21</v>
      </c>
      <c r="B42" s="130" t="s">
        <v>146</v>
      </c>
      <c r="C42" s="131">
        <v>27125.68</v>
      </c>
      <c r="D42" s="131">
        <v>0</v>
      </c>
      <c r="E42" s="102">
        <f t="shared" si="1"/>
        <v>27125.68</v>
      </c>
      <c r="F42" s="131">
        <v>11624.05</v>
      </c>
      <c r="G42" s="131">
        <v>0</v>
      </c>
      <c r="H42" s="103">
        <f t="shared" si="0"/>
        <v>11624.05</v>
      </c>
    </row>
    <row r="43" spans="1:8" ht="15.75" x14ac:dyDescent="0.3">
      <c r="A43" s="126">
        <v>22</v>
      </c>
      <c r="B43" s="130" t="s">
        <v>147</v>
      </c>
      <c r="C43" s="131">
        <v>50</v>
      </c>
      <c r="D43" s="131">
        <v>1273.42</v>
      </c>
      <c r="E43" s="102">
        <f t="shared" si="1"/>
        <v>1323.42</v>
      </c>
      <c r="F43" s="131">
        <v>3900</v>
      </c>
      <c r="G43" s="131">
        <v>2174.0500000000002</v>
      </c>
      <c r="H43" s="103">
        <f t="shared" si="0"/>
        <v>6074.05</v>
      </c>
    </row>
    <row r="44" spans="1:8" ht="15.75" x14ac:dyDescent="0.3">
      <c r="A44" s="126">
        <v>23</v>
      </c>
      <c r="B44" s="130" t="s">
        <v>148</v>
      </c>
      <c r="C44" s="131">
        <v>36271.859999999993</v>
      </c>
      <c r="D44" s="131">
        <v>0</v>
      </c>
      <c r="E44" s="102">
        <f t="shared" si="1"/>
        <v>36271.859999999993</v>
      </c>
      <c r="F44" s="131">
        <v>35712.79</v>
      </c>
      <c r="G44" s="131">
        <v>4050</v>
      </c>
      <c r="H44" s="103">
        <f t="shared" si="0"/>
        <v>39762.79</v>
      </c>
    </row>
    <row r="45" spans="1:8" ht="15.75" x14ac:dyDescent="0.3">
      <c r="A45" s="126">
        <v>24</v>
      </c>
      <c r="B45" s="139" t="s">
        <v>149</v>
      </c>
      <c r="C45" s="133">
        <f>C34+C37+C38+C39+C40+C41+C42+C43+C44</f>
        <v>4542508.28</v>
      </c>
      <c r="D45" s="133">
        <f>D34+D37+D38+D39+D40+D41+D42+D43+D44</f>
        <v>100849.06000000001</v>
      </c>
      <c r="E45" s="102">
        <f t="shared" si="1"/>
        <v>4643357.34</v>
      </c>
      <c r="F45" s="133">
        <f>F34+F37+F38+F39+F40+F41+F42+F43+F44</f>
        <v>2154408.8499999996</v>
      </c>
      <c r="G45" s="133">
        <f>G34+G37+G38+G39+G40+G41+G42+G43+G44</f>
        <v>210943.50999999995</v>
      </c>
      <c r="H45" s="103">
        <f t="shared" si="0"/>
        <v>2365352.3599999994</v>
      </c>
    </row>
    <row r="46" spans="1:8" x14ac:dyDescent="0.25">
      <c r="A46" s="126"/>
      <c r="B46" s="127" t="s">
        <v>150</v>
      </c>
      <c r="C46" s="131"/>
      <c r="D46" s="131"/>
      <c r="E46" s="131"/>
      <c r="F46" s="131"/>
      <c r="G46" s="131"/>
      <c r="H46" s="143"/>
    </row>
    <row r="47" spans="1:8" ht="15.75" x14ac:dyDescent="0.3">
      <c r="A47" s="126">
        <v>25</v>
      </c>
      <c r="B47" s="130" t="s">
        <v>151</v>
      </c>
      <c r="C47" s="131">
        <v>167282.45999999996</v>
      </c>
      <c r="D47" s="131">
        <v>122929.34999999999</v>
      </c>
      <c r="E47" s="102">
        <f t="shared" si="1"/>
        <v>290211.80999999994</v>
      </c>
      <c r="F47" s="131">
        <v>154468.79999999999</v>
      </c>
      <c r="G47" s="131">
        <v>137402.28</v>
      </c>
      <c r="H47" s="103">
        <f t="shared" si="0"/>
        <v>291871.07999999996</v>
      </c>
    </row>
    <row r="48" spans="1:8" ht="15.75" x14ac:dyDescent="0.3">
      <c r="A48" s="126">
        <v>26</v>
      </c>
      <c r="B48" s="130" t="s">
        <v>152</v>
      </c>
      <c r="C48" s="131">
        <v>423233.5199999999</v>
      </c>
      <c r="D48" s="131">
        <v>5983.4400000000005</v>
      </c>
      <c r="E48" s="102">
        <f t="shared" si="1"/>
        <v>429216.9599999999</v>
      </c>
      <c r="F48" s="131">
        <v>269445.14000000007</v>
      </c>
      <c r="G48" s="131">
        <v>2630.44</v>
      </c>
      <c r="H48" s="103">
        <f t="shared" si="0"/>
        <v>272075.58000000007</v>
      </c>
    </row>
    <row r="49" spans="1:9" ht="15.75" x14ac:dyDescent="0.3">
      <c r="A49" s="126">
        <v>27</v>
      </c>
      <c r="B49" s="130" t="s">
        <v>153</v>
      </c>
      <c r="C49" s="131">
        <v>3474429.379999999</v>
      </c>
      <c r="D49" s="131">
        <v>0</v>
      </c>
      <c r="E49" s="102">
        <f t="shared" si="1"/>
        <v>3474429.379999999</v>
      </c>
      <c r="F49" s="131">
        <v>3206980.3800000004</v>
      </c>
      <c r="G49" s="131">
        <v>0</v>
      </c>
      <c r="H49" s="103">
        <f t="shared" si="0"/>
        <v>3206980.3800000004</v>
      </c>
    </row>
    <row r="50" spans="1:9" ht="15.75" x14ac:dyDescent="0.3">
      <c r="A50" s="126">
        <v>28</v>
      </c>
      <c r="B50" s="130" t="s">
        <v>154</v>
      </c>
      <c r="C50" s="131">
        <v>0</v>
      </c>
      <c r="D50" s="131">
        <v>0</v>
      </c>
      <c r="E50" s="102">
        <f t="shared" si="1"/>
        <v>0</v>
      </c>
      <c r="F50" s="131">
        <v>0</v>
      </c>
      <c r="G50" s="131">
        <v>0</v>
      </c>
      <c r="H50" s="103">
        <f t="shared" si="0"/>
        <v>0</v>
      </c>
    </row>
    <row r="51" spans="1:9" ht="15.75" x14ac:dyDescent="0.3">
      <c r="A51" s="126">
        <v>29</v>
      </c>
      <c r="B51" s="130" t="s">
        <v>155</v>
      </c>
      <c r="C51" s="131">
        <v>1295254.75</v>
      </c>
      <c r="D51" s="131">
        <v>0</v>
      </c>
      <c r="E51" s="102">
        <f t="shared" si="1"/>
        <v>1295254.75</v>
      </c>
      <c r="F51" s="131">
        <v>1082569.77</v>
      </c>
      <c r="G51" s="131">
        <v>0</v>
      </c>
      <c r="H51" s="103">
        <f t="shared" si="0"/>
        <v>1082569.77</v>
      </c>
    </row>
    <row r="52" spans="1:9" ht="15.75" x14ac:dyDescent="0.3">
      <c r="A52" s="126">
        <v>30</v>
      </c>
      <c r="B52" s="130" t="s">
        <v>156</v>
      </c>
      <c r="C52" s="131">
        <v>1218033.8500000001</v>
      </c>
      <c r="D52" s="131">
        <v>0</v>
      </c>
      <c r="E52" s="102">
        <f t="shared" si="1"/>
        <v>1218033.8500000001</v>
      </c>
      <c r="F52" s="131">
        <v>928588.99999999977</v>
      </c>
      <c r="G52" s="131">
        <v>7238.64</v>
      </c>
      <c r="H52" s="103">
        <f t="shared" si="0"/>
        <v>935827.63999999978</v>
      </c>
    </row>
    <row r="53" spans="1:9" ht="15.75" x14ac:dyDescent="0.3">
      <c r="A53" s="126">
        <v>31</v>
      </c>
      <c r="B53" s="139" t="s">
        <v>157</v>
      </c>
      <c r="C53" s="133">
        <f>C47+C48+C49+C50+C51+C52</f>
        <v>6578233.959999999</v>
      </c>
      <c r="D53" s="133">
        <f>D47+D48+D49+D50+D51+D52</f>
        <v>128912.79</v>
      </c>
      <c r="E53" s="102">
        <f t="shared" si="1"/>
        <v>6707146.7499999991</v>
      </c>
      <c r="F53" s="133">
        <f>F47+F48+F49+F50+F51+F52</f>
        <v>5642053.0899999999</v>
      </c>
      <c r="G53" s="133">
        <f>G47+G48+G49+G50+G51+G52</f>
        <v>147271.36000000002</v>
      </c>
      <c r="H53" s="103">
        <f t="shared" si="0"/>
        <v>5789324.4500000002</v>
      </c>
    </row>
    <row r="54" spans="1:9" ht="15.75" x14ac:dyDescent="0.3">
      <c r="A54" s="126">
        <v>32</v>
      </c>
      <c r="B54" s="139" t="s">
        <v>158</v>
      </c>
      <c r="C54" s="133">
        <f>C45-C53</f>
        <v>-2035725.6799999988</v>
      </c>
      <c r="D54" s="133">
        <f>D45-D53</f>
        <v>-28063.729999999981</v>
      </c>
      <c r="E54" s="102">
        <f t="shared" si="1"/>
        <v>-2063789.4099999988</v>
      </c>
      <c r="F54" s="133">
        <f>F45-F53</f>
        <v>-3487644.24</v>
      </c>
      <c r="G54" s="133">
        <f>G45-G53</f>
        <v>63672.149999999936</v>
      </c>
      <c r="H54" s="103">
        <f t="shared" si="0"/>
        <v>-3423972.0900000003</v>
      </c>
    </row>
    <row r="55" spans="1:9" x14ac:dyDescent="0.25">
      <c r="A55" s="126"/>
      <c r="B55" s="127"/>
      <c r="C55" s="140"/>
      <c r="D55" s="140"/>
      <c r="E55" s="140"/>
      <c r="F55" s="140"/>
      <c r="G55" s="140"/>
      <c r="H55" s="141"/>
    </row>
    <row r="56" spans="1:9" ht="15.75" x14ac:dyDescent="0.3">
      <c r="A56" s="126">
        <v>33</v>
      </c>
      <c r="B56" s="139" t="s">
        <v>159</v>
      </c>
      <c r="C56" s="133">
        <f>C31+C54</f>
        <v>3513080.290000001</v>
      </c>
      <c r="D56" s="133">
        <f>D31+D54</f>
        <v>5351716.3299999982</v>
      </c>
      <c r="E56" s="102">
        <f t="shared" si="1"/>
        <v>8864796.6199999992</v>
      </c>
      <c r="F56" s="133">
        <f>F31+F54</f>
        <v>1763294.0899999989</v>
      </c>
      <c r="G56" s="133">
        <f>G31+G54</f>
        <v>5269786.0000000028</v>
      </c>
      <c r="H56" s="103">
        <f t="shared" si="0"/>
        <v>7033080.0900000017</v>
      </c>
    </row>
    <row r="57" spans="1:9" x14ac:dyDescent="0.25">
      <c r="A57" s="126"/>
      <c r="B57" s="127"/>
      <c r="C57" s="131"/>
      <c r="D57" s="140"/>
      <c r="E57" s="140"/>
      <c r="F57" s="131"/>
      <c r="G57" s="140"/>
      <c r="H57" s="141"/>
    </row>
    <row r="58" spans="1:9" ht="15.75" x14ac:dyDescent="0.3">
      <c r="A58" s="126">
        <v>34</v>
      </c>
      <c r="B58" s="130" t="s">
        <v>160</v>
      </c>
      <c r="C58" s="131">
        <v>27118656.100000001</v>
      </c>
      <c r="D58" s="131" t="s">
        <v>509</v>
      </c>
      <c r="E58" s="102">
        <f>C58</f>
        <v>27118656.100000001</v>
      </c>
      <c r="F58" s="131">
        <v>636367.32000000286</v>
      </c>
      <c r="G58" s="131" t="s">
        <v>509</v>
      </c>
      <c r="H58" s="103">
        <f>F58</f>
        <v>636367.32000000286</v>
      </c>
    </row>
    <row r="59" spans="1:9" s="145" customFormat="1" ht="15.75" x14ac:dyDescent="0.3">
      <c r="A59" s="126">
        <v>35</v>
      </c>
      <c r="B59" s="142" t="s">
        <v>161</v>
      </c>
      <c r="C59" s="131">
        <v>0</v>
      </c>
      <c r="D59" s="131" t="s">
        <v>509</v>
      </c>
      <c r="E59" s="102">
        <f>C59</f>
        <v>0</v>
      </c>
      <c r="F59" s="131">
        <v>0</v>
      </c>
      <c r="G59" s="131" t="s">
        <v>509</v>
      </c>
      <c r="H59" s="103">
        <f>F59</f>
        <v>0</v>
      </c>
      <c r="I59" s="144"/>
    </row>
    <row r="60" spans="1:9" ht="15.75" x14ac:dyDescent="0.3">
      <c r="A60" s="126">
        <v>36</v>
      </c>
      <c r="B60" s="130" t="s">
        <v>162</v>
      </c>
      <c r="C60" s="131">
        <v>408923.37000000005</v>
      </c>
      <c r="D60" s="131" t="s">
        <v>509</v>
      </c>
      <c r="E60" s="102">
        <f>C60</f>
        <v>408923.37000000005</v>
      </c>
      <c r="F60" s="131">
        <v>176660.61</v>
      </c>
      <c r="G60" s="131" t="s">
        <v>509</v>
      </c>
      <c r="H60" s="103">
        <f>F60</f>
        <v>176660.61</v>
      </c>
    </row>
    <row r="61" spans="1:9" ht="15.75" x14ac:dyDescent="0.3">
      <c r="A61" s="126">
        <v>37</v>
      </c>
      <c r="B61" s="139" t="s">
        <v>163</v>
      </c>
      <c r="C61" s="133">
        <f>C58+C59+C60</f>
        <v>27527579.470000003</v>
      </c>
      <c r="D61" s="133">
        <v>0</v>
      </c>
      <c r="E61" s="102">
        <f t="shared" si="1"/>
        <v>27527579.470000003</v>
      </c>
      <c r="F61" s="133">
        <f>F58+F59+F60</f>
        <v>813027.93000000285</v>
      </c>
      <c r="G61" s="133">
        <v>0</v>
      </c>
      <c r="H61" s="103">
        <f t="shared" si="0"/>
        <v>813027.93000000285</v>
      </c>
    </row>
    <row r="62" spans="1:9" x14ac:dyDescent="0.25">
      <c r="A62" s="126"/>
      <c r="B62" s="146"/>
      <c r="C62" s="131"/>
      <c r="D62" s="131"/>
      <c r="E62" s="131"/>
      <c r="F62" s="131"/>
      <c r="G62" s="131"/>
      <c r="H62" s="143"/>
    </row>
    <row r="63" spans="1:9" ht="15.75" x14ac:dyDescent="0.3">
      <c r="A63" s="126">
        <v>38</v>
      </c>
      <c r="B63" s="147" t="s">
        <v>164</v>
      </c>
      <c r="C63" s="133">
        <f>C56-C61</f>
        <v>-24014499.18</v>
      </c>
      <c r="D63" s="133">
        <f>D56-D61</f>
        <v>5351716.3299999982</v>
      </c>
      <c r="E63" s="102">
        <f t="shared" si="1"/>
        <v>-18662782.850000001</v>
      </c>
      <c r="F63" s="133">
        <f>F56-F61</f>
        <v>950266.15999999607</v>
      </c>
      <c r="G63" s="133">
        <f>G56-G61</f>
        <v>5269786.0000000028</v>
      </c>
      <c r="H63" s="103">
        <f t="shared" si="0"/>
        <v>6220052.1599999992</v>
      </c>
    </row>
    <row r="64" spans="1:9" ht="15.75" x14ac:dyDescent="0.3">
      <c r="A64" s="122">
        <v>39</v>
      </c>
      <c r="B64" s="130" t="s">
        <v>165</v>
      </c>
      <c r="C64" s="131">
        <v>0</v>
      </c>
      <c r="D64" s="131">
        <v>0</v>
      </c>
      <c r="E64" s="102">
        <f t="shared" si="1"/>
        <v>0</v>
      </c>
      <c r="F64" s="131">
        <v>0</v>
      </c>
      <c r="G64" s="131">
        <v>0</v>
      </c>
      <c r="H64" s="103">
        <f t="shared" si="0"/>
        <v>0</v>
      </c>
    </row>
    <row r="65" spans="1:8" ht="15.75" x14ac:dyDescent="0.3">
      <c r="A65" s="126">
        <v>40</v>
      </c>
      <c r="B65" s="139" t="s">
        <v>166</v>
      </c>
      <c r="C65" s="133">
        <f>C63-C64</f>
        <v>-24014499.18</v>
      </c>
      <c r="D65" s="133">
        <f>D63-D64</f>
        <v>5351716.3299999982</v>
      </c>
      <c r="E65" s="102">
        <f t="shared" si="1"/>
        <v>-18662782.850000001</v>
      </c>
      <c r="F65" s="133">
        <f>F63-F64</f>
        <v>950266.15999999607</v>
      </c>
      <c r="G65" s="133">
        <f>G63-G64</f>
        <v>5269786.0000000028</v>
      </c>
      <c r="H65" s="103">
        <f t="shared" si="0"/>
        <v>6220052.1599999992</v>
      </c>
    </row>
    <row r="66" spans="1:8" ht="15.75" x14ac:dyDescent="0.3">
      <c r="A66" s="122">
        <v>41</v>
      </c>
      <c r="B66" s="130" t="s">
        <v>167</v>
      </c>
      <c r="C66" s="131">
        <v>0</v>
      </c>
      <c r="D66" s="131">
        <v>0</v>
      </c>
      <c r="E66" s="102">
        <f t="shared" si="1"/>
        <v>0</v>
      </c>
      <c r="F66" s="131">
        <v>0</v>
      </c>
      <c r="G66" s="131">
        <v>0</v>
      </c>
      <c r="H66" s="103">
        <f t="shared" si="0"/>
        <v>0</v>
      </c>
    </row>
    <row r="67" spans="1:8" ht="16.5" thickBot="1" x14ac:dyDescent="0.35">
      <c r="A67" s="148">
        <v>42</v>
      </c>
      <c r="B67" s="149" t="s">
        <v>168</v>
      </c>
      <c r="C67" s="150">
        <f>C65+C66</f>
        <v>-24014499.18</v>
      </c>
      <c r="D67" s="150">
        <f>D65+D66</f>
        <v>5351716.3299999982</v>
      </c>
      <c r="E67" s="112">
        <f t="shared" si="1"/>
        <v>-18662782.850000001</v>
      </c>
      <c r="F67" s="150">
        <f>F65+F66</f>
        <v>950266.15999999607</v>
      </c>
      <c r="G67" s="150">
        <f>G65+G66</f>
        <v>5269786.0000000028</v>
      </c>
      <c r="H67" s="113">
        <f t="shared" si="0"/>
        <v>6220052.1599999992</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58" zoomScaleNormal="100" workbookViewId="0">
      <selection activeCell="C72" sqref="C72"/>
    </sheetView>
  </sheetViews>
  <sheetFormatPr defaultRowHeight="15" x14ac:dyDescent="0.25"/>
  <cols>
    <col min="1" max="1" width="9.5703125" bestFit="1" customWidth="1"/>
    <col min="2" max="2" width="72.28515625" customWidth="1"/>
    <col min="3" max="3" width="14" style="48" bestFit="1" customWidth="1"/>
    <col min="4" max="4" width="14.140625" style="48" customWidth="1"/>
    <col min="5" max="5" width="14.85546875" style="48" customWidth="1"/>
    <col min="6" max="6" width="12.7109375" style="48" customWidth="1"/>
    <col min="7" max="7" width="13.5703125" style="48" bestFit="1" customWidth="1"/>
    <col min="8" max="8" width="14.140625" style="48" customWidth="1"/>
    <col min="9" max="9" width="14.85546875" style="48" customWidth="1"/>
    <col min="10" max="10" width="11.5703125" style="48" bestFit="1" customWidth="1"/>
    <col min="11" max="11" width="11.42578125" customWidth="1"/>
    <col min="12" max="12" width="11.5703125" bestFit="1" customWidth="1"/>
  </cols>
  <sheetData>
    <row r="1" spans="1:10" x14ac:dyDescent="0.25">
      <c r="A1" s="22" t="s">
        <v>29</v>
      </c>
      <c r="B1" s="22" t="str">
        <f>'1. key ratios'!B1</f>
        <v>სს ტერაბანკი</v>
      </c>
      <c r="C1"/>
      <c r="D1"/>
      <c r="E1"/>
      <c r="F1"/>
      <c r="G1"/>
      <c r="H1"/>
      <c r="I1"/>
      <c r="J1"/>
    </row>
    <row r="2" spans="1:10" x14ac:dyDescent="0.25">
      <c r="A2" s="22" t="s">
        <v>31</v>
      </c>
      <c r="B2" s="89">
        <f>'1. key ratios'!B2</f>
        <v>43921</v>
      </c>
      <c r="C2"/>
      <c r="D2"/>
      <c r="E2"/>
      <c r="F2"/>
      <c r="G2"/>
      <c r="H2"/>
      <c r="I2"/>
      <c r="J2"/>
    </row>
    <row r="3" spans="1:10" x14ac:dyDescent="0.25">
      <c r="A3" s="22"/>
      <c r="C3"/>
      <c r="D3"/>
      <c r="E3"/>
      <c r="F3" s="151"/>
      <c r="G3"/>
      <c r="H3"/>
      <c r="I3"/>
      <c r="J3"/>
    </row>
    <row r="4" spans="1:10" ht="16.5" thickBot="1" x14ac:dyDescent="0.35">
      <c r="A4" s="22" t="s">
        <v>169</v>
      </c>
      <c r="B4" s="22"/>
      <c r="C4" s="152"/>
      <c r="D4" s="152"/>
      <c r="E4" s="152"/>
      <c r="F4" s="153"/>
      <c r="G4" s="153"/>
      <c r="H4" s="154" t="s">
        <v>67</v>
      </c>
      <c r="I4"/>
      <c r="J4"/>
    </row>
    <row r="5" spans="1:10" ht="15.75" x14ac:dyDescent="0.3">
      <c r="A5" s="549" t="s">
        <v>33</v>
      </c>
      <c r="B5" s="551" t="s">
        <v>170</v>
      </c>
      <c r="C5" s="553" t="s">
        <v>68</v>
      </c>
      <c r="D5" s="553"/>
      <c r="E5" s="553"/>
      <c r="F5" s="553" t="s">
        <v>69</v>
      </c>
      <c r="G5" s="553"/>
      <c r="H5" s="554"/>
      <c r="I5"/>
      <c r="J5"/>
    </row>
    <row r="6" spans="1:10" x14ac:dyDescent="0.25">
      <c r="A6" s="550"/>
      <c r="B6" s="552"/>
      <c r="C6" s="98" t="s">
        <v>71</v>
      </c>
      <c r="D6" s="98" t="s">
        <v>72</v>
      </c>
      <c r="E6" s="98" t="s">
        <v>73</v>
      </c>
      <c r="F6" s="98" t="s">
        <v>71</v>
      </c>
      <c r="G6" s="98" t="s">
        <v>72</v>
      </c>
      <c r="H6" s="99" t="s">
        <v>73</v>
      </c>
      <c r="I6"/>
      <c r="J6"/>
    </row>
    <row r="7" spans="1:10" s="21" customFormat="1" ht="15.75" x14ac:dyDescent="0.3">
      <c r="A7" s="155">
        <v>1</v>
      </c>
      <c r="B7" s="156" t="s">
        <v>171</v>
      </c>
      <c r="C7" s="101">
        <f>SUM(C8:C11)</f>
        <v>31415712.420000024</v>
      </c>
      <c r="D7" s="101">
        <f>SUM(D8:D11)</f>
        <v>38369778</v>
      </c>
      <c r="E7" s="102">
        <f>C7+D7</f>
        <v>69785490.420000017</v>
      </c>
      <c r="F7" s="101">
        <v>37919824.610000007</v>
      </c>
      <c r="G7" s="101">
        <v>28023587.25</v>
      </c>
      <c r="H7" s="103">
        <f t="shared" ref="H7:H53" si="0">F7+G7</f>
        <v>65943411.860000007</v>
      </c>
      <c r="I7" s="157"/>
      <c r="J7" s="157"/>
    </row>
    <row r="8" spans="1:10" s="21" customFormat="1" ht="15.75" x14ac:dyDescent="0.3">
      <c r="A8" s="155">
        <v>1.1000000000000001</v>
      </c>
      <c r="B8" s="158" t="s">
        <v>172</v>
      </c>
      <c r="C8" s="101">
        <v>19940558.859999999</v>
      </c>
      <c r="D8" s="101">
        <v>19605317.73</v>
      </c>
      <c r="E8" s="102">
        <f t="shared" ref="E8:E53" si="1">C8+D8</f>
        <v>39545876.590000004</v>
      </c>
      <c r="F8" s="101">
        <v>26662912.75</v>
      </c>
      <c r="G8" s="101">
        <v>18149612.239999998</v>
      </c>
      <c r="H8" s="103">
        <f t="shared" si="0"/>
        <v>44812524.989999995</v>
      </c>
      <c r="I8" s="157"/>
      <c r="J8" s="157"/>
    </row>
    <row r="9" spans="1:10" s="21" customFormat="1" ht="15.75" x14ac:dyDescent="0.3">
      <c r="A9" s="155">
        <v>1.2</v>
      </c>
      <c r="B9" s="158" t="s">
        <v>173</v>
      </c>
      <c r="C9" s="101">
        <v>2281900</v>
      </c>
      <c r="D9" s="101">
        <v>2540428.65</v>
      </c>
      <c r="E9" s="102">
        <f t="shared" si="1"/>
        <v>4822328.6500000004</v>
      </c>
      <c r="F9" s="101">
        <v>2295000</v>
      </c>
      <c r="G9" s="101">
        <v>794719.61</v>
      </c>
      <c r="H9" s="103">
        <f t="shared" si="0"/>
        <v>3089719.61</v>
      </c>
      <c r="I9" s="157"/>
      <c r="J9" s="157"/>
    </row>
    <row r="10" spans="1:10" s="21" customFormat="1" ht="15.75" x14ac:dyDescent="0.3">
      <c r="A10" s="155">
        <v>1.3</v>
      </c>
      <c r="B10" s="158" t="s">
        <v>174</v>
      </c>
      <c r="C10" s="101">
        <v>9193253.5600000266</v>
      </c>
      <c r="D10" s="101">
        <v>16224031.619999999</v>
      </c>
      <c r="E10" s="102">
        <f t="shared" si="1"/>
        <v>25417285.180000026</v>
      </c>
      <c r="F10" s="101">
        <v>8961911.860000005</v>
      </c>
      <c r="G10" s="101">
        <v>5722968.1400000006</v>
      </c>
      <c r="H10" s="103">
        <f t="shared" si="0"/>
        <v>14684880.000000006</v>
      </c>
      <c r="I10" s="157"/>
      <c r="J10" s="157"/>
    </row>
    <row r="11" spans="1:10" s="21" customFormat="1" ht="15.75" x14ac:dyDescent="0.3">
      <c r="A11" s="155">
        <v>1.4</v>
      </c>
      <c r="B11" s="158" t="s">
        <v>175</v>
      </c>
      <c r="C11" s="101">
        <v>0</v>
      </c>
      <c r="D11" s="101">
        <v>0</v>
      </c>
      <c r="E11" s="102">
        <f t="shared" si="1"/>
        <v>0</v>
      </c>
      <c r="F11" s="101">
        <v>0</v>
      </c>
      <c r="G11" s="101">
        <v>3356287.26</v>
      </c>
      <c r="H11" s="103">
        <f t="shared" si="0"/>
        <v>3356287.26</v>
      </c>
      <c r="I11" s="157"/>
      <c r="J11" s="157"/>
    </row>
    <row r="12" spans="1:10" s="21" customFormat="1" ht="29.25" customHeight="1" x14ac:dyDescent="0.3">
      <c r="A12" s="155">
        <v>2</v>
      </c>
      <c r="B12" s="156" t="s">
        <v>176</v>
      </c>
      <c r="C12" s="101">
        <v>0</v>
      </c>
      <c r="D12" s="101">
        <v>0</v>
      </c>
      <c r="E12" s="102">
        <f t="shared" si="1"/>
        <v>0</v>
      </c>
      <c r="F12" s="101">
        <v>0</v>
      </c>
      <c r="G12" s="101">
        <v>3356287.26</v>
      </c>
      <c r="H12" s="103">
        <f t="shared" si="0"/>
        <v>3356287.26</v>
      </c>
      <c r="I12" s="157"/>
      <c r="J12" s="157"/>
    </row>
    <row r="13" spans="1:10" s="21" customFormat="1" ht="25.5" x14ac:dyDescent="0.3">
      <c r="A13" s="155">
        <v>3</v>
      </c>
      <c r="B13" s="156" t="s">
        <v>177</v>
      </c>
      <c r="C13" s="101">
        <v>34722000</v>
      </c>
      <c r="D13" s="101">
        <v>0</v>
      </c>
      <c r="E13" s="102">
        <f t="shared" si="1"/>
        <v>34722000</v>
      </c>
      <c r="F13" s="101">
        <v>42149000</v>
      </c>
      <c r="G13" s="101">
        <v>0</v>
      </c>
      <c r="H13" s="103">
        <f t="shared" si="0"/>
        <v>42149000</v>
      </c>
      <c r="I13" s="157"/>
      <c r="J13" s="157"/>
    </row>
    <row r="14" spans="1:10" s="21" customFormat="1" ht="15.75" x14ac:dyDescent="0.3">
      <c r="A14" s="155">
        <v>3.1</v>
      </c>
      <c r="B14" s="158" t="s">
        <v>178</v>
      </c>
      <c r="C14" s="101">
        <f>C13</f>
        <v>34722000</v>
      </c>
      <c r="D14" s="101">
        <f>D13</f>
        <v>0</v>
      </c>
      <c r="E14" s="102">
        <f t="shared" si="1"/>
        <v>34722000</v>
      </c>
      <c r="F14" s="101">
        <v>42149000</v>
      </c>
      <c r="G14" s="101">
        <v>0</v>
      </c>
      <c r="H14" s="103">
        <f t="shared" si="0"/>
        <v>42149000</v>
      </c>
      <c r="I14" s="157"/>
      <c r="J14" s="157"/>
    </row>
    <row r="15" spans="1:10" s="21" customFormat="1" ht="15.75" x14ac:dyDescent="0.3">
      <c r="A15" s="155">
        <v>3.2</v>
      </c>
      <c r="B15" s="158" t="s">
        <v>179</v>
      </c>
      <c r="C15" s="101"/>
      <c r="D15" s="101"/>
      <c r="E15" s="102">
        <f t="shared" si="1"/>
        <v>0</v>
      </c>
      <c r="F15" s="101">
        <v>0</v>
      </c>
      <c r="G15" s="101">
        <v>0</v>
      </c>
      <c r="H15" s="103">
        <f t="shared" si="0"/>
        <v>0</v>
      </c>
      <c r="I15" s="157"/>
      <c r="J15" s="157"/>
    </row>
    <row r="16" spans="1:10" s="21" customFormat="1" ht="15.75" x14ac:dyDescent="0.3">
      <c r="A16" s="155">
        <v>4</v>
      </c>
      <c r="B16" s="156" t="s">
        <v>180</v>
      </c>
      <c r="C16" s="101">
        <v>163633200.64999935</v>
      </c>
      <c r="D16" s="101">
        <v>396953301.6400001</v>
      </c>
      <c r="E16" s="102">
        <f t="shared" si="1"/>
        <v>560586502.28999949</v>
      </c>
      <c r="F16" s="101">
        <v>176179845.81999999</v>
      </c>
      <c r="G16" s="101">
        <v>366036001.54000056</v>
      </c>
      <c r="H16" s="103">
        <f t="shared" si="0"/>
        <v>542215847.36000061</v>
      </c>
      <c r="J16" s="157"/>
    </row>
    <row r="17" spans="1:10" s="21" customFormat="1" ht="15.75" x14ac:dyDescent="0.3">
      <c r="A17" s="155">
        <v>4.0999999999999996</v>
      </c>
      <c r="B17" s="158" t="s">
        <v>181</v>
      </c>
      <c r="C17" s="101">
        <v>163633200.64999935</v>
      </c>
      <c r="D17" s="101">
        <v>396953301.6400001</v>
      </c>
      <c r="E17" s="102">
        <f t="shared" si="1"/>
        <v>560586502.28999949</v>
      </c>
      <c r="F17" s="101">
        <v>176179845.81999999</v>
      </c>
      <c r="G17" s="101">
        <v>366036001.54000056</v>
      </c>
      <c r="H17" s="103">
        <f t="shared" si="0"/>
        <v>542215847.36000061</v>
      </c>
      <c r="J17" s="157"/>
    </row>
    <row r="18" spans="1:10" s="21" customFormat="1" ht="15.75" x14ac:dyDescent="0.3">
      <c r="A18" s="155">
        <v>4.2</v>
      </c>
      <c r="B18" s="158" t="s">
        <v>182</v>
      </c>
      <c r="C18" s="101">
        <v>0</v>
      </c>
      <c r="D18" s="101">
        <v>0</v>
      </c>
      <c r="E18" s="102">
        <f t="shared" si="1"/>
        <v>0</v>
      </c>
      <c r="F18" s="101">
        <v>0</v>
      </c>
      <c r="G18" s="101">
        <v>0</v>
      </c>
      <c r="H18" s="103">
        <f t="shared" si="0"/>
        <v>0</v>
      </c>
      <c r="I18" s="157"/>
      <c r="J18" s="157"/>
    </row>
    <row r="19" spans="1:10" s="21" customFormat="1" ht="25.5" x14ac:dyDescent="0.3">
      <c r="A19" s="155">
        <v>5</v>
      </c>
      <c r="B19" s="156" t="s">
        <v>183</v>
      </c>
      <c r="C19" s="101">
        <v>703026795.20999992</v>
      </c>
      <c r="D19" s="101">
        <v>982517522.80999982</v>
      </c>
      <c r="E19" s="102">
        <f t="shared" si="1"/>
        <v>1685544318.0199997</v>
      </c>
      <c r="F19" s="101">
        <v>794157262.94999909</v>
      </c>
      <c r="G19" s="101">
        <v>810502525.18999934</v>
      </c>
      <c r="H19" s="103">
        <f t="shared" si="0"/>
        <v>1604659788.1399984</v>
      </c>
      <c r="I19" s="157"/>
      <c r="J19" s="157"/>
    </row>
    <row r="20" spans="1:10" s="21" customFormat="1" ht="15.75" x14ac:dyDescent="0.3">
      <c r="A20" s="155">
        <v>5.0999999999999996</v>
      </c>
      <c r="B20" s="158" t="s">
        <v>184</v>
      </c>
      <c r="C20" s="101">
        <v>15642824.770000007</v>
      </c>
      <c r="D20" s="101">
        <v>31041732.360000003</v>
      </c>
      <c r="E20" s="102">
        <f t="shared" si="1"/>
        <v>46684557.13000001</v>
      </c>
      <c r="F20" s="101">
        <v>18490965.359999996</v>
      </c>
      <c r="G20" s="101">
        <v>39467913.229999997</v>
      </c>
      <c r="H20" s="103">
        <f t="shared" si="0"/>
        <v>57958878.589999989</v>
      </c>
      <c r="I20" s="157"/>
      <c r="J20" s="157"/>
    </row>
    <row r="21" spans="1:10" s="21" customFormat="1" ht="15.75" x14ac:dyDescent="0.3">
      <c r="A21" s="155">
        <v>5.2</v>
      </c>
      <c r="B21" s="158" t="s">
        <v>185</v>
      </c>
      <c r="C21" s="101">
        <v>80030284.549999997</v>
      </c>
      <c r="D21" s="101">
        <v>20752543.460000001</v>
      </c>
      <c r="E21" s="102">
        <f t="shared" si="1"/>
        <v>100782828.00999999</v>
      </c>
      <c r="F21" s="101">
        <v>58905767.04999999</v>
      </c>
      <c r="G21" s="101">
        <v>25804830.100000001</v>
      </c>
      <c r="H21" s="103">
        <f t="shared" si="0"/>
        <v>84710597.149999991</v>
      </c>
      <c r="I21" s="157"/>
      <c r="J21" s="157"/>
    </row>
    <row r="22" spans="1:10" s="21" customFormat="1" ht="15.75" x14ac:dyDescent="0.3">
      <c r="A22" s="155">
        <v>5.3</v>
      </c>
      <c r="B22" s="158" t="s">
        <v>186</v>
      </c>
      <c r="C22" s="101">
        <v>557371257.11999989</v>
      </c>
      <c r="D22" s="101">
        <v>902289286.96999979</v>
      </c>
      <c r="E22" s="102">
        <f t="shared" si="1"/>
        <v>1459660544.0899997</v>
      </c>
      <c r="F22" s="101">
        <v>671327491.05999911</v>
      </c>
      <c r="G22" s="101">
        <v>688435954.46999931</v>
      </c>
      <c r="H22" s="103">
        <f t="shared" si="0"/>
        <v>1359763445.5299983</v>
      </c>
      <c r="I22" s="157"/>
      <c r="J22" s="157"/>
    </row>
    <row r="23" spans="1:10" s="21" customFormat="1" ht="15.75" x14ac:dyDescent="0.3">
      <c r="A23" s="155" t="s">
        <v>187</v>
      </c>
      <c r="B23" s="159" t="s">
        <v>188</v>
      </c>
      <c r="C23" s="101">
        <v>350741560.1499998</v>
      </c>
      <c r="D23" s="101">
        <v>373834347.58999938</v>
      </c>
      <c r="E23" s="102">
        <f t="shared" si="1"/>
        <v>724575907.73999918</v>
      </c>
      <c r="F23" s="101">
        <v>517726381.28999889</v>
      </c>
      <c r="G23" s="101">
        <v>311040564.24999946</v>
      </c>
      <c r="H23" s="103">
        <f t="shared" si="0"/>
        <v>828766945.53999829</v>
      </c>
      <c r="I23" s="157"/>
      <c r="J23" s="157"/>
    </row>
    <row r="24" spans="1:10" s="21" customFormat="1" ht="15.75" x14ac:dyDescent="0.3">
      <c r="A24" s="155" t="s">
        <v>189</v>
      </c>
      <c r="B24" s="159" t="s">
        <v>190</v>
      </c>
      <c r="C24" s="101">
        <v>109042397.53999999</v>
      </c>
      <c r="D24" s="101">
        <v>315805529.31000018</v>
      </c>
      <c r="E24" s="102">
        <f t="shared" si="1"/>
        <v>424847926.85000014</v>
      </c>
      <c r="F24" s="101">
        <v>88128430.320000008</v>
      </c>
      <c r="G24" s="101">
        <v>276479289.17999995</v>
      </c>
      <c r="H24" s="103">
        <f t="shared" si="0"/>
        <v>364607719.49999994</v>
      </c>
      <c r="I24" s="157"/>
      <c r="J24" s="157"/>
    </row>
    <row r="25" spans="1:10" s="21" customFormat="1" ht="15.75" x14ac:dyDescent="0.3">
      <c r="A25" s="155" t="s">
        <v>191</v>
      </c>
      <c r="B25" s="160" t="s">
        <v>192</v>
      </c>
      <c r="C25" s="101">
        <v>13970967.310000001</v>
      </c>
      <c r="D25" s="101">
        <v>19224562.580000006</v>
      </c>
      <c r="E25" s="102">
        <f t="shared" si="1"/>
        <v>33195529.890000008</v>
      </c>
      <c r="F25" s="101">
        <v>8135746.8200000012</v>
      </c>
      <c r="G25" s="101">
        <v>11357305.830000004</v>
      </c>
      <c r="H25" s="103">
        <f t="shared" si="0"/>
        <v>19493052.650000006</v>
      </c>
      <c r="I25" s="157"/>
      <c r="J25" s="157"/>
    </row>
    <row r="26" spans="1:10" s="21" customFormat="1" ht="15.75" x14ac:dyDescent="0.3">
      <c r="A26" s="155" t="s">
        <v>193</v>
      </c>
      <c r="B26" s="159" t="s">
        <v>194</v>
      </c>
      <c r="C26" s="101">
        <v>55748959.730000012</v>
      </c>
      <c r="D26" s="101">
        <v>76374627.550000027</v>
      </c>
      <c r="E26" s="102">
        <f t="shared" si="1"/>
        <v>132123587.28000003</v>
      </c>
      <c r="F26" s="101">
        <v>35333985.19000002</v>
      </c>
      <c r="G26" s="101">
        <v>58628802.68999999</v>
      </c>
      <c r="H26" s="103">
        <f t="shared" si="0"/>
        <v>93962787.88000001</v>
      </c>
      <c r="I26" s="157"/>
      <c r="J26" s="157"/>
    </row>
    <row r="27" spans="1:10" s="21" customFormat="1" ht="15.75" x14ac:dyDescent="0.3">
      <c r="A27" s="155" t="s">
        <v>195</v>
      </c>
      <c r="B27" s="159" t="s">
        <v>196</v>
      </c>
      <c r="C27" s="101">
        <v>27867372.389999997</v>
      </c>
      <c r="D27" s="101">
        <v>117050219.94000004</v>
      </c>
      <c r="E27" s="102">
        <f t="shared" si="1"/>
        <v>144917592.33000004</v>
      </c>
      <c r="F27" s="101">
        <v>22002947.440000009</v>
      </c>
      <c r="G27" s="101">
        <v>30929992.52</v>
      </c>
      <c r="H27" s="103">
        <f t="shared" si="0"/>
        <v>52932939.960000008</v>
      </c>
      <c r="I27" s="157"/>
      <c r="J27" s="157"/>
    </row>
    <row r="28" spans="1:10" s="21" customFormat="1" ht="15.75" x14ac:dyDescent="0.3">
      <c r="A28" s="155">
        <v>5.4</v>
      </c>
      <c r="B28" s="158" t="s">
        <v>197</v>
      </c>
      <c r="C28" s="101">
        <v>16993638.5</v>
      </c>
      <c r="D28" s="101">
        <v>15987237.579999996</v>
      </c>
      <c r="E28" s="102">
        <f t="shared" si="1"/>
        <v>32980876.079999998</v>
      </c>
      <c r="F28" s="101">
        <v>11817789.470000012</v>
      </c>
      <c r="G28" s="101">
        <v>13446474.839999998</v>
      </c>
      <c r="H28" s="103">
        <f t="shared" si="0"/>
        <v>25264264.31000001</v>
      </c>
      <c r="I28" s="157"/>
      <c r="J28" s="157"/>
    </row>
    <row r="29" spans="1:10" s="21" customFormat="1" ht="15.75" x14ac:dyDescent="0.3">
      <c r="A29" s="155">
        <v>5.5</v>
      </c>
      <c r="B29" s="158" t="s">
        <v>198</v>
      </c>
      <c r="C29" s="101">
        <v>0</v>
      </c>
      <c r="D29" s="101">
        <v>0</v>
      </c>
      <c r="E29" s="102">
        <f t="shared" si="1"/>
        <v>0</v>
      </c>
      <c r="F29" s="101">
        <v>0</v>
      </c>
      <c r="G29" s="101">
        <v>0</v>
      </c>
      <c r="H29" s="103">
        <f t="shared" si="0"/>
        <v>0</v>
      </c>
      <c r="I29" s="157"/>
      <c r="J29" s="157"/>
    </row>
    <row r="30" spans="1:10" s="21" customFormat="1" ht="15.75" x14ac:dyDescent="0.3">
      <c r="A30" s="155">
        <v>5.6</v>
      </c>
      <c r="B30" s="158" t="s">
        <v>199</v>
      </c>
      <c r="C30" s="101">
        <v>0</v>
      </c>
      <c r="D30" s="101">
        <v>0</v>
      </c>
      <c r="E30" s="102">
        <f t="shared" si="1"/>
        <v>0</v>
      </c>
      <c r="F30" s="101">
        <v>0</v>
      </c>
      <c r="G30" s="101">
        <v>0</v>
      </c>
      <c r="H30" s="103">
        <f t="shared" si="0"/>
        <v>0</v>
      </c>
      <c r="I30" s="157"/>
      <c r="J30" s="157"/>
    </row>
    <row r="31" spans="1:10" s="21" customFormat="1" ht="15.75" x14ac:dyDescent="0.3">
      <c r="A31" s="155">
        <v>5.7</v>
      </c>
      <c r="B31" s="158" t="s">
        <v>200</v>
      </c>
      <c r="C31" s="101">
        <v>32988790.269999992</v>
      </c>
      <c r="D31" s="101">
        <v>12446722.440000003</v>
      </c>
      <c r="E31" s="102">
        <f t="shared" si="1"/>
        <v>45435512.709999993</v>
      </c>
      <c r="F31" s="101">
        <v>33615250.00999999</v>
      </c>
      <c r="G31" s="101">
        <v>43347352.550000004</v>
      </c>
      <c r="H31" s="103">
        <f t="shared" si="0"/>
        <v>76962602.560000002</v>
      </c>
      <c r="I31" s="157"/>
      <c r="J31" s="157"/>
    </row>
    <row r="32" spans="1:10" s="21" customFormat="1" ht="15.75" x14ac:dyDescent="0.3">
      <c r="A32" s="155">
        <v>6</v>
      </c>
      <c r="B32" s="156" t="s">
        <v>201</v>
      </c>
      <c r="C32" s="101">
        <f>SUM(C33:C39)</f>
        <v>10681251.949999999</v>
      </c>
      <c r="D32" s="101">
        <f>SUM(D33:D39)</f>
        <v>113369148.93000001</v>
      </c>
      <c r="E32" s="102">
        <f t="shared" si="1"/>
        <v>124050400.88000001</v>
      </c>
      <c r="F32" s="101">
        <v>27940797</v>
      </c>
      <c r="G32" s="101">
        <v>27533022</v>
      </c>
      <c r="H32" s="103">
        <f t="shared" si="0"/>
        <v>55473819</v>
      </c>
      <c r="I32" s="157"/>
      <c r="J32" s="157"/>
    </row>
    <row r="33" spans="1:12" s="21" customFormat="1" ht="25.5" x14ac:dyDescent="0.3">
      <c r="A33" s="155">
        <v>6.1</v>
      </c>
      <c r="B33" s="158" t="s">
        <v>202</v>
      </c>
      <c r="C33" s="101">
        <v>10681251.949999999</v>
      </c>
      <c r="D33" s="101">
        <v>50664667.18</v>
      </c>
      <c r="E33" s="102">
        <f t="shared" si="1"/>
        <v>61345919.129999995</v>
      </c>
      <c r="F33" s="101">
        <v>27940797</v>
      </c>
      <c r="G33" s="101">
        <v>0</v>
      </c>
      <c r="H33" s="103">
        <f t="shared" si="0"/>
        <v>27940797</v>
      </c>
      <c r="I33" s="157"/>
      <c r="J33" s="157"/>
    </row>
    <row r="34" spans="1:12" s="21" customFormat="1" ht="25.5" x14ac:dyDescent="0.3">
      <c r="A34" s="155">
        <v>6.2</v>
      </c>
      <c r="B34" s="158" t="s">
        <v>203</v>
      </c>
      <c r="C34" s="101">
        <v>0</v>
      </c>
      <c r="D34" s="101">
        <v>62704481.75</v>
      </c>
      <c r="E34" s="102">
        <f t="shared" si="1"/>
        <v>62704481.75</v>
      </c>
      <c r="F34" s="101">
        <v>0</v>
      </c>
      <c r="G34" s="101">
        <v>27533022</v>
      </c>
      <c r="H34" s="103">
        <f t="shared" si="0"/>
        <v>27533022</v>
      </c>
      <c r="I34" s="157"/>
      <c r="J34" s="157"/>
    </row>
    <row r="35" spans="1:12" s="21" customFormat="1" ht="25.5" x14ac:dyDescent="0.3">
      <c r="A35" s="155">
        <v>6.3</v>
      </c>
      <c r="B35" s="158" t="s">
        <v>204</v>
      </c>
      <c r="C35" s="101">
        <v>0</v>
      </c>
      <c r="D35" s="101">
        <v>0</v>
      </c>
      <c r="E35" s="102">
        <f t="shared" si="1"/>
        <v>0</v>
      </c>
      <c r="F35" s="101">
        <v>0</v>
      </c>
      <c r="G35" s="101">
        <v>0</v>
      </c>
      <c r="H35" s="103">
        <f t="shared" si="0"/>
        <v>0</v>
      </c>
      <c r="I35" s="161"/>
      <c r="J35" s="157"/>
    </row>
    <row r="36" spans="1:12" s="21" customFormat="1" ht="15.75" x14ac:dyDescent="0.3">
      <c r="A36" s="155">
        <v>6.4</v>
      </c>
      <c r="B36" s="158" t="s">
        <v>205</v>
      </c>
      <c r="C36" s="101"/>
      <c r="D36" s="101"/>
      <c r="E36" s="102">
        <f t="shared" si="1"/>
        <v>0</v>
      </c>
      <c r="F36" s="101">
        <v>0</v>
      </c>
      <c r="G36" s="101">
        <v>0</v>
      </c>
      <c r="H36" s="103">
        <f t="shared" si="0"/>
        <v>0</v>
      </c>
      <c r="I36" s="157"/>
      <c r="J36" s="157"/>
    </row>
    <row r="37" spans="1:12" s="21" customFormat="1" ht="15.75" x14ac:dyDescent="0.3">
      <c r="A37" s="155">
        <v>6.5</v>
      </c>
      <c r="B37" s="158" t="s">
        <v>206</v>
      </c>
      <c r="C37" s="101"/>
      <c r="D37" s="101"/>
      <c r="E37" s="102">
        <f t="shared" si="1"/>
        <v>0</v>
      </c>
      <c r="F37" s="101">
        <v>0</v>
      </c>
      <c r="G37" s="101">
        <v>0</v>
      </c>
      <c r="H37" s="103">
        <f t="shared" si="0"/>
        <v>0</v>
      </c>
      <c r="I37" s="157"/>
      <c r="J37" s="157"/>
    </row>
    <row r="38" spans="1:12" s="21" customFormat="1" ht="25.5" x14ac:dyDescent="0.3">
      <c r="A38" s="155">
        <v>6.6</v>
      </c>
      <c r="B38" s="158" t="s">
        <v>207</v>
      </c>
      <c r="C38" s="101"/>
      <c r="D38" s="101"/>
      <c r="E38" s="102">
        <f t="shared" si="1"/>
        <v>0</v>
      </c>
      <c r="F38" s="101">
        <v>0</v>
      </c>
      <c r="G38" s="101">
        <v>0</v>
      </c>
      <c r="H38" s="103">
        <f t="shared" si="0"/>
        <v>0</v>
      </c>
      <c r="I38" s="157"/>
      <c r="J38" s="161"/>
      <c r="K38" s="162"/>
      <c r="L38" s="162"/>
    </row>
    <row r="39" spans="1:12" s="21" customFormat="1" ht="25.5" x14ac:dyDescent="0.3">
      <c r="A39" s="155">
        <v>6.7</v>
      </c>
      <c r="B39" s="158" t="s">
        <v>208</v>
      </c>
      <c r="C39" s="101"/>
      <c r="D39" s="101"/>
      <c r="E39" s="102">
        <f t="shared" si="1"/>
        <v>0</v>
      </c>
      <c r="F39" s="101">
        <v>0</v>
      </c>
      <c r="G39" s="101">
        <v>0</v>
      </c>
      <c r="H39" s="103">
        <f t="shared" si="0"/>
        <v>0</v>
      </c>
      <c r="I39" s="157"/>
      <c r="J39" s="157"/>
    </row>
    <row r="40" spans="1:12" s="21" customFormat="1" ht="15.75" x14ac:dyDescent="0.3">
      <c r="A40" s="155">
        <v>7</v>
      </c>
      <c r="B40" s="156" t="s">
        <v>209</v>
      </c>
      <c r="C40" s="101"/>
      <c r="D40" s="101"/>
      <c r="E40" s="102">
        <f>C40+D40</f>
        <v>0</v>
      </c>
      <c r="F40" s="101">
        <v>0</v>
      </c>
      <c r="G40" s="101">
        <v>0</v>
      </c>
      <c r="H40" s="103">
        <f t="shared" si="0"/>
        <v>0</v>
      </c>
      <c r="I40" s="157"/>
      <c r="J40" s="157"/>
    </row>
    <row r="41" spans="1:12" s="21" customFormat="1" ht="25.5" x14ac:dyDescent="0.3">
      <c r="A41" s="155">
        <v>7.1</v>
      </c>
      <c r="B41" s="158" t="s">
        <v>210</v>
      </c>
      <c r="C41" s="101">
        <v>1252867.6500000006</v>
      </c>
      <c r="D41" s="101">
        <v>14122.345300000001</v>
      </c>
      <c r="E41" s="102">
        <f t="shared" si="1"/>
        <v>1266989.9953000005</v>
      </c>
      <c r="F41" s="101">
        <v>176593.12999999995</v>
      </c>
      <c r="G41" s="101">
        <v>15849.42</v>
      </c>
      <c r="H41" s="103">
        <f t="shared" si="0"/>
        <v>192442.54999999996</v>
      </c>
      <c r="I41" s="157"/>
      <c r="J41" s="157"/>
    </row>
    <row r="42" spans="1:12" s="21" customFormat="1" ht="25.5" x14ac:dyDescent="0.3">
      <c r="A42" s="155">
        <v>7.2</v>
      </c>
      <c r="B42" s="158" t="s">
        <v>211</v>
      </c>
      <c r="C42" s="101">
        <v>999296.26000000071</v>
      </c>
      <c r="D42" s="101">
        <v>1132247.8729000003</v>
      </c>
      <c r="E42" s="102">
        <f>C42+D42</f>
        <v>2131544.132900001</v>
      </c>
      <c r="F42" s="101">
        <v>1525599.9600000004</v>
      </c>
      <c r="G42" s="101">
        <v>1511788.0599999998</v>
      </c>
      <c r="H42" s="103">
        <f t="shared" si="0"/>
        <v>3037388.0200000005</v>
      </c>
      <c r="I42" s="163"/>
      <c r="J42" s="157"/>
    </row>
    <row r="43" spans="1:12" s="21" customFormat="1" ht="25.5" x14ac:dyDescent="0.3">
      <c r="A43" s="155">
        <v>7.3</v>
      </c>
      <c r="B43" s="158" t="s">
        <v>212</v>
      </c>
      <c r="C43" s="101">
        <v>6199777.3766000057</v>
      </c>
      <c r="D43" s="101">
        <v>15283751.5798</v>
      </c>
      <c r="E43" s="102">
        <f>C43+D43</f>
        <v>21483528.956400007</v>
      </c>
      <c r="F43" s="101">
        <v>5317450.7800000068</v>
      </c>
      <c r="G43" s="101">
        <v>14030296.699999997</v>
      </c>
      <c r="H43" s="103">
        <f t="shared" si="0"/>
        <v>19347747.480000004</v>
      </c>
      <c r="I43" s="157"/>
      <c r="J43" s="157"/>
      <c r="K43" s="157"/>
      <c r="L43" s="157"/>
    </row>
    <row r="44" spans="1:12" s="21" customFormat="1" ht="25.5" x14ac:dyDescent="0.3">
      <c r="A44" s="155">
        <v>7.4</v>
      </c>
      <c r="B44" s="158" t="s">
        <v>213</v>
      </c>
      <c r="C44" s="101">
        <v>42691613.589999951</v>
      </c>
      <c r="D44" s="101">
        <v>75943013.245099992</v>
      </c>
      <c r="E44" s="102">
        <f t="shared" si="1"/>
        <v>118634626.83509994</v>
      </c>
      <c r="F44" s="101">
        <v>42393395.359999955</v>
      </c>
      <c r="G44" s="101">
        <v>70204779.770000011</v>
      </c>
      <c r="H44" s="103">
        <f t="shared" si="0"/>
        <v>112598175.12999997</v>
      </c>
      <c r="I44" s="163"/>
      <c r="J44" s="157"/>
    </row>
    <row r="45" spans="1:12" s="21" customFormat="1" ht="15.75" x14ac:dyDescent="0.3">
      <c r="A45" s="155">
        <v>8</v>
      </c>
      <c r="B45" s="156" t="s">
        <v>214</v>
      </c>
      <c r="C45" s="101"/>
      <c r="D45" s="101"/>
      <c r="E45" s="102">
        <f t="shared" si="1"/>
        <v>0</v>
      </c>
      <c r="F45" s="101">
        <v>0</v>
      </c>
      <c r="G45" s="101">
        <v>0</v>
      </c>
      <c r="H45" s="103">
        <f t="shared" si="0"/>
        <v>0</v>
      </c>
      <c r="I45" s="157"/>
      <c r="J45" s="157"/>
    </row>
    <row r="46" spans="1:12" s="21" customFormat="1" ht="15.75" x14ac:dyDescent="0.3">
      <c r="A46" s="155">
        <v>8.1</v>
      </c>
      <c r="B46" s="158" t="s">
        <v>215</v>
      </c>
      <c r="C46" s="101"/>
      <c r="D46" s="101"/>
      <c r="E46" s="102">
        <f t="shared" si="1"/>
        <v>0</v>
      </c>
      <c r="F46" s="101">
        <v>0</v>
      </c>
      <c r="G46" s="101">
        <v>0</v>
      </c>
      <c r="H46" s="103">
        <f t="shared" si="0"/>
        <v>0</v>
      </c>
      <c r="I46" s="157"/>
      <c r="J46" s="157"/>
    </row>
    <row r="47" spans="1:12" s="21" customFormat="1" ht="15.75" x14ac:dyDescent="0.3">
      <c r="A47" s="155">
        <v>8.1999999999999993</v>
      </c>
      <c r="B47" s="158" t="s">
        <v>216</v>
      </c>
      <c r="C47" s="101"/>
      <c r="D47" s="101"/>
      <c r="E47" s="102">
        <f t="shared" si="1"/>
        <v>0</v>
      </c>
      <c r="F47" s="101">
        <v>0</v>
      </c>
      <c r="G47" s="101">
        <v>0</v>
      </c>
      <c r="H47" s="103">
        <f t="shared" si="0"/>
        <v>0</v>
      </c>
      <c r="I47" s="157"/>
      <c r="J47" s="157"/>
    </row>
    <row r="48" spans="1:12" s="21" customFormat="1" ht="15.75" x14ac:dyDescent="0.3">
      <c r="A48" s="155">
        <v>8.3000000000000007</v>
      </c>
      <c r="B48" s="158" t="s">
        <v>217</v>
      </c>
      <c r="C48" s="101"/>
      <c r="D48" s="101"/>
      <c r="E48" s="102">
        <f t="shared" si="1"/>
        <v>0</v>
      </c>
      <c r="F48" s="101">
        <v>0</v>
      </c>
      <c r="G48" s="101">
        <v>0</v>
      </c>
      <c r="H48" s="103">
        <f t="shared" si="0"/>
        <v>0</v>
      </c>
      <c r="I48" s="157"/>
      <c r="J48" s="157"/>
    </row>
    <row r="49" spans="1:10" s="21" customFormat="1" ht="15.75" x14ac:dyDescent="0.3">
      <c r="A49" s="155">
        <v>8.4</v>
      </c>
      <c r="B49" s="158" t="s">
        <v>218</v>
      </c>
      <c r="C49" s="101"/>
      <c r="D49" s="101"/>
      <c r="E49" s="102">
        <f t="shared" si="1"/>
        <v>0</v>
      </c>
      <c r="F49" s="101">
        <v>0</v>
      </c>
      <c r="G49" s="101">
        <v>0</v>
      </c>
      <c r="H49" s="103">
        <f t="shared" si="0"/>
        <v>0</v>
      </c>
      <c r="I49" s="157"/>
      <c r="J49" s="157"/>
    </row>
    <row r="50" spans="1:10" s="21" customFormat="1" ht="15.75" x14ac:dyDescent="0.3">
      <c r="A50" s="155">
        <v>8.5</v>
      </c>
      <c r="B50" s="158" t="s">
        <v>219</v>
      </c>
      <c r="C50" s="101"/>
      <c r="D50" s="101"/>
      <c r="E50" s="102">
        <f t="shared" si="1"/>
        <v>0</v>
      </c>
      <c r="F50" s="101">
        <v>0</v>
      </c>
      <c r="G50" s="101">
        <v>0</v>
      </c>
      <c r="H50" s="103">
        <f t="shared" si="0"/>
        <v>0</v>
      </c>
      <c r="I50" s="157"/>
      <c r="J50" s="157"/>
    </row>
    <row r="51" spans="1:10" s="21" customFormat="1" ht="15.75" x14ac:dyDescent="0.3">
      <c r="A51" s="155">
        <v>8.6</v>
      </c>
      <c r="B51" s="158" t="s">
        <v>220</v>
      </c>
      <c r="C51" s="101"/>
      <c r="D51" s="101"/>
      <c r="E51" s="102">
        <f t="shared" si="1"/>
        <v>0</v>
      </c>
      <c r="F51" s="101">
        <v>0</v>
      </c>
      <c r="G51" s="101">
        <v>0</v>
      </c>
      <c r="H51" s="103">
        <f t="shared" si="0"/>
        <v>0</v>
      </c>
      <c r="I51" s="157"/>
      <c r="J51" s="157"/>
    </row>
    <row r="52" spans="1:10" s="21" customFormat="1" ht="15.75" x14ac:dyDescent="0.3">
      <c r="A52" s="155">
        <v>8.6999999999999993</v>
      </c>
      <c r="B52" s="158" t="s">
        <v>221</v>
      </c>
      <c r="C52" s="101"/>
      <c r="D52" s="101"/>
      <c r="E52" s="102">
        <f t="shared" si="1"/>
        <v>0</v>
      </c>
      <c r="F52" s="101">
        <v>0</v>
      </c>
      <c r="G52" s="101">
        <v>0</v>
      </c>
      <c r="H52" s="103">
        <f t="shared" si="0"/>
        <v>0</v>
      </c>
      <c r="I52" s="157"/>
      <c r="J52" s="157"/>
    </row>
    <row r="53" spans="1:10" s="21" customFormat="1" ht="26.25" thickBot="1" x14ac:dyDescent="0.35">
      <c r="A53" s="164">
        <v>9</v>
      </c>
      <c r="B53" s="165" t="s">
        <v>222</v>
      </c>
      <c r="C53" s="166"/>
      <c r="D53" s="166"/>
      <c r="E53" s="112">
        <f t="shared" si="1"/>
        <v>0</v>
      </c>
      <c r="F53" s="166">
        <v>0</v>
      </c>
      <c r="G53" s="166">
        <v>0</v>
      </c>
      <c r="H53" s="113">
        <f t="shared" si="0"/>
        <v>0</v>
      </c>
      <c r="I53" s="157"/>
      <c r="J53" s="157"/>
    </row>
    <row r="54" spans="1:10" x14ac:dyDescent="0.25">
      <c r="B54" s="167"/>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9.5703125" style="22" bestFit="1" customWidth="1"/>
    <col min="2" max="2" width="93.5703125" style="22" customWidth="1"/>
    <col min="3" max="4" width="12.7109375" style="22" customWidth="1"/>
    <col min="5" max="11" width="9.7109375" style="135" customWidth="1"/>
    <col min="12" max="16384" width="9.140625" style="135"/>
  </cols>
  <sheetData>
    <row r="1" spans="1:8" ht="15" x14ac:dyDescent="0.3">
      <c r="A1" s="23" t="s">
        <v>29</v>
      </c>
      <c r="B1" s="22" t="str">
        <f>'1. key ratios'!B1</f>
        <v>სს ტერაბანკი</v>
      </c>
      <c r="C1" s="24"/>
    </row>
    <row r="2" spans="1:8" ht="15" x14ac:dyDescent="0.3">
      <c r="A2" s="23" t="s">
        <v>31</v>
      </c>
      <c r="B2" s="89">
        <f>'1. key ratios'!B2</f>
        <v>43921</v>
      </c>
      <c r="C2" s="26"/>
      <c r="D2" s="27"/>
      <c r="E2" s="168"/>
      <c r="F2" s="168"/>
      <c r="G2" s="168"/>
      <c r="H2" s="168"/>
    </row>
    <row r="3" spans="1:8" ht="15" x14ac:dyDescent="0.3">
      <c r="A3" s="23"/>
      <c r="B3" s="24"/>
      <c r="C3" s="26"/>
      <c r="D3" s="27"/>
      <c r="E3" s="168"/>
      <c r="F3" s="168"/>
      <c r="G3" s="168"/>
      <c r="H3" s="168"/>
    </row>
    <row r="4" spans="1:8" ht="15" customHeight="1" thickBot="1" x14ac:dyDescent="0.35">
      <c r="A4" s="169" t="s">
        <v>223</v>
      </c>
      <c r="B4" s="170" t="s">
        <v>16</v>
      </c>
      <c r="C4" s="169"/>
      <c r="D4" s="171" t="s">
        <v>67</v>
      </c>
    </row>
    <row r="5" spans="1:8" ht="15" customHeight="1" x14ac:dyDescent="0.2">
      <c r="A5" s="172" t="s">
        <v>33</v>
      </c>
      <c r="B5" s="173"/>
      <c r="C5" s="174">
        <f>'1. key ratios'!C5</f>
        <v>43921</v>
      </c>
      <c r="D5" s="175">
        <f>'1. key ratios'!D5</f>
        <v>43830</v>
      </c>
    </row>
    <row r="6" spans="1:8" ht="15" customHeight="1" x14ac:dyDescent="0.2">
      <c r="A6" s="176">
        <v>1</v>
      </c>
      <c r="B6" s="177" t="s">
        <v>224</v>
      </c>
      <c r="C6" s="178">
        <f>C7+C9+C10</f>
        <v>846068887.66124678</v>
      </c>
      <c r="D6" s="179">
        <f>D7+D9+D10</f>
        <v>797634690.69449782</v>
      </c>
    </row>
    <row r="7" spans="1:8" ht="15" customHeight="1" x14ac:dyDescent="0.2">
      <c r="A7" s="176">
        <v>1.1000000000000001</v>
      </c>
      <c r="B7" s="180" t="s">
        <v>225</v>
      </c>
      <c r="C7" s="181">
        <v>823574155.41899681</v>
      </c>
      <c r="D7" s="182">
        <v>776466636.99699783</v>
      </c>
    </row>
    <row r="8" spans="1:8" ht="25.5" x14ac:dyDescent="0.2">
      <c r="A8" s="176" t="s">
        <v>226</v>
      </c>
      <c r="B8" s="183" t="s">
        <v>227</v>
      </c>
      <c r="C8" s="184">
        <v>0</v>
      </c>
      <c r="D8" s="185">
        <v>0</v>
      </c>
    </row>
    <row r="9" spans="1:8" ht="15" customHeight="1" x14ac:dyDescent="0.2">
      <c r="A9" s="176">
        <v>1.2</v>
      </c>
      <c r="B9" s="180" t="s">
        <v>228</v>
      </c>
      <c r="C9" s="181">
        <v>21240642.607250009</v>
      </c>
      <c r="D9" s="182">
        <v>20226003.904500008</v>
      </c>
    </row>
    <row r="10" spans="1:8" ht="15" customHeight="1" x14ac:dyDescent="0.2">
      <c r="A10" s="176">
        <v>1.3</v>
      </c>
      <c r="B10" s="186" t="s">
        <v>27</v>
      </c>
      <c r="C10" s="184">
        <v>1254089.635</v>
      </c>
      <c r="D10" s="182">
        <v>942049.79299999995</v>
      </c>
    </row>
    <row r="11" spans="1:8" ht="15" customHeight="1" x14ac:dyDescent="0.2">
      <c r="A11" s="176">
        <v>2</v>
      </c>
      <c r="B11" s="177" t="s">
        <v>229</v>
      </c>
      <c r="C11" s="181">
        <v>22417519.999999769</v>
      </c>
      <c r="D11" s="182">
        <v>7225299.2899999106</v>
      </c>
    </row>
    <row r="12" spans="1:8" ht="15" customHeight="1" x14ac:dyDescent="0.2">
      <c r="A12" s="176">
        <v>3</v>
      </c>
      <c r="B12" s="177" t="s">
        <v>230</v>
      </c>
      <c r="C12" s="184">
        <v>93832535.96875</v>
      </c>
      <c r="D12" s="182">
        <v>93832535.96875</v>
      </c>
    </row>
    <row r="13" spans="1:8" ht="15" customHeight="1" thickBot="1" x14ac:dyDescent="0.25">
      <c r="A13" s="187">
        <v>4</v>
      </c>
      <c r="B13" s="188" t="s">
        <v>231</v>
      </c>
      <c r="C13" s="189">
        <f>C6+C11+C12</f>
        <v>962318943.62999654</v>
      </c>
      <c r="D13" s="190">
        <f>D6+D11+D12</f>
        <v>898692525.95324779</v>
      </c>
    </row>
    <row r="14" spans="1:8" ht="15" customHeight="1" x14ac:dyDescent="0.2">
      <c r="A14" s="191"/>
      <c r="B14" s="192"/>
      <c r="C14" s="193"/>
      <c r="D14" s="193"/>
    </row>
    <row r="15" spans="1:8" ht="25.5" x14ac:dyDescent="0.2">
      <c r="B15" s="194" t="s">
        <v>232</v>
      </c>
      <c r="C15" s="195"/>
    </row>
    <row r="16" spans="1:8" x14ac:dyDescent="0.2">
      <c r="B16" s="194"/>
      <c r="C16" s="195"/>
    </row>
    <row r="17" spans="2:3" x14ac:dyDescent="0.2">
      <c r="B17" s="194"/>
      <c r="C17" s="195"/>
    </row>
    <row r="18" spans="2:3" x14ac:dyDescent="0.2">
      <c r="B18" s="194"/>
      <c r="C18" s="195"/>
    </row>
    <row r="19" spans="2:3" x14ac:dyDescent="0.2">
      <c r="B19" s="194"/>
    </row>
    <row r="20" spans="2:3" x14ac:dyDescent="0.2">
      <c r="B20" s="194"/>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3"/>
  <sheetViews>
    <sheetView zoomScaleNormal="100" workbookViewId="0">
      <pane xSplit="1" ySplit="4" topLeftCell="B5" activePane="bottomRight" state="frozen"/>
      <selection activeCell="C9" sqref="C9"/>
      <selection pane="topRight" activeCell="C9" sqref="C9"/>
      <selection pane="bottomLeft" activeCell="C9" sqref="C9"/>
      <selection pane="bottomRight" activeCell="C9" sqref="C9"/>
    </sheetView>
  </sheetViews>
  <sheetFormatPr defaultRowHeight="15.75" x14ac:dyDescent="0.3"/>
  <cols>
    <col min="1" max="1" width="9.5703125" style="22" bestFit="1" customWidth="1"/>
    <col min="2" max="2" width="89.28515625" style="196" customWidth="1"/>
    <col min="3" max="3" width="9.140625" style="196"/>
  </cols>
  <sheetData>
    <row r="1" spans="1:3" x14ac:dyDescent="0.3">
      <c r="A1" s="22" t="s">
        <v>29</v>
      </c>
      <c r="B1" s="196" t="str">
        <f>'1. key ratios'!B1</f>
        <v>სს ტერაბანკი</v>
      </c>
    </row>
    <row r="2" spans="1:3" x14ac:dyDescent="0.3">
      <c r="A2" s="22" t="s">
        <v>31</v>
      </c>
      <c r="B2" s="197">
        <f>'1. key ratios'!B2</f>
        <v>43921</v>
      </c>
    </row>
    <row r="4" spans="1:3" ht="16.5" customHeight="1" thickBot="1" x14ac:dyDescent="0.35">
      <c r="A4" s="198" t="s">
        <v>233</v>
      </c>
      <c r="B4" s="199" t="s">
        <v>17</v>
      </c>
      <c r="C4" s="200"/>
    </row>
    <row r="5" spans="1:3" x14ac:dyDescent="0.3">
      <c r="A5" s="201"/>
      <c r="B5" s="555" t="s">
        <v>234</v>
      </c>
      <c r="C5" s="556"/>
    </row>
    <row r="6" spans="1:3" x14ac:dyDescent="0.3">
      <c r="A6" s="202">
        <v>1</v>
      </c>
      <c r="B6" s="202" t="s">
        <v>235</v>
      </c>
      <c r="C6" s="203"/>
    </row>
    <row r="7" spans="1:3" x14ac:dyDescent="0.3">
      <c r="A7" s="202">
        <v>2</v>
      </c>
      <c r="B7" s="202" t="s">
        <v>236</v>
      </c>
      <c r="C7" s="203"/>
    </row>
    <row r="8" spans="1:3" x14ac:dyDescent="0.3">
      <c r="A8" s="202">
        <v>3</v>
      </c>
      <c r="B8" s="202" t="s">
        <v>237</v>
      </c>
      <c r="C8" s="203"/>
    </row>
    <row r="9" spans="1:3" x14ac:dyDescent="0.3">
      <c r="A9" s="202">
        <v>4</v>
      </c>
      <c r="B9" s="202" t="s">
        <v>238</v>
      </c>
      <c r="C9" s="204"/>
    </row>
    <row r="10" spans="1:3" x14ac:dyDescent="0.3">
      <c r="A10" s="202">
        <v>5</v>
      </c>
      <c r="B10" s="202" t="s">
        <v>239</v>
      </c>
      <c r="C10" s="204"/>
    </row>
    <row r="11" spans="1:3" x14ac:dyDescent="0.3">
      <c r="A11" s="202">
        <v>6</v>
      </c>
      <c r="B11" s="202" t="s">
        <v>240</v>
      </c>
      <c r="C11" s="204"/>
    </row>
    <row r="12" spans="1:3" x14ac:dyDescent="0.3">
      <c r="A12" s="202">
        <v>7</v>
      </c>
      <c r="B12" s="202" t="s">
        <v>241</v>
      </c>
      <c r="C12" s="203"/>
    </row>
    <row r="13" spans="1:3" x14ac:dyDescent="0.3">
      <c r="A13" s="205"/>
      <c r="C13" s="203"/>
    </row>
    <row r="14" spans="1:3" x14ac:dyDescent="0.3">
      <c r="A14" s="205"/>
      <c r="B14" s="557" t="s">
        <v>242</v>
      </c>
      <c r="C14" s="558"/>
    </row>
    <row r="15" spans="1:3" x14ac:dyDescent="0.3">
      <c r="A15" s="202">
        <v>1</v>
      </c>
      <c r="B15" s="202" t="s">
        <v>243</v>
      </c>
      <c r="C15" s="206"/>
    </row>
    <row r="16" spans="1:3" x14ac:dyDescent="0.3">
      <c r="A16" s="202">
        <v>2</v>
      </c>
      <c r="B16" s="202" t="s">
        <v>244</v>
      </c>
      <c r="C16" s="206"/>
    </row>
    <row r="17" spans="1:3" x14ac:dyDescent="0.3">
      <c r="A17" s="202">
        <v>3</v>
      </c>
      <c r="B17" s="202" t="s">
        <v>245</v>
      </c>
      <c r="C17" s="206"/>
    </row>
    <row r="18" spans="1:3" x14ac:dyDescent="0.3">
      <c r="A18" s="202">
        <v>4</v>
      </c>
      <c r="B18" s="202" t="s">
        <v>246</v>
      </c>
      <c r="C18" s="206"/>
    </row>
    <row r="19" spans="1:3" x14ac:dyDescent="0.3">
      <c r="A19" s="202">
        <v>5</v>
      </c>
      <c r="B19" s="202" t="s">
        <v>247</v>
      </c>
      <c r="C19" s="206"/>
    </row>
    <row r="20" spans="1:3" ht="15.75" customHeight="1" x14ac:dyDescent="0.3">
      <c r="A20" s="205"/>
      <c r="B20" s="202"/>
      <c r="C20" s="204"/>
    </row>
    <row r="21" spans="1:3" ht="30" customHeight="1" x14ac:dyDescent="0.25">
      <c r="A21" s="205"/>
      <c r="B21" s="559" t="s">
        <v>248</v>
      </c>
      <c r="C21" s="560"/>
    </row>
    <row r="22" spans="1:3" x14ac:dyDescent="0.3">
      <c r="A22" s="202">
        <v>1</v>
      </c>
      <c r="B22" s="202" t="s">
        <v>4</v>
      </c>
      <c r="C22" s="207">
        <v>0.45</v>
      </c>
    </row>
    <row r="23" spans="1:3" x14ac:dyDescent="0.3">
      <c r="A23" s="202">
        <v>2</v>
      </c>
      <c r="B23" s="202" t="s">
        <v>249</v>
      </c>
      <c r="C23" s="207">
        <v>0.2</v>
      </c>
    </row>
    <row r="24" spans="1:3" x14ac:dyDescent="0.3">
      <c r="A24" s="202">
        <v>3</v>
      </c>
      <c r="B24" s="202" t="s">
        <v>250</v>
      </c>
      <c r="C24" s="207">
        <v>0.15</v>
      </c>
    </row>
    <row r="25" spans="1:3" x14ac:dyDescent="0.3">
      <c r="A25" s="202">
        <v>4</v>
      </c>
      <c r="B25" s="202" t="s">
        <v>251</v>
      </c>
      <c r="C25" s="207">
        <v>0.15</v>
      </c>
    </row>
    <row r="26" spans="1:3" x14ac:dyDescent="0.3">
      <c r="A26" s="202">
        <v>5</v>
      </c>
      <c r="B26" s="202" t="s">
        <v>252</v>
      </c>
      <c r="C26" s="207">
        <v>0.05</v>
      </c>
    </row>
    <row r="27" spans="1:3" ht="15.75" customHeight="1" x14ac:dyDescent="0.3">
      <c r="A27" s="205"/>
      <c r="B27" s="202"/>
      <c r="C27" s="203"/>
    </row>
    <row r="28" spans="1:3" ht="29.25" customHeight="1" x14ac:dyDescent="0.25">
      <c r="A28" s="205"/>
      <c r="B28" s="559" t="s">
        <v>253</v>
      </c>
      <c r="C28" s="560"/>
    </row>
    <row r="29" spans="1:3" x14ac:dyDescent="0.3">
      <c r="A29" s="202">
        <v>1</v>
      </c>
      <c r="B29" s="202" t="s">
        <v>4</v>
      </c>
      <c r="C29" s="207">
        <v>0.45</v>
      </c>
    </row>
    <row r="30" spans="1:3" x14ac:dyDescent="0.3">
      <c r="A30" s="202">
        <v>2</v>
      </c>
      <c r="B30" s="202" t="s">
        <v>249</v>
      </c>
      <c r="C30" s="208">
        <v>0.2</v>
      </c>
    </row>
    <row r="31" spans="1:3" x14ac:dyDescent="0.3">
      <c r="A31" s="202">
        <v>3</v>
      </c>
      <c r="B31" s="202" t="s">
        <v>250</v>
      </c>
      <c r="C31" s="208">
        <v>0.15</v>
      </c>
    </row>
    <row r="32" spans="1:3" x14ac:dyDescent="0.3">
      <c r="A32" s="202">
        <v>4</v>
      </c>
      <c r="B32" s="202" t="s">
        <v>251</v>
      </c>
      <c r="C32" s="208">
        <v>0.15</v>
      </c>
    </row>
    <row r="33" spans="1:3" ht="16.5" thickBot="1" x14ac:dyDescent="0.35">
      <c r="A33" s="209"/>
      <c r="B33" s="210"/>
      <c r="C33" s="211"/>
    </row>
  </sheetData>
  <mergeCells count="4">
    <mergeCell ref="B5:C5"/>
    <mergeCell ref="B14:C14"/>
    <mergeCell ref="B21:C21"/>
    <mergeCell ref="B28:C28"/>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5"/>
  <sheetViews>
    <sheetView topLeftCell="A16" zoomScale="75" zoomScaleNormal="75" workbookViewId="0">
      <selection activeCell="C31" sqref="C31"/>
    </sheetView>
  </sheetViews>
  <sheetFormatPr defaultRowHeight="15" x14ac:dyDescent="0.25"/>
  <cols>
    <col min="1" max="1" width="9.5703125" style="22" bestFit="1" customWidth="1"/>
    <col min="2" max="2" width="47.5703125" style="22" customWidth="1"/>
    <col min="3" max="3" width="28" style="22" customWidth="1"/>
    <col min="4" max="4" width="22.42578125" style="22" customWidth="1"/>
    <col min="5" max="5" width="18.85546875" style="22" customWidth="1"/>
    <col min="6" max="6" width="11.140625" bestFit="1" customWidth="1"/>
    <col min="7" max="7" width="16" bestFit="1" customWidth="1"/>
    <col min="11" max="11" width="12" bestFit="1" customWidth="1"/>
  </cols>
  <sheetData>
    <row r="1" spans="1:10" ht="15.75" x14ac:dyDescent="0.3">
      <c r="A1" s="23" t="s">
        <v>29</v>
      </c>
      <c r="B1" s="22" t="str">
        <f>'1. key ratios'!B1</f>
        <v>სს ტერაბანკი</v>
      </c>
    </row>
    <row r="2" spans="1:10" s="212" customFormat="1" ht="15.75" customHeight="1" x14ac:dyDescent="0.3">
      <c r="A2" s="212" t="s">
        <v>31</v>
      </c>
      <c r="B2" s="89">
        <f>'1. key ratios'!B2</f>
        <v>43921</v>
      </c>
    </row>
    <row r="3" spans="1:10" s="212" customFormat="1" ht="15.75" customHeight="1" x14ac:dyDescent="0.3"/>
    <row r="4" spans="1:10" s="212" customFormat="1" ht="15.75" customHeight="1" thickBot="1" x14ac:dyDescent="0.35">
      <c r="A4" s="213" t="s">
        <v>254</v>
      </c>
      <c r="B4" s="214" t="s">
        <v>18</v>
      </c>
      <c r="C4" s="215"/>
      <c r="D4" s="215"/>
      <c r="E4" s="215"/>
    </row>
    <row r="5" spans="1:10" s="220" customFormat="1" ht="17.45" customHeight="1" x14ac:dyDescent="0.25">
      <c r="A5" s="216"/>
      <c r="B5" s="217"/>
      <c r="C5" s="218" t="s">
        <v>255</v>
      </c>
      <c r="D5" s="218" t="s">
        <v>256</v>
      </c>
      <c r="E5" s="219" t="s">
        <v>257</v>
      </c>
    </row>
    <row r="6" spans="1:10" s="222" customFormat="1" ht="14.45" customHeight="1" x14ac:dyDescent="0.25">
      <c r="A6" s="221"/>
      <c r="B6" s="561" t="s">
        <v>258</v>
      </c>
      <c r="C6" s="561" t="s">
        <v>259</v>
      </c>
      <c r="D6" s="562" t="s">
        <v>260</v>
      </c>
      <c r="E6" s="563"/>
      <c r="G6"/>
    </row>
    <row r="7" spans="1:10" s="222" customFormat="1" ht="99.6" customHeight="1" x14ac:dyDescent="0.25">
      <c r="A7" s="221"/>
      <c r="B7" s="561"/>
      <c r="C7" s="561"/>
      <c r="D7" s="223" t="s">
        <v>261</v>
      </c>
      <c r="E7" s="224" t="s">
        <v>262</v>
      </c>
      <c r="G7"/>
    </row>
    <row r="8" spans="1:10" x14ac:dyDescent="0.25">
      <c r="A8" s="221"/>
      <c r="B8" s="225" t="s">
        <v>74</v>
      </c>
      <c r="C8" s="226">
        <f>'2. RC'!E7</f>
        <v>33238019.23</v>
      </c>
      <c r="D8" s="227"/>
      <c r="E8" s="228">
        <f>C8-D8</f>
        <v>33238019.23</v>
      </c>
      <c r="J8" s="229"/>
    </row>
    <row r="9" spans="1:10" x14ac:dyDescent="0.25">
      <c r="A9" s="221"/>
      <c r="B9" s="225" t="s">
        <v>75</v>
      </c>
      <c r="C9" s="226">
        <f>'2. RC'!E8</f>
        <v>143473929.59</v>
      </c>
      <c r="D9" s="227"/>
      <c r="E9" s="228">
        <f t="shared" ref="E9:E20" si="0">C9-D9</f>
        <v>143473929.59</v>
      </c>
      <c r="J9" s="229"/>
    </row>
    <row r="10" spans="1:10" x14ac:dyDescent="0.25">
      <c r="A10" s="221"/>
      <c r="B10" s="225" t="s">
        <v>263</v>
      </c>
      <c r="C10" s="226">
        <f>'2. RC'!E9</f>
        <v>28166369.110000003</v>
      </c>
      <c r="D10" s="227"/>
      <c r="E10" s="228">
        <f t="shared" si="0"/>
        <v>28166369.110000003</v>
      </c>
      <c r="J10" s="229"/>
    </row>
    <row r="11" spans="1:10" ht="25.5" x14ac:dyDescent="0.25">
      <c r="A11" s="221"/>
      <c r="B11" s="225" t="s">
        <v>77</v>
      </c>
      <c r="C11" s="226">
        <f>'2. RC'!E10</f>
        <v>0</v>
      </c>
      <c r="D11" s="227"/>
      <c r="E11" s="228">
        <f t="shared" si="0"/>
        <v>0</v>
      </c>
      <c r="J11" s="229"/>
    </row>
    <row r="12" spans="1:10" x14ac:dyDescent="0.25">
      <c r="A12" s="221"/>
      <c r="B12" s="225" t="s">
        <v>78</v>
      </c>
      <c r="C12" s="226">
        <f>'2. RC'!E11</f>
        <v>57434608.059999995</v>
      </c>
      <c r="D12" s="227"/>
      <c r="E12" s="228">
        <f t="shared" si="0"/>
        <v>57434608.059999995</v>
      </c>
      <c r="J12" s="229"/>
    </row>
    <row r="13" spans="1:10" x14ac:dyDescent="0.25">
      <c r="A13" s="221"/>
      <c r="B13" s="225" t="s">
        <v>79</v>
      </c>
      <c r="C13" s="226">
        <f>'2. RC'!E12</f>
        <v>818588173.00999844</v>
      </c>
      <c r="D13" s="227"/>
      <c r="E13" s="228">
        <f t="shared" si="0"/>
        <v>818588173.00999844</v>
      </c>
      <c r="F13" s="54"/>
      <c r="G13" s="48"/>
      <c r="J13" s="229"/>
    </row>
    <row r="14" spans="1:10" x14ac:dyDescent="0.25">
      <c r="A14" s="221"/>
      <c r="B14" s="230" t="s">
        <v>80</v>
      </c>
      <c r="C14" s="231">
        <f>'2. RC'!E13</f>
        <v>-65133218.680000514</v>
      </c>
      <c r="D14" s="227"/>
      <c r="E14" s="228">
        <f t="shared" si="0"/>
        <v>-65133218.680000514</v>
      </c>
      <c r="G14" s="48"/>
      <c r="J14" s="229"/>
    </row>
    <row r="15" spans="1:10" x14ac:dyDescent="0.25">
      <c r="A15" s="221"/>
      <c r="B15" s="225" t="s">
        <v>264</v>
      </c>
      <c r="C15" s="226">
        <f>'2. RC'!E14</f>
        <v>753454954.32999802</v>
      </c>
      <c r="D15" s="227"/>
      <c r="E15" s="228">
        <f t="shared" si="0"/>
        <v>753454954.32999802</v>
      </c>
      <c r="G15" s="48"/>
      <c r="J15" s="229"/>
    </row>
    <row r="16" spans="1:10" ht="25.5" x14ac:dyDescent="0.25">
      <c r="A16" s="221"/>
      <c r="B16" s="225" t="s">
        <v>82</v>
      </c>
      <c r="C16" s="226">
        <f>'2. RC'!E15</f>
        <v>7597163.8099999875</v>
      </c>
      <c r="D16" s="227"/>
      <c r="E16" s="228">
        <f t="shared" si="0"/>
        <v>7597163.8099999875</v>
      </c>
      <c r="G16" s="48"/>
      <c r="J16" s="229"/>
    </row>
    <row r="17" spans="1:11" x14ac:dyDescent="0.25">
      <c r="A17" s="221"/>
      <c r="B17" s="225" t="s">
        <v>83</v>
      </c>
      <c r="C17" s="226">
        <f>'2. RC'!E16</f>
        <v>2519122.6000000043</v>
      </c>
      <c r="D17" s="227"/>
      <c r="E17" s="228">
        <f t="shared" si="0"/>
        <v>2519122.6000000043</v>
      </c>
      <c r="F17" s="232"/>
      <c r="G17" s="48"/>
      <c r="J17" s="229"/>
      <c r="K17" s="233"/>
    </row>
    <row r="18" spans="1:11" x14ac:dyDescent="0.25">
      <c r="A18" s="221"/>
      <c r="B18" s="225" t="s">
        <v>84</v>
      </c>
      <c r="C18" s="226">
        <f>'2. RC'!E17</f>
        <v>0</v>
      </c>
      <c r="D18" s="227"/>
      <c r="E18" s="228">
        <f t="shared" si="0"/>
        <v>0</v>
      </c>
      <c r="G18" s="48"/>
      <c r="J18" s="229"/>
    </row>
    <row r="19" spans="1:11" ht="25.5" x14ac:dyDescent="0.25">
      <c r="A19" s="221"/>
      <c r="B19" s="225" t="s">
        <v>85</v>
      </c>
      <c r="C19" s="226">
        <f>'2. RC'!E18</f>
        <v>46292850.25</v>
      </c>
      <c r="D19" s="227">
        <f>'9. Capital'!C15</f>
        <v>22850337</v>
      </c>
      <c r="E19" s="228">
        <f t="shared" si="0"/>
        <v>23442513.25</v>
      </c>
      <c r="G19" s="48"/>
      <c r="J19" s="229"/>
    </row>
    <row r="20" spans="1:11" x14ac:dyDescent="0.25">
      <c r="A20" s="221"/>
      <c r="B20" s="225" t="s">
        <v>86</v>
      </c>
      <c r="C20" s="226">
        <f>'2. RC'!E19</f>
        <v>7847723.023000001</v>
      </c>
      <c r="D20" s="227"/>
      <c r="E20" s="228">
        <f t="shared" si="0"/>
        <v>7847723.023000001</v>
      </c>
      <c r="G20" s="48"/>
      <c r="J20" s="229"/>
    </row>
    <row r="21" spans="1:11" ht="51.75" thickBot="1" x14ac:dyDescent="0.3">
      <c r="A21" s="234"/>
      <c r="B21" s="235" t="s">
        <v>265</v>
      </c>
      <c r="C21" s="236">
        <f>SUM(C8:C12)+SUM(C15:C20)</f>
        <v>1080024740.0029979</v>
      </c>
      <c r="D21" s="236">
        <f>SUM(D8:D12)+SUM(D15:D20)</f>
        <v>22850337</v>
      </c>
      <c r="E21" s="237">
        <f>SUM(E8:E12)+SUM(E15:E20)</f>
        <v>1057174403.002998</v>
      </c>
      <c r="G21" s="48"/>
    </row>
    <row r="22" spans="1:11" x14ac:dyDescent="0.25">
      <c r="A22"/>
      <c r="C22"/>
      <c r="D22"/>
      <c r="E22" s="233"/>
      <c r="G22" s="48"/>
    </row>
    <row r="23" spans="1:11" s="22" customFormat="1" x14ac:dyDescent="0.25">
      <c r="B23" s="239"/>
      <c r="E23" s="240"/>
      <c r="F23"/>
      <c r="G23"/>
    </row>
    <row r="24" spans="1:11" s="22" customFormat="1" x14ac:dyDescent="0.25">
      <c r="B24" s="241"/>
      <c r="D24" s="114"/>
      <c r="E24" s="240"/>
      <c r="F24"/>
      <c r="G24"/>
    </row>
    <row r="25" spans="1:11" s="22" customFormat="1" x14ac:dyDescent="0.25">
      <c r="B25" s="239"/>
      <c r="D25" s="114"/>
      <c r="F25"/>
      <c r="G25"/>
    </row>
    <row r="26" spans="1:11" s="22" customFormat="1" x14ac:dyDescent="0.25">
      <c r="B26" s="239"/>
      <c r="F26"/>
      <c r="G26"/>
    </row>
    <row r="27" spans="1:11" s="22" customFormat="1" x14ac:dyDescent="0.25">
      <c r="B27" s="239"/>
      <c r="F27"/>
      <c r="G27"/>
    </row>
    <row r="28" spans="1:11" s="22" customFormat="1" x14ac:dyDescent="0.25">
      <c r="B28" s="239"/>
      <c r="F28"/>
      <c r="G28"/>
    </row>
    <row r="29" spans="1:11" s="22" customFormat="1" x14ac:dyDescent="0.25">
      <c r="B29" s="239"/>
      <c r="F29"/>
      <c r="G29"/>
    </row>
    <row r="30" spans="1:11" s="22" customFormat="1" x14ac:dyDescent="0.25">
      <c r="B30" s="241"/>
      <c r="F30"/>
      <c r="G30"/>
    </row>
    <row r="31" spans="1:11" s="22" customFormat="1" x14ac:dyDescent="0.25">
      <c r="B31" s="241"/>
      <c r="F31"/>
      <c r="G31"/>
    </row>
    <row r="32" spans="1:11" s="22" customFormat="1" x14ac:dyDescent="0.25">
      <c r="B32" s="241"/>
      <c r="F32"/>
      <c r="G32"/>
    </row>
    <row r="33" spans="2:7" s="22" customFormat="1" x14ac:dyDescent="0.25">
      <c r="B33" s="241"/>
      <c r="F33"/>
      <c r="G33"/>
    </row>
    <row r="34" spans="2:7" s="22" customFormat="1" x14ac:dyDescent="0.25">
      <c r="B34" s="241"/>
      <c r="F34"/>
      <c r="G34"/>
    </row>
    <row r="35" spans="2:7" s="22" customFormat="1" x14ac:dyDescent="0.25">
      <c r="B35" s="241"/>
      <c r="F35"/>
      <c r="G35"/>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1"/>
  <sheetViews>
    <sheetView zoomScaleNormal="100" workbookViewId="0">
      <pane xSplit="1" ySplit="4" topLeftCell="B13" activePane="bottomRight" state="frozen"/>
      <selection activeCell="C9" sqref="C9"/>
      <selection pane="topRight" activeCell="C9" sqref="C9"/>
      <selection pane="bottomLeft" activeCell="C9" sqref="C9"/>
      <selection pane="bottomRight" activeCell="C13" sqref="C13"/>
    </sheetView>
  </sheetViews>
  <sheetFormatPr defaultRowHeight="15" outlineLevelRow="1" x14ac:dyDescent="0.25"/>
  <cols>
    <col min="1" max="1" width="9.5703125" style="22" bestFit="1" customWidth="1"/>
    <col min="2" max="2" width="114.28515625" style="22" customWidth="1"/>
    <col min="3" max="3" width="18.85546875" style="242"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9" ht="15.75" x14ac:dyDescent="0.3">
      <c r="A1" s="23" t="s">
        <v>29</v>
      </c>
      <c r="B1" s="22" t="str">
        <f>'1. key ratios'!B1</f>
        <v>სს ტერაბანკი</v>
      </c>
    </row>
    <row r="2" spans="1:9" s="212" customFormat="1" ht="15.75" customHeight="1" x14ac:dyDescent="0.3">
      <c r="A2" s="212" t="s">
        <v>31</v>
      </c>
      <c r="B2" s="89">
        <f>'1. key ratios'!B2</f>
        <v>43921</v>
      </c>
      <c r="C2" s="242"/>
      <c r="D2"/>
      <c r="E2"/>
      <c r="F2"/>
    </row>
    <row r="3" spans="1:9" s="212" customFormat="1" ht="15.75" customHeight="1" x14ac:dyDescent="0.3">
      <c r="C3" s="242"/>
      <c r="D3"/>
      <c r="E3"/>
      <c r="F3"/>
    </row>
    <row r="4" spans="1:9" s="212" customFormat="1" ht="26.25" thickBot="1" x14ac:dyDescent="0.35">
      <c r="A4" s="212" t="s">
        <v>266</v>
      </c>
      <c r="B4" s="243" t="s">
        <v>19</v>
      </c>
      <c r="C4" s="244" t="s">
        <v>67</v>
      </c>
      <c r="D4"/>
      <c r="E4"/>
      <c r="F4"/>
    </row>
    <row r="5" spans="1:9" ht="26.25" x14ac:dyDescent="0.25">
      <c r="A5" s="245">
        <v>1</v>
      </c>
      <c r="B5" s="246" t="s">
        <v>267</v>
      </c>
      <c r="C5" s="247">
        <f>'7. LI1'!E21</f>
        <v>1057174403.002998</v>
      </c>
    </row>
    <row r="6" spans="1:9" s="15" customFormat="1" x14ac:dyDescent="0.25">
      <c r="A6" s="248">
        <v>2.1</v>
      </c>
      <c r="B6" s="249" t="s">
        <v>268</v>
      </c>
      <c r="C6" s="250">
        <v>64956985.92999994</v>
      </c>
      <c r="D6" s="251"/>
    </row>
    <row r="7" spans="1:9" s="256" customFormat="1" ht="25.5" outlineLevel="1" x14ac:dyDescent="0.25">
      <c r="A7" s="252">
        <v>2.2000000000000002</v>
      </c>
      <c r="B7" s="253" t="s">
        <v>269</v>
      </c>
      <c r="C7" s="254">
        <v>62704481.75</v>
      </c>
      <c r="D7" s="255"/>
    </row>
    <row r="8" spans="1:9" s="256" customFormat="1" ht="26.25" x14ac:dyDescent="0.25">
      <c r="A8" s="252">
        <v>3</v>
      </c>
      <c r="B8" s="257" t="s">
        <v>270</v>
      </c>
      <c r="C8" s="258">
        <f>SUM(C5:C7)</f>
        <v>1184835870.6829979</v>
      </c>
      <c r="D8" s="255"/>
    </row>
    <row r="9" spans="1:9" s="15" customFormat="1" x14ac:dyDescent="0.25">
      <c r="A9" s="248">
        <v>4</v>
      </c>
      <c r="B9" s="259" t="s">
        <v>271</v>
      </c>
      <c r="C9" s="260">
        <v>14758548.560000088</v>
      </c>
      <c r="D9" s="251"/>
    </row>
    <row r="10" spans="1:9" s="256" customFormat="1" ht="25.5" outlineLevel="1" x14ac:dyDescent="0.25">
      <c r="A10" s="252">
        <v>5.0999999999999996</v>
      </c>
      <c r="B10" s="253" t="s">
        <v>272</v>
      </c>
      <c r="C10" s="254">
        <v>-30850554.229999922</v>
      </c>
    </row>
    <row r="11" spans="1:9" s="256" customFormat="1" ht="25.5" outlineLevel="1" x14ac:dyDescent="0.25">
      <c r="A11" s="252">
        <v>5.2</v>
      </c>
      <c r="B11" s="253" t="s">
        <v>273</v>
      </c>
      <c r="C11" s="254">
        <f>-(C7-'15. CCR'!E21)</f>
        <v>-61450392.115000002</v>
      </c>
    </row>
    <row r="12" spans="1:9" s="256" customFormat="1" x14ac:dyDescent="0.25">
      <c r="A12" s="252">
        <v>6</v>
      </c>
      <c r="B12" s="261" t="s">
        <v>274</v>
      </c>
      <c r="C12" s="254">
        <v>25109902.789999999</v>
      </c>
    </row>
    <row r="13" spans="1:9" s="256" customFormat="1" ht="15.75" thickBot="1" x14ac:dyDescent="0.3">
      <c r="A13" s="262">
        <v>7</v>
      </c>
      <c r="B13" s="263" t="s">
        <v>275</v>
      </c>
      <c r="C13" s="264">
        <f>SUM(C8:C12)</f>
        <v>1132403375.6879981</v>
      </c>
      <c r="D13" s="255"/>
    </row>
    <row r="14" spans="1:9" x14ac:dyDescent="0.25">
      <c r="C14" s="265"/>
      <c r="D14" s="54"/>
      <c r="E14" s="54"/>
    </row>
    <row r="15" spans="1:9" ht="26.25" x14ac:dyDescent="0.25">
      <c r="B15" s="86" t="s">
        <v>276</v>
      </c>
      <c r="D15" s="233"/>
    </row>
    <row r="16" spans="1:9" s="22" customFormat="1" x14ac:dyDescent="0.25">
      <c r="B16" s="266"/>
      <c r="C16" s="242"/>
      <c r="D16"/>
      <c r="E16"/>
      <c r="F16"/>
      <c r="G16"/>
      <c r="H16"/>
      <c r="I16"/>
    </row>
    <row r="17" spans="2:9" s="22" customFormat="1" x14ac:dyDescent="0.25">
      <c r="B17" s="266"/>
      <c r="C17" s="242"/>
      <c r="D17"/>
      <c r="E17"/>
      <c r="F17"/>
      <c r="G17"/>
      <c r="H17"/>
      <c r="I17"/>
    </row>
    <row r="18" spans="2:9" s="22" customFormat="1" x14ac:dyDescent="0.25">
      <c r="B18" s="241"/>
      <c r="C18" s="267"/>
      <c r="D18" s="54"/>
      <c r="E18"/>
      <c r="F18"/>
      <c r="G18"/>
      <c r="H18"/>
      <c r="I18"/>
    </row>
    <row r="19" spans="2:9" s="22" customFormat="1" x14ac:dyDescent="0.25">
      <c r="B19" s="239"/>
      <c r="C19" s="242"/>
      <c r="D19"/>
      <c r="E19"/>
      <c r="F19"/>
      <c r="G19"/>
      <c r="H19"/>
      <c r="I19"/>
    </row>
    <row r="20" spans="2:9" s="22" customFormat="1" x14ac:dyDescent="0.25">
      <c r="B20" s="241"/>
      <c r="C20" s="268"/>
      <c r="D20"/>
      <c r="E20"/>
      <c r="F20"/>
      <c r="G20"/>
      <c r="H20"/>
      <c r="I20"/>
    </row>
    <row r="21" spans="2:9" s="22" customFormat="1" x14ac:dyDescent="0.25">
      <c r="B21" s="239"/>
      <c r="C21" s="268"/>
      <c r="D21"/>
      <c r="E21"/>
      <c r="F21"/>
      <c r="G21"/>
      <c r="H21"/>
      <c r="I21"/>
    </row>
    <row r="22" spans="2:9" s="22" customFormat="1" x14ac:dyDescent="0.25">
      <c r="B22" s="239"/>
      <c r="C22" s="242"/>
      <c r="D22"/>
      <c r="E22"/>
      <c r="F22"/>
      <c r="G22"/>
      <c r="H22"/>
      <c r="I22"/>
    </row>
    <row r="23" spans="2:9" s="22" customFormat="1" x14ac:dyDescent="0.25">
      <c r="B23" s="239"/>
      <c r="C23" s="242"/>
      <c r="D23"/>
      <c r="E23"/>
      <c r="F23"/>
      <c r="G23"/>
      <c r="H23"/>
      <c r="I23"/>
    </row>
    <row r="24" spans="2:9" s="22" customFormat="1" x14ac:dyDescent="0.25">
      <c r="B24" s="239"/>
      <c r="C24" s="242"/>
      <c r="D24"/>
      <c r="E24"/>
      <c r="F24"/>
      <c r="G24"/>
      <c r="H24"/>
      <c r="I24"/>
    </row>
    <row r="25" spans="2:9" s="22" customFormat="1" x14ac:dyDescent="0.25">
      <c r="B25" s="239"/>
      <c r="C25" s="242"/>
      <c r="D25"/>
      <c r="E25"/>
      <c r="F25"/>
      <c r="G25"/>
      <c r="H25"/>
      <c r="I25"/>
    </row>
    <row r="26" spans="2:9" s="22" customFormat="1" x14ac:dyDescent="0.25">
      <c r="B26" s="241"/>
      <c r="C26" s="242"/>
      <c r="D26"/>
      <c r="E26"/>
      <c r="F26"/>
      <c r="G26"/>
      <c r="H26"/>
      <c r="I26"/>
    </row>
    <row r="27" spans="2:9" s="22" customFormat="1" x14ac:dyDescent="0.25">
      <c r="B27" s="241"/>
      <c r="C27" s="242"/>
      <c r="D27"/>
      <c r="E27"/>
      <c r="F27"/>
      <c r="G27"/>
      <c r="H27"/>
      <c r="I27"/>
    </row>
    <row r="28" spans="2:9" s="22" customFormat="1" x14ac:dyDescent="0.25">
      <c r="B28" s="241"/>
      <c r="C28" s="242"/>
      <c r="D28"/>
      <c r="E28"/>
      <c r="F28"/>
      <c r="G28"/>
      <c r="H28"/>
      <c r="I28"/>
    </row>
    <row r="29" spans="2:9" s="22" customFormat="1" x14ac:dyDescent="0.25">
      <c r="B29" s="241"/>
      <c r="C29" s="242"/>
      <c r="D29"/>
      <c r="E29"/>
      <c r="F29"/>
      <c r="G29"/>
      <c r="H29"/>
      <c r="I29"/>
    </row>
    <row r="30" spans="2:9" s="22" customFormat="1" x14ac:dyDescent="0.25">
      <c r="B30" s="241"/>
      <c r="C30" s="242"/>
      <c r="D30"/>
      <c r="E30"/>
      <c r="F30"/>
      <c r="G30"/>
      <c r="H30"/>
      <c r="I30"/>
    </row>
    <row r="31" spans="2:9" s="22" customFormat="1" x14ac:dyDescent="0.25">
      <c r="B31" s="241"/>
      <c r="C31" s="242"/>
      <c r="D31"/>
      <c r="E31"/>
      <c r="F31"/>
      <c r="G31"/>
      <c r="H31"/>
      <c r="I31"/>
    </row>
  </sheetData>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Amaglobeli</dc:creator>
  <cp:lastModifiedBy>Elene Amaglobeli</cp:lastModifiedBy>
  <cp:lastPrinted>2020-04-30T09:14:08Z</cp:lastPrinted>
  <dcterms:created xsi:type="dcterms:W3CDTF">2020-04-30T09:00:23Z</dcterms:created>
  <dcterms:modified xsi:type="dcterms:W3CDTF">2020-04-30T09:18:02Z</dcterms:modified>
</cp:coreProperties>
</file>