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5.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3\FinanceDep\NBG\monthly reports\2019\09\Reports\"/>
    </mc:Choice>
  </mc:AlternateContent>
  <bookViews>
    <workbookView xWindow="0" yWindow="0" windowWidth="24000" windowHeight="960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[3]Validation!$C$8:$C$15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[3]Validation!$E$8:$E$9</definedName>
    <definedName name="Cities">[3]Sheet1!$C$1:$C$83</definedName>
    <definedName name="convert">[3]Validation!$F$8:$F$10</definedName>
    <definedName name="Countries">[3]Countries!$A$3:$A$259</definedName>
    <definedName name="currencies">'[3]Currency Codes'!$A$3:$A$166</definedName>
    <definedName name="CurrentDate">#REF!</definedName>
    <definedName name="Date" hidden="1">'[1]Appl (2)'!$B$2:$B$7200</definedName>
    <definedName name="date1">'[1]Appl (2)'!$C$2:$C$7200</definedName>
    <definedName name="dependency">[3]Validation!$B$8:$B$11</definedName>
    <definedName name="fintype">[3]Validation!$C$8:$C$12</definedName>
    <definedName name="L_FORMULAS_GEO">[4]ListSheet!$W$2:$W$15</definedName>
    <definedName name="LDtype">[3]Validation!$A$8:$A$13</definedName>
    <definedName name="NDtype">[3]Validation!$A$3:$A$4</definedName>
    <definedName name="Sheet">[5]Sheet2!$H$5:$H$31</definedName>
    <definedName name="sub">[3]Validation!$D$8:$D$9</definedName>
    <definedName name="საკრედიტო">[5]Sheet2!$B$6:$B$8</definedName>
    <definedName name="ფაილი">[5]Sheet2!$B$2:$B$3</definedName>
    <definedName name="ცვლილება_კორექტირება_რეგულაციაში">[5]Sheet2!$K$5:$K$9</definedName>
  </definedNames>
  <calcPr calcId="162913" calcMode="manual"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8" l="1"/>
  <c r="C26" i="18"/>
  <c r="C18" i="18"/>
  <c r="C8" i="18"/>
  <c r="C36" i="18" s="1"/>
  <c r="C38" i="18" s="1"/>
  <c r="B2" i="18"/>
  <c r="B1" i="18"/>
  <c r="E19" i="17"/>
  <c r="E18" i="17"/>
  <c r="E14" i="17" s="1"/>
  <c r="E17" i="17"/>
  <c r="E16" i="17"/>
  <c r="E15" i="17"/>
  <c r="C14" i="17"/>
  <c r="E12" i="17"/>
  <c r="E11" i="17"/>
  <c r="E10" i="17"/>
  <c r="E7" i="17" s="1"/>
  <c r="E9" i="17"/>
  <c r="E8" i="17"/>
  <c r="C7" i="17"/>
  <c r="C21" i="17" s="1"/>
  <c r="B2" i="17"/>
  <c r="B1" i="17"/>
  <c r="K23" i="16"/>
  <c r="J23" i="16"/>
  <c r="I23" i="16"/>
  <c r="H23" i="16"/>
  <c r="G23" i="16"/>
  <c r="F23" i="16"/>
  <c r="J21" i="16"/>
  <c r="I21" i="16"/>
  <c r="K21" i="16" s="1"/>
  <c r="H21" i="16"/>
  <c r="G21" i="16"/>
  <c r="F21" i="16"/>
  <c r="D21" i="16"/>
  <c r="E21" i="16" s="1"/>
  <c r="C21" i="16"/>
  <c r="K20" i="16"/>
  <c r="H20" i="16"/>
  <c r="E20" i="16"/>
  <c r="K19" i="16"/>
  <c r="H19" i="16"/>
  <c r="E19" i="16"/>
  <c r="K18" i="16"/>
  <c r="H18" i="16"/>
  <c r="E18" i="16"/>
  <c r="J16" i="16"/>
  <c r="J24" i="16" s="1"/>
  <c r="I16" i="16"/>
  <c r="I24" i="16" s="1"/>
  <c r="G16" i="16"/>
  <c r="G24" i="16" s="1"/>
  <c r="F16" i="16"/>
  <c r="F24" i="16" s="1"/>
  <c r="D16" i="16"/>
  <c r="C16" i="16"/>
  <c r="E16" i="16" s="1"/>
  <c r="K15" i="16"/>
  <c r="H15" i="16"/>
  <c r="E15" i="16"/>
  <c r="K14" i="16"/>
  <c r="H14" i="16"/>
  <c r="E14" i="16"/>
  <c r="K13" i="16"/>
  <c r="H13" i="16"/>
  <c r="E13" i="16"/>
  <c r="K12" i="16"/>
  <c r="H12" i="16"/>
  <c r="E12" i="16"/>
  <c r="K11" i="16"/>
  <c r="H11" i="16"/>
  <c r="E11" i="16"/>
  <c r="K10" i="16"/>
  <c r="H10" i="16"/>
  <c r="E10" i="16"/>
  <c r="E22" i="15"/>
  <c r="D22" i="15"/>
  <c r="C22" i="15"/>
  <c r="F18" i="15"/>
  <c r="F14" i="15"/>
  <c r="F10" i="15"/>
  <c r="B2" i="15"/>
  <c r="B1" i="15"/>
  <c r="U21" i="14"/>
  <c r="T21" i="14"/>
  <c r="S21" i="14"/>
  <c r="R21" i="14"/>
  <c r="Q21" i="14"/>
  <c r="P21" i="14"/>
  <c r="O21" i="14"/>
  <c r="N21" i="14"/>
  <c r="M21" i="14"/>
  <c r="L21" i="14"/>
  <c r="K21" i="14"/>
  <c r="J21" i="14"/>
  <c r="I21" i="14"/>
  <c r="H21" i="14"/>
  <c r="G21" i="14"/>
  <c r="F21" i="14"/>
  <c r="E21" i="14"/>
  <c r="D21" i="14"/>
  <c r="C21" i="14"/>
  <c r="V20" i="14"/>
  <c r="D20" i="14"/>
  <c r="V19" i="14"/>
  <c r="D19" i="14"/>
  <c r="V18" i="14"/>
  <c r="D18" i="14"/>
  <c r="V17" i="14"/>
  <c r="D17" i="14"/>
  <c r="V16" i="14"/>
  <c r="D16" i="14"/>
  <c r="V15" i="14"/>
  <c r="D15" i="14"/>
  <c r="D14" i="14"/>
  <c r="V14" i="14" s="1"/>
  <c r="V13" i="14"/>
  <c r="D13" i="14"/>
  <c r="D12" i="14"/>
  <c r="V12" i="14" s="1"/>
  <c r="V11" i="14"/>
  <c r="D11" i="14"/>
  <c r="D10" i="14"/>
  <c r="V10" i="14" s="1"/>
  <c r="V9" i="14"/>
  <c r="D9" i="14"/>
  <c r="D8" i="14"/>
  <c r="V8" i="14" s="1"/>
  <c r="V7" i="14"/>
  <c r="D7" i="14"/>
  <c r="B2" i="14"/>
  <c r="B1" i="14"/>
  <c r="R22" i="13"/>
  <c r="Q22" i="13"/>
  <c r="P22" i="13"/>
  <c r="O22" i="13"/>
  <c r="N22" i="13"/>
  <c r="M22" i="13"/>
  <c r="L22" i="13"/>
  <c r="K22" i="13"/>
  <c r="J22" i="13"/>
  <c r="I22" i="13"/>
  <c r="H22" i="13"/>
  <c r="G22" i="13"/>
  <c r="F22" i="13"/>
  <c r="E22" i="13"/>
  <c r="D22" i="13"/>
  <c r="C22" i="13"/>
  <c r="S21" i="13"/>
  <c r="G21" i="15" s="1"/>
  <c r="H21" i="15" s="1"/>
  <c r="S20" i="13"/>
  <c r="G20" i="15" s="1"/>
  <c r="H20" i="15" s="1"/>
  <c r="S19" i="13"/>
  <c r="F19" i="15" s="1"/>
  <c r="S18" i="13"/>
  <c r="G18" i="15" s="1"/>
  <c r="H18" i="15" s="1"/>
  <c r="S17" i="13"/>
  <c r="G17" i="15" s="1"/>
  <c r="H17" i="15" s="1"/>
  <c r="S16" i="13"/>
  <c r="G16" i="15" s="1"/>
  <c r="H16" i="15" s="1"/>
  <c r="S15" i="13"/>
  <c r="F15" i="15" s="1"/>
  <c r="S14" i="13"/>
  <c r="G14" i="15" s="1"/>
  <c r="H14" i="15" s="1"/>
  <c r="S13" i="13"/>
  <c r="G13" i="15" s="1"/>
  <c r="H13" i="15" s="1"/>
  <c r="S12" i="13"/>
  <c r="G12" i="15" s="1"/>
  <c r="H12" i="15" s="1"/>
  <c r="S11" i="13"/>
  <c r="F11" i="15" s="1"/>
  <c r="S10" i="13"/>
  <c r="G10" i="15" s="1"/>
  <c r="H10" i="15" s="1"/>
  <c r="S9" i="13"/>
  <c r="S8" i="13"/>
  <c r="G8" i="15" s="1"/>
  <c r="B2" i="13"/>
  <c r="B1" i="13"/>
  <c r="C42" i="12"/>
  <c r="C38" i="12"/>
  <c r="C32" i="12"/>
  <c r="C28" i="12"/>
  <c r="C22" i="12"/>
  <c r="C17" i="12"/>
  <c r="C12" i="12"/>
  <c r="C8" i="12"/>
  <c r="B2" i="12"/>
  <c r="B1" i="12"/>
  <c r="C21" i="11"/>
  <c r="C20" i="11"/>
  <c r="B16" i="2" s="1"/>
  <c r="C19" i="11"/>
  <c r="B2" i="11"/>
  <c r="B1" i="11"/>
  <c r="C47" i="10"/>
  <c r="C43" i="10"/>
  <c r="C52" i="10" s="1"/>
  <c r="C35" i="10"/>
  <c r="C31" i="10"/>
  <c r="C30" i="10"/>
  <c r="C41" i="10" s="1"/>
  <c r="C12" i="10"/>
  <c r="C6" i="10"/>
  <c r="C28" i="10" s="1"/>
  <c r="B2" i="10"/>
  <c r="B1" i="10"/>
  <c r="B2" i="9"/>
  <c r="B1" i="9"/>
  <c r="D19" i="8"/>
  <c r="D21" i="8" s="1"/>
  <c r="B2" i="8"/>
  <c r="B1" i="8"/>
  <c r="B2" i="7"/>
  <c r="B1" i="7"/>
  <c r="D13" i="6"/>
  <c r="D6" i="6"/>
  <c r="C6" i="6"/>
  <c r="C13" i="6" s="1"/>
  <c r="B2" i="6"/>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E33" i="5"/>
  <c r="H32" i="5"/>
  <c r="D32" i="5"/>
  <c r="C32" i="5"/>
  <c r="E32" i="5" s="1"/>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D14" i="5"/>
  <c r="C14" i="5"/>
  <c r="E14" i="5" s="1"/>
  <c r="H13" i="5"/>
  <c r="E13" i="5"/>
  <c r="H12" i="5"/>
  <c r="E12" i="5"/>
  <c r="H11" i="5"/>
  <c r="E11" i="5"/>
  <c r="H10" i="5"/>
  <c r="E10" i="5"/>
  <c r="H9" i="5"/>
  <c r="E9" i="5"/>
  <c r="H8" i="5"/>
  <c r="E8" i="5"/>
  <c r="H7" i="5"/>
  <c r="D7" i="5"/>
  <c r="C7" i="5"/>
  <c r="E7" i="5" s="1"/>
  <c r="B2" i="5"/>
  <c r="B1" i="5"/>
  <c r="H66" i="4"/>
  <c r="E66" i="4"/>
  <c r="H64" i="4"/>
  <c r="E64" i="4"/>
  <c r="H61" i="4"/>
  <c r="F61" i="4"/>
  <c r="C61" i="4"/>
  <c r="E61" i="4" s="1"/>
  <c r="H60" i="4"/>
  <c r="E60" i="4"/>
  <c r="H59" i="4"/>
  <c r="E59" i="4"/>
  <c r="H58" i="4"/>
  <c r="E58" i="4"/>
  <c r="G53" i="4"/>
  <c r="F53" i="4"/>
  <c r="H53" i="4" s="1"/>
  <c r="D53" i="4"/>
  <c r="C53" i="4"/>
  <c r="E53" i="4" s="1"/>
  <c r="H52" i="4"/>
  <c r="E52" i="4"/>
  <c r="H51" i="4"/>
  <c r="E51" i="4"/>
  <c r="H50" i="4"/>
  <c r="E50" i="4"/>
  <c r="H49" i="4"/>
  <c r="E49" i="4"/>
  <c r="H48" i="4"/>
  <c r="E48" i="4"/>
  <c r="H47" i="4"/>
  <c r="E47" i="4"/>
  <c r="D45" i="4"/>
  <c r="D54" i="4" s="1"/>
  <c r="H44" i="4"/>
  <c r="E44" i="4"/>
  <c r="H43" i="4"/>
  <c r="E43" i="4"/>
  <c r="H42" i="4"/>
  <c r="E42" i="4"/>
  <c r="H41" i="4"/>
  <c r="E41" i="4"/>
  <c r="H40" i="4"/>
  <c r="E40" i="4"/>
  <c r="H39" i="4"/>
  <c r="E39" i="4"/>
  <c r="H38" i="4"/>
  <c r="E38" i="4"/>
  <c r="H37" i="4"/>
  <c r="E37" i="4"/>
  <c r="H36" i="4"/>
  <c r="E36" i="4"/>
  <c r="H35" i="4"/>
  <c r="E35" i="4"/>
  <c r="G34" i="4"/>
  <c r="G45" i="4" s="1"/>
  <c r="G54" i="4" s="1"/>
  <c r="F34" i="4"/>
  <c r="F45" i="4" s="1"/>
  <c r="D34" i="4"/>
  <c r="C34" i="4"/>
  <c r="C45" i="4" s="1"/>
  <c r="G30" i="4"/>
  <c r="F30" i="4"/>
  <c r="H30" i="4" s="1"/>
  <c r="D30" i="4"/>
  <c r="C30" i="4"/>
  <c r="E30" i="4" s="1"/>
  <c r="H29" i="4"/>
  <c r="E29" i="4"/>
  <c r="H28" i="4"/>
  <c r="E28" i="4"/>
  <c r="H27" i="4"/>
  <c r="E27" i="4"/>
  <c r="H26" i="4"/>
  <c r="E26" i="4"/>
  <c r="H25" i="4"/>
  <c r="E25" i="4"/>
  <c r="H24" i="4"/>
  <c r="E24" i="4"/>
  <c r="D22" i="4"/>
  <c r="D31" i="4" s="1"/>
  <c r="D56" i="4" s="1"/>
  <c r="D63" i="4" s="1"/>
  <c r="D65" i="4" s="1"/>
  <c r="D67" i="4" s="1"/>
  <c r="H21" i="4"/>
  <c r="E21" i="4"/>
  <c r="H20" i="4"/>
  <c r="E20" i="4"/>
  <c r="H19" i="4"/>
  <c r="E19" i="4"/>
  <c r="H18" i="4"/>
  <c r="E18" i="4"/>
  <c r="H17" i="4"/>
  <c r="E17" i="4"/>
  <c r="H16" i="4"/>
  <c r="E16" i="4"/>
  <c r="H15" i="4"/>
  <c r="E15" i="4"/>
  <c r="H14" i="4"/>
  <c r="E14" i="4"/>
  <c r="H13" i="4"/>
  <c r="E13" i="4"/>
  <c r="H12" i="4"/>
  <c r="E12" i="4"/>
  <c r="H11" i="4"/>
  <c r="E11" i="4"/>
  <c r="H10" i="4"/>
  <c r="E10" i="4"/>
  <c r="G9" i="4"/>
  <c r="G22" i="4" s="1"/>
  <c r="G31" i="4" s="1"/>
  <c r="F9" i="4"/>
  <c r="F22" i="4" s="1"/>
  <c r="D9" i="4"/>
  <c r="C9" i="4"/>
  <c r="C22" i="4" s="1"/>
  <c r="H8" i="4"/>
  <c r="E8" i="4"/>
  <c r="B2" i="4"/>
  <c r="B1" i="4"/>
  <c r="F41" i="3"/>
  <c r="H40" i="3"/>
  <c r="E40" i="3"/>
  <c r="H39" i="3"/>
  <c r="E39" i="3"/>
  <c r="C43" i="12" s="1"/>
  <c r="H38" i="3"/>
  <c r="E38" i="3"/>
  <c r="H37" i="3"/>
  <c r="E37" i="3"/>
  <c r="C41" i="12" s="1"/>
  <c r="H36" i="3"/>
  <c r="E36" i="3"/>
  <c r="C40" i="12" s="1"/>
  <c r="H35" i="3"/>
  <c r="E35" i="3"/>
  <c r="C39" i="12" s="1"/>
  <c r="H34" i="3"/>
  <c r="E34" i="3"/>
  <c r="H33" i="3"/>
  <c r="E33" i="3"/>
  <c r="C37" i="12" s="1"/>
  <c r="H31" i="3"/>
  <c r="G31" i="3"/>
  <c r="G41" i="3" s="1"/>
  <c r="F31" i="3"/>
  <c r="D31" i="3"/>
  <c r="D41" i="3" s="1"/>
  <c r="C31" i="3"/>
  <c r="C41" i="3" s="1"/>
  <c r="E41" i="3" s="1"/>
  <c r="H30" i="3"/>
  <c r="E30" i="3"/>
  <c r="C34" i="12" s="1"/>
  <c r="H29" i="3"/>
  <c r="E29" i="3"/>
  <c r="H28" i="3"/>
  <c r="E28" i="3"/>
  <c r="C31" i="12" s="1"/>
  <c r="H27" i="3"/>
  <c r="E27" i="3"/>
  <c r="C30" i="12" s="1"/>
  <c r="H26" i="3"/>
  <c r="E26" i="3"/>
  <c r="C29" i="12" s="1"/>
  <c r="H25" i="3"/>
  <c r="E25" i="3"/>
  <c r="H24" i="3"/>
  <c r="E24" i="3"/>
  <c r="C27" i="12" s="1"/>
  <c r="H23" i="3"/>
  <c r="E23" i="3"/>
  <c r="C26" i="12" s="1"/>
  <c r="H22" i="3"/>
  <c r="E22" i="3"/>
  <c r="C25" i="12" s="1"/>
  <c r="H19" i="3"/>
  <c r="E19" i="3"/>
  <c r="C23" i="12" s="1"/>
  <c r="H18" i="3"/>
  <c r="E18" i="3"/>
  <c r="C19" i="8" s="1"/>
  <c r="E19" i="8" s="1"/>
  <c r="H17" i="3"/>
  <c r="E17" i="3"/>
  <c r="C18" i="8" s="1"/>
  <c r="E18" i="8" s="1"/>
  <c r="H16" i="3"/>
  <c r="E16" i="3"/>
  <c r="C16" i="12" s="1"/>
  <c r="H15" i="3"/>
  <c r="E15" i="3"/>
  <c r="C15" i="12" s="1"/>
  <c r="H14" i="3"/>
  <c r="G14" i="3"/>
  <c r="G20" i="3" s="1"/>
  <c r="F14" i="3"/>
  <c r="F20" i="3" s="1"/>
  <c r="D14" i="3"/>
  <c r="D20" i="3" s="1"/>
  <c r="C14" i="3"/>
  <c r="C20" i="3" s="1"/>
  <c r="H13" i="3"/>
  <c r="E13" i="3"/>
  <c r="C14" i="8" s="1"/>
  <c r="E14" i="8" s="1"/>
  <c r="H12" i="3"/>
  <c r="E12" i="3"/>
  <c r="C11" i="12" s="1"/>
  <c r="C14" i="12" s="1"/>
  <c r="H11" i="3"/>
  <c r="E11" i="3"/>
  <c r="C10" i="12" s="1"/>
  <c r="H10" i="3"/>
  <c r="E10" i="3"/>
  <c r="C11" i="8" s="1"/>
  <c r="E11" i="8" s="1"/>
  <c r="H9" i="3"/>
  <c r="E9" i="3"/>
  <c r="C10" i="8" s="1"/>
  <c r="E10" i="8" s="1"/>
  <c r="H8" i="3"/>
  <c r="E8" i="3"/>
  <c r="C7" i="12" s="1"/>
  <c r="H7" i="3"/>
  <c r="E7" i="3"/>
  <c r="C6" i="12" s="1"/>
  <c r="B2" i="3"/>
  <c r="B1" i="3"/>
  <c r="C36" i="2"/>
  <c r="C28" i="2"/>
  <c r="C27" i="2"/>
  <c r="C17" i="2"/>
  <c r="B17" i="2"/>
  <c r="C16" i="2"/>
  <c r="C15" i="2"/>
  <c r="B15" i="2"/>
  <c r="C5" i="2"/>
  <c r="C5" i="6" s="1"/>
  <c r="F31" i="4" l="1"/>
  <c r="H22" i="4"/>
  <c r="H20" i="3"/>
  <c r="C44" i="12"/>
  <c r="H41" i="3"/>
  <c r="G56" i="4"/>
  <c r="G63" i="4" s="1"/>
  <c r="G65" i="4" s="1"/>
  <c r="G67" i="4" s="1"/>
  <c r="H45" i="4"/>
  <c r="F54" i="4"/>
  <c r="H54" i="4" s="1"/>
  <c r="D21" i="11"/>
  <c r="I25" i="16"/>
  <c r="E21" i="17"/>
  <c r="C11" i="9" s="1"/>
  <c r="C36" i="12"/>
  <c r="C31" i="4"/>
  <c r="E22" i="4"/>
  <c r="D15" i="11"/>
  <c r="D9" i="11"/>
  <c r="D11" i="11"/>
  <c r="D13" i="11"/>
  <c r="D8" i="11"/>
  <c r="D16" i="11"/>
  <c r="D17" i="11"/>
  <c r="D12" i="11"/>
  <c r="D7" i="11"/>
  <c r="H8" i="15"/>
  <c r="F25" i="16"/>
  <c r="J25" i="16"/>
  <c r="E20" i="3"/>
  <c r="C34" i="2" s="1"/>
  <c r="C54" i="4"/>
  <c r="E54" i="4" s="1"/>
  <c r="E45" i="4"/>
  <c r="D19" i="11"/>
  <c r="G9" i="15"/>
  <c r="H9" i="15" s="1"/>
  <c r="V21" i="14"/>
  <c r="G25" i="16"/>
  <c r="E14" i="3"/>
  <c r="C15" i="8" s="1"/>
  <c r="E15" i="8" s="1"/>
  <c r="E31" i="3"/>
  <c r="C8" i="8"/>
  <c r="C12" i="8"/>
  <c r="E12" i="8" s="1"/>
  <c r="C16" i="8"/>
  <c r="E16" i="8" s="1"/>
  <c r="D20" i="11"/>
  <c r="C9" i="12"/>
  <c r="C24" i="12" s="1"/>
  <c r="C21" i="12"/>
  <c r="F9" i="15"/>
  <c r="F13" i="15"/>
  <c r="F17" i="15"/>
  <c r="F21" i="15"/>
  <c r="K16" i="16"/>
  <c r="K24" i="16" s="1"/>
  <c r="K25" i="16" s="1"/>
  <c r="G11" i="15"/>
  <c r="H11" i="15" s="1"/>
  <c r="G15" i="15"/>
  <c r="H15" i="15" s="1"/>
  <c r="G19" i="15"/>
  <c r="H19" i="15" s="1"/>
  <c r="C33" i="2"/>
  <c r="H9" i="4"/>
  <c r="H34" i="4"/>
  <c r="C20" i="8"/>
  <c r="E20" i="8" s="1"/>
  <c r="F8" i="15"/>
  <c r="F22" i="15" s="1"/>
  <c r="F12" i="15"/>
  <c r="F16" i="15"/>
  <c r="F20" i="15"/>
  <c r="H16" i="16"/>
  <c r="H24" i="16" s="1"/>
  <c r="C37" i="2" s="1"/>
  <c r="C38" i="2" s="1"/>
  <c r="D5" i="2"/>
  <c r="E9" i="4"/>
  <c r="E34" i="4"/>
  <c r="C9" i="8"/>
  <c r="E9" i="8" s="1"/>
  <c r="C13" i="8"/>
  <c r="E13" i="8" s="1"/>
  <c r="C17" i="8"/>
  <c r="E17" i="8" s="1"/>
  <c r="S22" i="13"/>
  <c r="H25" i="16" l="1"/>
  <c r="E8" i="8"/>
  <c r="E21" i="8" s="1"/>
  <c r="C5" i="9" s="1"/>
  <c r="C8" i="9" s="1"/>
  <c r="C13" i="9" s="1"/>
  <c r="C21" i="8"/>
  <c r="E5" i="2"/>
  <c r="F5" i="2" s="1"/>
  <c r="G5" i="2" s="1"/>
  <c r="D5" i="6"/>
  <c r="H31" i="4"/>
  <c r="F56" i="4"/>
  <c r="G22" i="15"/>
  <c r="C56" i="4"/>
  <c r="E31" i="4"/>
  <c r="C29" i="2"/>
  <c r="H56" i="4" l="1"/>
  <c r="F63" i="4"/>
  <c r="E56" i="4"/>
  <c r="C63" i="4"/>
  <c r="H22" i="15"/>
  <c r="H63" i="4" l="1"/>
  <c r="F65" i="4"/>
  <c r="E63" i="4"/>
  <c r="C65" i="4"/>
  <c r="E65" i="4" l="1"/>
  <c r="C67" i="4"/>
  <c r="E67" i="4" s="1"/>
  <c r="H65" i="4"/>
  <c r="F67" i="4"/>
  <c r="H67" i="4" s="1"/>
</calcChain>
</file>

<file path=xl/sharedStrings.xml><?xml version="1.0" encoding="utf-8"?>
<sst xmlns="http://schemas.openxmlformats.org/spreadsheetml/2006/main" count="729" uniqueCount="503">
  <si>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</si>
  <si>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</si>
  <si>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</si>
  <si>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</si>
  <si>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</si>
  <si>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</si>
  <si>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</si>
  <si>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</si>
  <si>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</si>
  <si>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</si>
  <si>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</si>
  <si>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</si>
  <si>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</si>
  <si>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</si>
  <si>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</si>
  <si>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</si>
  <si>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</si>
  <si>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</si>
  <si>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</si>
  <si>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</si>
  <si>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</si>
  <si>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</si>
  <si>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</si>
  <si>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</si>
  <si>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</si>
  <si>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</si>
  <si>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</si>
  <si>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</si>
  <si>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</si>
  <si>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</si>
  <si>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</si>
  <si>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</si>
  <si>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</si>
  <si>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</si>
  <si>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</si>
  <si>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</si>
  <si>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</si>
  <si>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</si>
  <si>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</si>
  <si>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</si>
  <si>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</si>
  <si>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</si>
  <si>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</si>
  <si>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</si>
  <si>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</si>
  <si>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</si>
  <si>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</si>
  <si>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</si>
  <si>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</si>
  <si>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</si>
  <si>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</si>
  <si>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</si>
  <si>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</si>
  <si>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</si>
  <si>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</si>
  <si>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</si>
  <si>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</si>
  <si>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</si>
  <si>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</si>
  <si>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</si>
  <si>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</si>
  <si>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</si>
  <si>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</si>
  <si>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</si>
  <si>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</si>
  <si>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</si>
  <si>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</si>
  <si>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</si>
  <si>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</si>
  <si>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</si>
  <si>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</si>
  <si>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</si>
  <si>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</si>
  <si>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</si>
  <si>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</si>
  <si>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</si>
  <si>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</si>
  <si>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</si>
  <si>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</si>
  <si>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</si>
  <si>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</si>
  <si>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</si>
  <si>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</si>
  <si>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</si>
  <si>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</si>
  <si>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</si>
  <si>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</si>
  <si>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</si>
  <si>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</si>
  <si>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</si>
  <si>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</si>
  <si>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</si>
  <si>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</si>
  <si>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</si>
  <si>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</si>
  <si>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</si>
  <si>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</si>
  <si>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</si>
  <si>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</si>
  <si>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</si>
  <si>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</si>
  <si>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</si>
  <si>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</si>
  <si>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</si>
  <si>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</si>
  <si>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</si>
  <si>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</si>
  <si>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</si>
  <si>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</si>
  <si>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</si>
  <si>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</si>
  <si>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</si>
  <si>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</si>
  <si>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</si>
  <si>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</si>
  <si>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</si>
  <si>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</si>
  <si>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</si>
  <si>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</si>
  <si>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</si>
  <si>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</si>
  <si>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</si>
  <si>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</si>
  <si>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</si>
  <si>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</si>
  <si>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</si>
  <si>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</si>
  <si>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</si>
  <si>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</si>
  <si>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</si>
  <si>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</si>
  <si>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</si>
  <si>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</si>
  <si>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</si>
  <si>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</si>
  <si>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</si>
  <si>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</si>
  <si>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</si>
  <si>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</si>
  <si>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</si>
  <si>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</si>
  <si>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</si>
  <si>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</si>
  <si>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</si>
  <si>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</si>
  <si>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</si>
  <si>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</si>
  <si>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</si>
  <si>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</si>
  <si>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</si>
  <si>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</si>
  <si>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</si>
  <si>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</si>
  <si>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</si>
  <si>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</si>
  <si>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</si>
  <si>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</si>
  <si>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</si>
  <si>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</si>
  <si>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</si>
  <si>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</si>
  <si>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</si>
  <si>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</si>
  <si>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</si>
  <si>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</si>
  <si>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</si>
  <si>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</si>
  <si>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</si>
  <si>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</si>
  <si>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</si>
  <si>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</si>
  <si>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</si>
  <si>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</si>
  <si>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</si>
  <si>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</si>
  <si>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</si>
  <si>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</si>
  <si>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</si>
  <si>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</si>
  <si>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</si>
  <si>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</si>
  <si>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</si>
  <si>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</si>
  <si>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</si>
  <si>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</si>
  <si>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</si>
  <si>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</si>
  <si>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</si>
  <si>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</si>
  <si>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</si>
  <si>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</si>
  <si>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</si>
  <si>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</si>
  <si>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</si>
  <si>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</si>
  <si>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</si>
  <si>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</si>
  <si>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</si>
  <si>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</si>
  <si>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</si>
  <si>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</si>
  <si>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</si>
  <si>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</si>
  <si>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</si>
  <si>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</si>
  <si>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</si>
  <si>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</si>
  <si>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</si>
  <si>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</si>
  <si>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</si>
  <si>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</si>
  <si>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</si>
  <si>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</si>
  <si>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</si>
  <si>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</si>
  <si>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</si>
  <si>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</si>
  <si>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</si>
  <si>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</si>
  <si>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</si>
  <si>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</si>
  <si>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</si>
  <si>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</si>
  <si>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</si>
  <si>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</si>
  <si>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</si>
  <si>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</si>
  <si>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</si>
  <si>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</si>
  <si>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</si>
  <si>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</si>
  <si>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</si>
  <si>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</si>
  <si>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</si>
  <si>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</si>
  <si>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</si>
  <si>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</si>
  <si>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</si>
  <si>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ადელ საფვატ გუირგუის რუფაეილ (მრჩეველი)</t>
  </si>
  <si>
    <t>დირექტორთა საბჭოს შემადგენლობა</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</si>
  <si>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</si>
  <si>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</si>
  <si>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</si>
  <si>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</si>
  <si>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ზურაბ აზარაშვილი (კომერციული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</si>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</sst>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sz val="10"/>
      <name val="SPKolheti"/>
      <family val="1"/>
    </font>
    <font>
      <sz val="9"/>
      <color theme="1"/>
      <name val="Calibri"/>
      <family val="2"/>
      <scheme val="minor"/>
    </font>
    <font>
      <b/>
      <sz val="13"/>
      <color indexed="56"/>
      <name val="Calibri"/>
      <family val="2"/>
    </font>
    <font>
      <b/>
      <sz val="11"/>
      <name val="Arial"/>
      <family val="2"/>
    </font>
    <font>
      <b/>
      <sz val="14"/>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38" fillId="0" borderId="72"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589">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10" fillId="0" borderId="0" xfId="4" applyAlignment="1" applyProtection="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165" fontId="8" fillId="0" borderId="11" xfId="0" applyNumberFormat="1" applyFont="1" applyFill="1" applyBorder="1" applyAlignment="1" applyProtection="1">
      <alignment vertical="center"/>
    </xf>
    <xf numFmtId="0" fontId="8" fillId="0" borderId="1" xfId="0" applyFont="1" applyFill="1" applyBorder="1" applyAlignment="1">
      <alignment vertical="center"/>
    </xf>
    <xf numFmtId="165" fontId="18" fillId="0" borderId="1" xfId="0" applyNumberFormat="1" applyFont="1" applyFill="1" applyBorder="1" applyAlignment="1" applyProtection="1">
      <alignment vertical="center"/>
    </xf>
    <xf numFmtId="165" fontId="18" fillId="0" borderId="1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0" borderId="13" xfId="0" applyNumberFormat="1" applyFont="1" applyFill="1" applyBorder="1" applyAlignment="1" applyProtection="1">
      <alignment vertical="center"/>
      <protection locked="0"/>
    </xf>
    <xf numFmtId="10" fontId="8" fillId="0" borderId="13" xfId="2" applyNumberFormat="1" applyFont="1" applyFill="1" applyBorder="1" applyAlignment="1" applyProtection="1">
      <alignment vertical="center"/>
    </xf>
    <xf numFmtId="10" fontId="8" fillId="0" borderId="14" xfId="2" applyNumberFormat="1" applyFont="1" applyFill="1" applyBorder="1" applyAlignment="1" applyProtection="1">
      <alignment vertical="center"/>
    </xf>
    <xf numFmtId="0" fontId="8" fillId="0" borderId="0" xfId="0" applyFont="1" applyAlignment="1">
      <alignment horizontal="right"/>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8" fillId="0" borderId="9" xfId="0" applyFont="1" applyFill="1" applyBorder="1" applyAlignment="1" applyProtection="1">
      <alignment horizontal="left" indent="1"/>
    </xf>
    <xf numFmtId="0" fontId="13"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3"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xf>
    <xf numFmtId="166" fontId="24" fillId="0" borderId="1" xfId="1" applyNumberFormat="1" applyFont="1" applyFill="1" applyBorder="1" applyAlignment="1" applyProtection="1">
      <alignment horizontal="right"/>
    </xf>
    <xf numFmtId="166" fontId="22" fillId="5" borderId="1" xfId="1" applyNumberFormat="1" applyFont="1" applyFill="1" applyBorder="1" applyAlignment="1" applyProtection="1">
      <alignment horizontal="right"/>
    </xf>
    <xf numFmtId="0" fontId="22" fillId="0" borderId="1" xfId="0" applyFont="1" applyFill="1" applyBorder="1" applyAlignment="1">
      <alignment horizontal="left" wrapText="1" indent="2"/>
    </xf>
    <xf numFmtId="0" fontId="25" fillId="0" borderId="0" xfId="0" applyFont="1"/>
    <xf numFmtId="0" fontId="23" fillId="0" borderId="1" xfId="0" applyFont="1" applyFill="1" applyBorder="1" applyAlignme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pplyProtection="1">
      <alignment horizontal="center"/>
    </xf>
    <xf numFmtId="166" fontId="23" fillId="0" borderId="11" xfId="1" applyNumberFormat="1" applyFont="1" applyFill="1" applyBorder="1" applyAlignment="1" applyProtection="1">
      <alignment horizontal="center"/>
    </xf>
    <xf numFmtId="0" fontId="22" fillId="0" borderId="1" xfId="0" applyFont="1" applyFill="1" applyBorder="1" applyAlignment="1">
      <alignment horizontal="left" indent="1"/>
    </xf>
    <xf numFmtId="166" fontId="22" fillId="0" borderId="11" xfId="1" applyNumberFormat="1" applyFont="1" applyFill="1" applyBorder="1" applyAlignment="1" applyProtection="1">
      <alignment horizontal="right"/>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15" fillId="0" borderId="21" xfId="0" applyFont="1" applyBorder="1" applyAlignment="1">
      <alignment horizontal="center" vertical="center"/>
    </xf>
    <xf numFmtId="0" fontId="13" fillId="0" borderId="22"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5" fillId="0" borderId="23" xfId="0" applyFont="1" applyBorder="1" applyAlignment="1">
      <alignment horizontal="center" vertical="center"/>
    </xf>
    <xf numFmtId="0" fontId="13" fillId="0" borderId="24" xfId="0" applyFont="1" applyFill="1" applyBorder="1" applyAlignment="1">
      <alignment horizontal="center" vertic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6"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166" fontId="0" fillId="0" borderId="0" xfId="1" applyNumberFormat="1" applyFont="1"/>
    <xf numFmtId="0" fontId="25"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3" fillId="0" borderId="6" xfId="0" applyFont="1" applyBorder="1" applyAlignment="1">
      <alignment vertical="center" wrapText="1"/>
    </xf>
    <xf numFmtId="0" fontId="15" fillId="0" borderId="7" xfId="0" applyFont="1" applyBorder="1" applyAlignment="1">
      <alignment vertical="center" wrapText="1"/>
    </xf>
    <xf numFmtId="14" fontId="28" fillId="0" borderId="7"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3" fontId="29" fillId="0" borderId="1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3" fontId="29" fillId="0" borderId="11" xfId="0" applyNumberFormat="1" applyFont="1" applyFill="1" applyBorder="1" applyAlignment="1">
      <alignment vertical="center" wrapText="1"/>
    </xf>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3" fontId="29" fillId="5" borderId="14"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6" fillId="0" borderId="0" xfId="0" applyFont="1"/>
    <xf numFmtId="14" fontId="6"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13" fillId="0" borderId="15" xfId="0" applyFont="1" applyBorder="1" applyAlignment="1">
      <alignment horizontal="center" wrapText="1"/>
    </xf>
    <xf numFmtId="0" fontId="8" fillId="0" borderId="18" xfId="0" applyFont="1" applyBorder="1" applyAlignment="1">
      <alignment horizontal="center"/>
    </xf>
    <xf numFmtId="0" fontId="8" fillId="0" borderId="19" xfId="0" applyFont="1" applyBorder="1" applyAlignment="1">
      <alignment wrapText="1"/>
    </xf>
    <xf numFmtId="0" fontId="6" fillId="0" borderId="27" xfId="0" applyFont="1" applyBorder="1" applyAlignment="1"/>
    <xf numFmtId="0" fontId="8" fillId="0" borderId="27" xfId="0" applyFont="1" applyBorder="1" applyAlignment="1">
      <alignment wrapText="1"/>
    </xf>
    <xf numFmtId="0" fontId="8" fillId="0" borderId="9" xfId="0" applyFont="1" applyBorder="1" applyAlignment="1">
      <alignment vertical="center"/>
    </xf>
    <xf numFmtId="0" fontId="13" fillId="0" borderId="19" xfId="0" applyFont="1" applyBorder="1" applyAlignment="1">
      <alignment horizontal="center" wrapText="1"/>
    </xf>
    <xf numFmtId="0" fontId="8" fillId="0" borderId="27" xfId="0" applyFont="1" applyBorder="1" applyAlignment="1">
      <alignment horizontal="center"/>
    </xf>
    <xf numFmtId="0" fontId="8" fillId="0" borderId="27" xfId="0" applyFont="1" applyBorder="1" applyAlignment="1"/>
    <xf numFmtId="0" fontId="13" fillId="0" borderId="19" xfId="0" applyFont="1" applyBorder="1" applyAlignment="1">
      <alignment horizontal="center" vertical="center" wrapText="1"/>
    </xf>
    <xf numFmtId="0" fontId="13" fillId="0" borderId="27" xfId="0" applyFont="1" applyBorder="1" applyAlignment="1">
      <alignment horizontal="center" vertical="center" wrapText="1"/>
    </xf>
    <xf numFmtId="9" fontId="6" fillId="0" borderId="27" xfId="0" applyNumberFormat="1" applyFont="1" applyBorder="1" applyAlignment="1"/>
    <xf numFmtId="9" fontId="6" fillId="0" borderId="28" xfId="0" applyNumberFormat="1" applyFont="1" applyBorder="1" applyAlignment="1"/>
    <xf numFmtId="0" fontId="8" fillId="0" borderId="12" xfId="0" applyFont="1" applyBorder="1"/>
    <xf numFmtId="0" fontId="8" fillId="0" borderId="20" xfId="0" applyFont="1" applyBorder="1" applyAlignment="1">
      <alignment wrapText="1"/>
    </xf>
    <xf numFmtId="0" fontId="6" fillId="0" borderId="29"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7" xfId="0" applyFont="1" applyFill="1" applyBorder="1" applyAlignment="1">
      <alignment horizontal="center"/>
    </xf>
    <xf numFmtId="0" fontId="0" fillId="0" borderId="0" xfId="0" applyFont="1" applyFill="1"/>
    <xf numFmtId="0" fontId="3" fillId="0" borderId="2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1" fillId="0" borderId="25" xfId="0" applyFont="1" applyBorder="1" applyAlignment="1">
      <alignment vertical="center" wrapText="1"/>
    </xf>
    <xf numFmtId="166" fontId="32"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6" fontId="15" fillId="5" borderId="13" xfId="1" applyNumberFormat="1" applyFont="1" applyFill="1" applyBorder="1" applyAlignment="1">
      <alignment horizontal="center" vertical="center"/>
    </xf>
    <xf numFmtId="166" fontId="15" fillId="5" borderId="14" xfId="1"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166" fontId="3" fillId="0" borderId="0" xfId="1" applyNumberFormat="1" applyFont="1"/>
    <xf numFmtId="0" fontId="6" fillId="0" borderId="0" xfId="0" applyFont="1" applyAlignment="1">
      <alignment vertical="center"/>
    </xf>
    <xf numFmtId="165" fontId="3" fillId="0" borderId="0" xfId="0" applyNumberFormat="1" applyFont="1"/>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6" xfId="0" applyFont="1" applyFill="1" applyBorder="1" applyAlignment="1">
      <alignment wrapText="1"/>
    </xf>
    <xf numFmtId="165" fontId="0" fillId="5" borderId="8" xfId="0" applyNumberFormat="1" applyFill="1" applyBorder="1" applyAlignment="1">
      <alignment horizontal="right" vertical="center"/>
    </xf>
    <xf numFmtId="0" fontId="3" fillId="0" borderId="9" xfId="0" applyFont="1" applyBorder="1" applyAlignment="1">
      <alignment horizontal="center" vertical="center"/>
    </xf>
    <xf numFmtId="0" fontId="3" fillId="0" borderId="32" xfId="0" applyFont="1" applyFill="1" applyBorder="1" applyAlignment="1"/>
    <xf numFmtId="165" fontId="0" fillId="0" borderId="11" xfId="0" applyNumberFormat="1" applyBorder="1" applyAlignment="1">
      <alignment horizontal="right"/>
    </xf>
    <xf numFmtId="165" fontId="0" fillId="0" borderId="0" xfId="0" applyNumberFormat="1" applyAlignment="1"/>
    <xf numFmtId="0" fontId="3" fillId="0" borderId="9" xfId="0" applyFont="1" applyBorder="1" applyAlignment="1">
      <alignment horizontal="center" vertical="center" wrapText="1"/>
    </xf>
    <xf numFmtId="0" fontId="3" fillId="0" borderId="32" xfId="0" applyFont="1" applyFill="1" applyBorder="1" applyAlignment="1">
      <alignment vertical="center" wrapText="1"/>
    </xf>
    <xf numFmtId="165" fontId="0" fillId="0" borderId="11" xfId="0" applyNumberFormat="1" applyBorder="1" applyAlignment="1">
      <alignment horizontal="right" wrapText="1"/>
    </xf>
    <xf numFmtId="165" fontId="0" fillId="0" borderId="0" xfId="0" applyNumberFormat="1" applyAlignment="1">
      <alignment wrapText="1"/>
    </xf>
    <xf numFmtId="0" fontId="0" fillId="0" borderId="0" xfId="0" applyAlignment="1">
      <alignment wrapText="1"/>
    </xf>
    <xf numFmtId="0" fontId="15" fillId="5" borderId="32" xfId="0" applyFont="1" applyFill="1" applyBorder="1" applyAlignment="1">
      <alignment wrapText="1"/>
    </xf>
    <xf numFmtId="165" fontId="0" fillId="5" borderId="11" xfId="0" applyNumberFormat="1" applyFill="1" applyBorder="1" applyAlignment="1">
      <alignment horizontal="right" vertical="center" wrapText="1"/>
    </xf>
    <xf numFmtId="0" fontId="3" fillId="0" borderId="32" xfId="0" applyFont="1" applyFill="1" applyBorder="1" applyAlignment="1">
      <alignment vertical="center"/>
    </xf>
    <xf numFmtId="165" fontId="0" fillId="0" borderId="11" xfId="0" applyNumberFormat="1" applyFill="1" applyBorder="1" applyAlignment="1">
      <alignment horizontal="right"/>
    </xf>
    <xf numFmtId="0" fontId="3" fillId="0" borderId="32" xfId="0" applyFont="1" applyBorder="1" applyAlignment="1">
      <alignment wrapText="1"/>
    </xf>
    <xf numFmtId="0" fontId="3" fillId="0" borderId="12" xfId="0" applyFont="1" applyBorder="1" applyAlignment="1">
      <alignment horizontal="center" vertical="center" wrapText="1"/>
    </xf>
    <xf numFmtId="0" fontId="15" fillId="5" borderId="33" xfId="0" applyFont="1" applyFill="1" applyBorder="1" applyAlignment="1">
      <alignment wrapText="1"/>
    </xf>
    <xf numFmtId="165" fontId="0" fillId="5" borderId="14" xfId="0" applyNumberFormat="1" applyFill="1" applyBorder="1" applyAlignment="1">
      <alignment horizontal="right" vertical="center" wrapText="1"/>
    </xf>
    <xf numFmtId="169" fontId="0" fillId="0" borderId="0" xfId="0" applyNumberFormat="1" applyAlignment="1">
      <alignment horizontal="right"/>
    </xf>
    <xf numFmtId="0" fontId="6" fillId="0" borderId="0" xfId="0" applyFont="1" applyAlignment="1">
      <alignment horizontal="center" vertical="center"/>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32" fillId="2" borderId="11" xfId="1" applyNumberFormat="1" applyFont="1" applyFill="1" applyBorder="1" applyAlignment="1" applyProtection="1">
      <alignment vertical="top"/>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0" fontId="15" fillId="0" borderId="0" xfId="12" applyFont="1" applyFill="1" applyAlignment="1" applyProtection="1">
      <alignment horizontal="left" vertical="center"/>
      <protection locked="0"/>
    </xf>
    <xf numFmtId="0" fontId="15" fillId="5" borderId="34"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35"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3" fillId="0" borderId="12" xfId="13" applyNumberFormat="1" applyFont="1" applyFill="1" applyBorder="1" applyAlignment="1" applyProtection="1">
      <alignment horizontal="left" vertical="center"/>
      <protection locked="0"/>
    </xf>
    <xf numFmtId="0" fontId="34" fillId="0" borderId="13" xfId="9" applyFont="1" applyFill="1" applyBorder="1" applyAlignment="1" applyProtection="1">
      <alignment horizontal="left" vertical="center" wrapText="1"/>
      <protection locked="0"/>
    </xf>
    <xf numFmtId="10" fontId="34" fillId="0" borderId="13" xfId="2" applyNumberFormat="1" applyFont="1" applyFill="1" applyBorder="1" applyAlignment="1" applyProtection="1">
      <alignment horizontal="left" vertical="center"/>
    </xf>
    <xf numFmtId="166" fontId="7" fillId="0" borderId="14" xfId="1" applyNumberFormat="1" applyFont="1" applyFill="1" applyBorder="1" applyAlignment="1" applyProtection="1">
      <alignment horizontal="right" vertical="center"/>
    </xf>
    <xf numFmtId="0" fontId="13" fillId="0" borderId="0" xfId="5" applyFont="1" applyFill="1" applyBorder="1" applyProtection="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9" xfId="0" applyFont="1" applyBorder="1" applyAlignment="1">
      <alignment horizontal="center"/>
    </xf>
    <xf numFmtId="0" fontId="6" fillId="0" borderId="38" xfId="0" applyFont="1" applyBorder="1" applyAlignment="1">
      <alignment wrapText="1"/>
    </xf>
    <xf numFmtId="165" fontId="6" fillId="0" borderId="39" xfId="0" applyNumberFormat="1" applyFont="1" applyBorder="1" applyAlignment="1">
      <alignment vertical="center"/>
    </xf>
    <xf numFmtId="168" fontId="6" fillId="0" borderId="40" xfId="0" applyNumberFormat="1" applyFont="1" applyBorder="1" applyAlignment="1">
      <alignment horizontal="center"/>
    </xf>
    <xf numFmtId="168" fontId="0" fillId="0" borderId="0" xfId="0" applyNumberFormat="1" applyBorder="1" applyAlignment="1">
      <alignment horizontal="center"/>
    </xf>
    <xf numFmtId="0" fontId="6" fillId="0" borderId="41" xfId="0" applyFont="1" applyBorder="1" applyAlignment="1">
      <alignment wrapText="1"/>
    </xf>
    <xf numFmtId="168" fontId="6" fillId="0" borderId="42" xfId="0" applyNumberFormat="1" applyFont="1" applyBorder="1" applyAlignment="1">
      <alignment horizontal="center"/>
    </xf>
    <xf numFmtId="165" fontId="21" fillId="0" borderId="43" xfId="0" applyNumberFormat="1" applyFont="1" applyBorder="1" applyAlignment="1">
      <alignment vertical="center"/>
    </xf>
    <xf numFmtId="168" fontId="21" fillId="0" borderId="42" xfId="0" applyNumberFormat="1" applyFont="1" applyBorder="1" applyAlignment="1">
      <alignment horizontal="center"/>
    </xf>
    <xf numFmtId="168" fontId="26" fillId="0" borderId="0" xfId="0" applyNumberFormat="1" applyFont="1" applyBorder="1" applyAlignment="1">
      <alignment horizontal="center"/>
    </xf>
    <xf numFmtId="0" fontId="21" fillId="0" borderId="41" xfId="0" applyFont="1" applyBorder="1" applyAlignment="1">
      <alignment wrapText="1"/>
    </xf>
    <xf numFmtId="0" fontId="21" fillId="0" borderId="41" xfId="0" applyFont="1" applyBorder="1" applyAlignment="1">
      <alignment horizontal="right" wrapText="1"/>
    </xf>
    <xf numFmtId="166" fontId="21" fillId="0" borderId="43" xfId="1" applyNumberFormat="1" applyFont="1" applyBorder="1" applyAlignment="1">
      <alignment vertical="center"/>
    </xf>
    <xf numFmtId="165" fontId="6" fillId="5" borderId="43" xfId="0" applyNumberFormat="1" applyFont="1" applyFill="1" applyBorder="1" applyAlignment="1">
      <alignment vertical="center"/>
    </xf>
    <xf numFmtId="165" fontId="6" fillId="0" borderId="43" xfId="0" applyNumberFormat="1" applyFont="1" applyBorder="1" applyAlignment="1">
      <alignment vertical="center"/>
    </xf>
    <xf numFmtId="168" fontId="19" fillId="6" borderId="42" xfId="0" applyNumberFormat="1" applyFont="1" applyFill="1" applyBorder="1" applyAlignment="1">
      <alignment horizontal="center"/>
    </xf>
    <xf numFmtId="0" fontId="6" fillId="0" borderId="44" xfId="0" applyFont="1" applyBorder="1" applyAlignment="1">
      <alignment wrapText="1"/>
    </xf>
    <xf numFmtId="165" fontId="6" fillId="0" borderId="45" xfId="0" applyNumberFormat="1" applyFont="1" applyBorder="1" applyAlignment="1">
      <alignment vertical="center"/>
    </xf>
    <xf numFmtId="0" fontId="35" fillId="5" borderId="46" xfId="0" applyFont="1" applyFill="1" applyBorder="1" applyAlignment="1">
      <alignment wrapText="1"/>
    </xf>
    <xf numFmtId="165" fontId="35" fillId="5" borderId="47" xfId="0" applyNumberFormat="1" applyFont="1" applyFill="1" applyBorder="1" applyAlignment="1">
      <alignment vertical="center"/>
    </xf>
    <xf numFmtId="168" fontId="35" fillId="5" borderId="48"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49" xfId="0" applyNumberFormat="1" applyFont="1" applyBorder="1" applyAlignment="1">
      <alignment vertical="center"/>
    </xf>
    <xf numFmtId="168" fontId="6" fillId="0" borderId="50" xfId="0" applyNumberFormat="1" applyFont="1" applyBorder="1" applyAlignment="1">
      <alignment horizontal="center"/>
    </xf>
    <xf numFmtId="0" fontId="21" fillId="0" borderId="44" xfId="0" applyFont="1" applyBorder="1" applyAlignment="1">
      <alignment horizontal="right" wrapText="1"/>
    </xf>
    <xf numFmtId="166" fontId="21" fillId="0" borderId="49" xfId="1" applyNumberFormat="1" applyFont="1" applyBorder="1" applyAlignment="1">
      <alignment vertical="center"/>
    </xf>
    <xf numFmtId="166" fontId="6" fillId="0" borderId="43" xfId="1" applyNumberFormat="1" applyFont="1" applyBorder="1" applyAlignment="1">
      <alignment vertical="center"/>
    </xf>
    <xf numFmtId="166" fontId="8" fillId="0" borderId="43" xfId="1" applyNumberFormat="1" applyFont="1" applyBorder="1" applyAlignment="1">
      <alignment vertical="center"/>
    </xf>
    <xf numFmtId="0" fontId="6" fillId="0" borderId="12" xfId="0" applyFont="1" applyBorder="1" applyAlignment="1">
      <alignment horizontal="center"/>
    </xf>
    <xf numFmtId="0" fontId="35" fillId="5" borderId="51" xfId="0" applyFont="1" applyFill="1" applyBorder="1" applyAlignment="1">
      <alignment wrapText="1"/>
    </xf>
    <xf numFmtId="165" fontId="35" fillId="5" borderId="52" xfId="0" applyNumberFormat="1" applyFont="1" applyFill="1" applyBorder="1" applyAlignment="1">
      <alignment vertical="center"/>
    </xf>
    <xf numFmtId="168" fontId="35" fillId="5" borderId="53"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4" xfId="0" applyFont="1" applyBorder="1"/>
    <xf numFmtId="0" fontId="3" fillId="0" borderId="55"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6" xfId="0" applyFont="1" applyBorder="1"/>
    <xf numFmtId="0" fontId="3" fillId="0" borderId="2" xfId="0" applyFont="1" applyBorder="1" applyAlignment="1">
      <alignment horizontal="center" vertical="center" wrapText="1"/>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6" fillId="2" borderId="57" xfId="1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9" fontId="37" fillId="0" borderId="1" xfId="0" applyNumberFormat="1" applyFont="1" applyFill="1" applyBorder="1" applyAlignment="1">
      <alignment horizontal="center" vertical="center"/>
    </xf>
    <xf numFmtId="0" fontId="36" fillId="2" borderId="30" xfId="11" applyFont="1" applyFill="1" applyBorder="1" applyAlignment="1" applyProtection="1">
      <alignment horizontal="center" vertical="center" wrapText="1"/>
      <protection locked="0"/>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9" xfId="1" applyNumberFormat="1" applyFont="1" applyBorder="1" applyAlignment="1"/>
    <xf numFmtId="43" fontId="3" fillId="0" borderId="11" xfId="1" applyNumberFormat="1" applyFont="1" applyBorder="1" applyAlignment="1"/>
    <xf numFmtId="0" fontId="25" fillId="0" borderId="0" xfId="0" applyFont="1" applyAlignment="1"/>
    <xf numFmtId="166" fontId="3" fillId="0" borderId="11" xfId="1" applyNumberFormat="1" applyFont="1" applyBorder="1" applyAlignment="1"/>
    <xf numFmtId="0" fontId="7" fillId="2" borderId="12" xfId="9" applyFont="1" applyFill="1" applyBorder="1" applyAlignment="1" applyProtection="1">
      <alignment horizontal="left" vertical="center"/>
      <protection locked="0"/>
    </xf>
    <xf numFmtId="0" fontId="14" fillId="2" borderId="13" xfId="14" applyFont="1" applyFill="1" applyBorder="1" applyAlignment="1" applyProtection="1">
      <protection locked="0"/>
    </xf>
    <xf numFmtId="166" fontId="3" fillId="5" borderId="13" xfId="1" applyNumberFormat="1" applyFont="1" applyFill="1" applyBorder="1"/>
    <xf numFmtId="166" fontId="3" fillId="5" borderId="14"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58" xfId="15" applyNumberFormat="1" applyFont="1" applyFill="1" applyBorder="1" applyAlignment="1" applyProtection="1">
      <alignment horizontal="center" vertical="center" wrapText="1"/>
      <protection locked="0"/>
    </xf>
    <xf numFmtId="0" fontId="15" fillId="0" borderId="59" xfId="0" applyFont="1" applyBorder="1" applyAlignment="1">
      <alignment horizontal="center" vertical="center" wrapText="1"/>
    </xf>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166" fontId="14" fillId="0" borderId="60" xfId="15" applyNumberFormat="1" applyFont="1" applyFill="1" applyBorder="1" applyAlignment="1" applyProtection="1">
      <alignment horizontal="center" vertical="center" wrapText="1"/>
      <protection locked="0"/>
    </xf>
    <xf numFmtId="0" fontId="15" fillId="0" borderId="61" xfId="0" applyFont="1" applyBorder="1" applyAlignment="1">
      <alignment horizontal="center" vertical="center" wrapText="1"/>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7" xfId="1" applyNumberFormat="1" applyFont="1" applyBorder="1" applyAlignment="1">
      <alignment wrapText="1"/>
    </xf>
    <xf numFmtId="165" fontId="3" fillId="0" borderId="27" xfId="0" applyNumberFormat="1" applyFont="1" applyBorder="1" applyAlignment="1"/>
    <xf numFmtId="165" fontId="3" fillId="5" borderId="61" xfId="0" applyNumberFormat="1" applyFont="1" applyFill="1" applyBorder="1" applyAlignment="1"/>
    <xf numFmtId="0" fontId="14" fillId="2" borderId="14" xfId="14"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14" xfId="0" applyNumberFormat="1" applyFont="1" applyFill="1" applyBorder="1"/>
    <xf numFmtId="165" fontId="3" fillId="5" borderId="62"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2"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14" xfId="2" applyFont="1" applyFill="1" applyBorder="1"/>
    <xf numFmtId="43" fontId="3" fillId="0" borderId="0" xfId="0" applyNumberFormat="1" applyFont="1"/>
    <xf numFmtId="0" fontId="31" fillId="0" borderId="54" xfId="0" applyFont="1" applyFill="1" applyBorder="1" applyAlignment="1">
      <alignment horizontal="left" vertical="center"/>
    </xf>
    <xf numFmtId="0" fontId="31"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1" fillId="2" borderId="64" xfId="0" applyFont="1" applyFill="1" applyBorder="1" applyAlignment="1">
      <alignment horizontal="left"/>
    </xf>
    <xf numFmtId="0" fontId="31"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5" xfId="0" applyFont="1" applyFill="1" applyBorder="1" applyAlignment="1">
      <alignment vertical="center"/>
    </xf>
    <xf numFmtId="0" fontId="3" fillId="2" borderId="32" xfId="0" applyFont="1" applyFill="1" applyBorder="1" applyAlignment="1">
      <alignment vertical="center"/>
    </xf>
    <xf numFmtId="0" fontId="3" fillId="2" borderId="27"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5" xfId="1" applyNumberFormat="1" applyFont="1" applyFill="1" applyBorder="1" applyAlignment="1">
      <alignment vertical="center"/>
    </xf>
    <xf numFmtId="166" fontId="3" fillId="0" borderId="30"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2" xfId="1" applyNumberFormat="1" applyFont="1" applyFill="1" applyBorder="1" applyAlignment="1">
      <alignment vertical="center"/>
    </xf>
    <xf numFmtId="166" fontId="3" fillId="2" borderId="27"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6" xfId="0" applyFont="1" applyFill="1" applyBorder="1" applyAlignment="1">
      <alignment horizontal="center" vertical="center"/>
    </xf>
    <xf numFmtId="0" fontId="3" fillId="2" borderId="0" xfId="0" applyFont="1" applyFill="1" applyBorder="1" applyAlignment="1">
      <alignment vertical="center"/>
    </xf>
    <xf numFmtId="0" fontId="3" fillId="0" borderId="3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5"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66" xfId="0" applyFont="1" applyFill="1" applyBorder="1" applyAlignment="1">
      <alignment horizontal="center" vertical="center"/>
    </xf>
    <xf numFmtId="0" fontId="3" fillId="0" borderId="2" xfId="0" applyFont="1" applyFill="1" applyBorder="1" applyAlignment="1">
      <alignment vertical="center"/>
    </xf>
    <xf numFmtId="164" fontId="16" fillId="3" borderId="20" xfId="6" applyBorder="1"/>
    <xf numFmtId="164" fontId="16" fillId="3" borderId="33" xfId="6" applyBorder="1"/>
    <xf numFmtId="164" fontId="16" fillId="3" borderId="26" xfId="6" applyBorder="1"/>
    <xf numFmtId="166" fontId="3" fillId="0" borderId="3" xfId="1" applyNumberFormat="1" applyFont="1" applyFill="1" applyBorder="1" applyAlignment="1">
      <alignment vertical="center"/>
    </xf>
    <xf numFmtId="166" fontId="3" fillId="0" borderId="57" xfId="1" applyNumberFormat="1"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vertical="center"/>
    </xf>
    <xf numFmtId="164" fontId="16" fillId="3" borderId="69" xfId="6" applyBorder="1"/>
    <xf numFmtId="9" fontId="3" fillId="0" borderId="70" xfId="2" applyNumberFormat="1" applyFont="1" applyFill="1" applyBorder="1" applyAlignment="1">
      <alignment vertical="center"/>
    </xf>
    <xf numFmtId="9" fontId="3" fillId="0" borderId="70" xfId="2" applyFont="1" applyFill="1" applyBorder="1" applyAlignment="1">
      <alignment vertical="center"/>
    </xf>
    <xf numFmtId="9" fontId="3" fillId="0" borderId="71" xfId="2" applyFont="1" applyFill="1" applyBorder="1" applyAlignment="1">
      <alignment vertical="center"/>
    </xf>
    <xf numFmtId="0" fontId="3" fillId="0" borderId="0" xfId="0" applyFont="1" applyAlignment="1">
      <alignment wrapText="1"/>
    </xf>
    <xf numFmtId="0" fontId="35" fillId="0" borderId="0" xfId="0" applyFont="1"/>
    <xf numFmtId="0" fontId="3" fillId="0" borderId="54" xfId="0" applyFont="1" applyBorder="1" applyAlignment="1">
      <alignment horizontal="center"/>
    </xf>
    <xf numFmtId="0" fontId="3" fillId="0" borderId="5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5"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4" applyFont="1" applyFill="1" applyBorder="1" applyAlignment="1" applyProtection="1">
      <protection locked="0"/>
    </xf>
    <xf numFmtId="165" fontId="13" fillId="5" borderId="13" xfId="14" applyNumberFormat="1" applyFont="1" applyFill="1" applyBorder="1" applyAlignment="1" applyProtection="1"/>
    <xf numFmtId="3" fontId="13" fillId="5" borderId="13" xfId="14" applyNumberFormat="1" applyFont="1" applyFill="1" applyBorder="1" applyAlignment="1" applyProtection="1"/>
    <xf numFmtId="165" fontId="13" fillId="5" borderId="13"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39" fillId="8" borderId="25" xfId="18" applyFont="1" applyFill="1" applyBorder="1" applyAlignment="1">
      <alignment horizontal="center" wrapText="1"/>
    </xf>
    <xf numFmtId="0" fontId="40" fillId="0" borderId="1" xfId="17" applyFont="1" applyBorder="1" applyAlignment="1">
      <alignment horizontal="center" vertical="center"/>
    </xf>
    <xf numFmtId="0" fontId="41" fillId="9" borderId="19" xfId="19" applyFont="1" applyFill="1" applyBorder="1" applyAlignment="1">
      <alignment vertical="center" wrapText="1"/>
    </xf>
    <xf numFmtId="0" fontId="42" fillId="9" borderId="25" xfId="19" applyFont="1" applyFill="1" applyBorder="1" applyAlignment="1">
      <alignment vertical="center"/>
    </xf>
    <xf numFmtId="0" fontId="43" fillId="8" borderId="2" xfId="19" applyFont="1" applyFill="1" applyBorder="1" applyAlignment="1">
      <alignment horizontal="center" vertical="center"/>
    </xf>
    <xf numFmtId="0" fontId="43" fillId="0" borderId="25" xfId="19" applyFont="1" applyFill="1" applyBorder="1" applyAlignment="1">
      <alignment horizontal="left" vertical="center" wrapText="1"/>
    </xf>
    <xf numFmtId="166" fontId="43" fillId="0" borderId="1" xfId="20" applyNumberFormat="1" applyFont="1" applyFill="1" applyBorder="1" applyAlignment="1" applyProtection="1">
      <alignment horizontal="right" vertical="center"/>
      <protection locked="0"/>
    </xf>
    <xf numFmtId="0" fontId="41" fillId="10" borderId="1" xfId="19" applyFont="1" applyFill="1" applyBorder="1" applyAlignment="1">
      <alignment horizontal="center" vertical="center"/>
    </xf>
    <xf numFmtId="0" fontId="41" fillId="10" borderId="25" xfId="19" applyFont="1" applyFill="1" applyBorder="1" applyAlignment="1">
      <alignment vertical="top" wrapText="1"/>
    </xf>
    <xf numFmtId="166" fontId="43" fillId="10" borderId="1" xfId="20" applyNumberFormat="1" applyFont="1" applyFill="1" applyBorder="1" applyAlignment="1" applyProtection="1">
      <alignment horizontal="right" vertical="center"/>
    </xf>
    <xf numFmtId="0" fontId="41" fillId="9" borderId="19" xfId="19" applyFont="1" applyFill="1" applyBorder="1" applyAlignment="1">
      <alignment vertical="center"/>
    </xf>
    <xf numFmtId="166" fontId="42" fillId="9" borderId="25" xfId="20" applyNumberFormat="1" applyFont="1" applyFill="1" applyBorder="1" applyAlignment="1">
      <alignment horizontal="right" vertical="center"/>
    </xf>
    <xf numFmtId="0" fontId="44" fillId="8" borderId="2" xfId="19" applyFont="1" applyFill="1" applyBorder="1" applyAlignment="1">
      <alignment horizontal="center" vertical="center"/>
    </xf>
    <xf numFmtId="0" fontId="43" fillId="8" borderId="25" xfId="19" applyFont="1" applyFill="1" applyBorder="1" applyAlignment="1">
      <alignment vertical="center" wrapText="1"/>
    </xf>
    <xf numFmtId="0" fontId="43" fillId="8" borderId="25" xfId="19" applyFont="1" applyFill="1" applyBorder="1" applyAlignment="1">
      <alignment horizontal="left" vertical="center" wrapText="1"/>
    </xf>
    <xf numFmtId="0" fontId="44" fillId="2" borderId="2" xfId="19" applyFont="1" applyFill="1" applyBorder="1" applyAlignment="1">
      <alignment horizontal="center" vertical="center"/>
    </xf>
    <xf numFmtId="0" fontId="43" fillId="0" borderId="25" xfId="19" applyFont="1" applyFill="1" applyBorder="1" applyAlignment="1">
      <alignment vertical="center" wrapText="1"/>
    </xf>
    <xf numFmtId="0" fontId="43" fillId="2" borderId="25" xfId="19" applyFont="1" applyFill="1" applyBorder="1" applyAlignment="1">
      <alignment horizontal="left" vertical="center" wrapText="1"/>
    </xf>
    <xf numFmtId="0" fontId="44" fillId="0" borderId="2" xfId="19" applyFont="1" applyFill="1" applyBorder="1" applyAlignment="1">
      <alignment horizontal="center" vertical="center"/>
    </xf>
    <xf numFmtId="0" fontId="45" fillId="10" borderId="1" xfId="19" applyFont="1" applyFill="1" applyBorder="1" applyAlignment="1">
      <alignment horizontal="center" vertical="center"/>
    </xf>
    <xf numFmtId="0" fontId="41" fillId="10" borderId="25" xfId="19" applyFont="1" applyFill="1" applyBorder="1" applyAlignment="1">
      <alignment vertical="center" wrapText="1"/>
    </xf>
    <xf numFmtId="166" fontId="43" fillId="10" borderId="1" xfId="20" applyNumberFormat="1" applyFont="1" applyFill="1" applyBorder="1" applyAlignment="1" applyProtection="1">
      <alignment horizontal="right" vertical="center"/>
      <protection locked="0"/>
    </xf>
    <xf numFmtId="166" fontId="41" fillId="9" borderId="25" xfId="20" applyNumberFormat="1" applyFont="1" applyFill="1" applyBorder="1" applyAlignment="1">
      <alignment horizontal="right" vertical="center"/>
    </xf>
    <xf numFmtId="0" fontId="41" fillId="9" borderId="19" xfId="19" applyFont="1" applyFill="1" applyBorder="1" applyAlignment="1">
      <alignment horizontal="center" vertical="center"/>
    </xf>
    <xf numFmtId="166" fontId="43" fillId="2" borderId="1" xfId="20" applyNumberFormat="1" applyFont="1" applyFill="1" applyBorder="1" applyAlignment="1" applyProtection="1">
      <alignment horizontal="right" vertical="center"/>
      <protection locked="0"/>
    </xf>
    <xf numFmtId="0" fontId="42" fillId="9" borderId="19" xfId="19" applyFont="1" applyFill="1" applyBorder="1" applyAlignment="1">
      <alignment horizontal="center" vertical="center"/>
    </xf>
    <xf numFmtId="0" fontId="42" fillId="9" borderId="32" xfId="19" applyFont="1" applyFill="1" applyBorder="1" applyAlignment="1">
      <alignment horizontal="center" vertical="center"/>
    </xf>
    <xf numFmtId="0" fontId="41" fillId="0" borderId="25" xfId="19" applyFont="1" applyFill="1" applyBorder="1" applyAlignment="1">
      <alignment vertical="center" wrapText="1"/>
    </xf>
    <xf numFmtId="10" fontId="43" fillId="0" borderId="1" xfId="21" applyNumberFormat="1" applyFont="1" applyFill="1" applyBorder="1" applyAlignment="1" applyProtection="1">
      <alignment horizontal="right" vertical="center"/>
      <protection locked="0"/>
    </xf>
    <xf numFmtId="0" fontId="42" fillId="9" borderId="19" xfId="19" applyFont="1" applyFill="1" applyBorder="1" applyAlignment="1">
      <alignment vertical="center"/>
    </xf>
    <xf numFmtId="0" fontId="44" fillId="8" borderId="1" xfId="19" applyFont="1" applyFill="1" applyBorder="1" applyAlignment="1">
      <alignment horizontal="center" vertical="center"/>
    </xf>
    <xf numFmtId="0" fontId="46" fillId="8" borderId="1" xfId="19" applyFont="1" applyFill="1" applyBorder="1" applyAlignment="1">
      <alignment horizontal="center" vertical="center"/>
    </xf>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ene.amaglobeli\AppData\Local\Microsoft\Windows\INetCache\Content.Outlook\73F1XQ81\PE1-BBB-QQ-YYYYMMD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BG/Monthly%20Reports/2019/09/Workings/FRM-BKS-MM-20190930Working1.xls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sheetName val="1. key ratios "/>
      <sheetName val="2.RC"/>
      <sheetName val="3.PL"/>
      <sheetName val="4. Off-Balance"/>
      <sheetName val="5. RWA "/>
      <sheetName val="6. Administrators-shareholders"/>
      <sheetName val="7. LI1 "/>
      <sheetName val="8. LI2"/>
      <sheetName val="9.Capital"/>
      <sheetName val="9.1. Capital Requirements"/>
      <sheetName val="10. CC2"/>
      <sheetName val="11. CRWA "/>
      <sheetName val="12. CRM"/>
      <sheetName val="13. CRME "/>
      <sheetName val="14. LCR"/>
      <sheetName val="15. CCR "/>
      <sheetName val="15.1 L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A-L"/>
      <sheetName val="A-G"/>
      <sheetName val="A-CP"/>
      <sheetName val="A-D"/>
      <sheetName val="A_CI"/>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LoansGuarantees"/>
      <sheetName val="LoansGuarantees (2)"/>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s>
    <sheetDataSet>
      <sheetData sheetId="0"/>
      <sheetData sheetId="1"/>
      <sheetData sheetId="2"/>
      <sheetData sheetId="3"/>
      <sheetData sheetId="4"/>
      <sheetData sheetId="5"/>
      <sheetData sheetId="6"/>
      <sheetData sheetId="7"/>
      <sheetData sheetId="8"/>
      <sheetData sheetId="9">
        <row r="7">
          <cell r="C7">
            <v>18658941.010000009</v>
          </cell>
        </row>
      </sheetData>
      <sheetData sheetId="10"/>
      <sheetData sheetId="11"/>
      <sheetData sheetId="12"/>
      <sheetData sheetId="13"/>
      <sheetData sheetId="14"/>
      <sheetData sheetId="15"/>
      <sheetData sheetId="16"/>
      <sheetData sheetId="17"/>
      <sheetData sheetId="18">
        <row r="9">
          <cell r="C9">
            <v>20896390.27</v>
          </cell>
        </row>
      </sheetData>
      <sheetData sheetId="19"/>
      <sheetData sheetId="20">
        <row r="8">
          <cell r="C8">
            <v>635770.36</v>
          </cell>
        </row>
      </sheetData>
      <sheetData sheetId="21"/>
      <sheetData sheetId="22">
        <row r="12">
          <cell r="K12">
            <v>14252809.100000001</v>
          </cell>
        </row>
      </sheetData>
      <sheetData sheetId="23"/>
      <sheetData sheetId="24"/>
      <sheetData sheetId="25"/>
      <sheetData sheetId="26"/>
      <sheetData sheetId="27"/>
      <sheetData sheetId="28"/>
      <sheetData sheetId="29"/>
      <sheetData sheetId="30"/>
      <sheetData sheetId="31"/>
      <sheetData sheetId="32"/>
      <sheetData sheetId="33">
        <row r="14">
          <cell r="C14">
            <v>262286970.98450804</v>
          </cell>
        </row>
      </sheetData>
      <sheetData sheetId="34">
        <row r="6">
          <cell r="C6">
            <v>177356900.82311577</v>
          </cell>
        </row>
      </sheetData>
      <sheetData sheetId="35">
        <row r="16">
          <cell r="D16">
            <v>2.1040663207422771E-2</v>
          </cell>
        </row>
      </sheetData>
      <sheetData sheetId="36">
        <row r="8">
          <cell r="C8">
            <v>856059595.08399868</v>
          </cell>
        </row>
      </sheetData>
      <sheetData sheetId="37"/>
      <sheetData sheetId="38"/>
      <sheetData sheetId="39"/>
      <sheetData sheetId="40">
        <row r="10">
          <cell r="AC10">
            <v>0</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57"/>
      <sheetData sheetId="58">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59">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0"/>
      <sheetData sheetId="61"/>
      <sheetData sheetId="62">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63"/>
      <sheetData sheetId="64"/>
      <sheetData sheetId="65"/>
      <sheetData sheetId="66"/>
      <sheetData sheetId="67"/>
      <sheetData sheetId="68">
        <row r="5">
          <cell r="C5" t="str">
            <v>BAL_ACC4</v>
          </cell>
        </row>
      </sheetData>
      <sheetData sheetId="69"/>
      <sheetData sheetId="70">
        <row r="1">
          <cell r="C1" t="str">
            <v>Large Loans Limit</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tabSelected="1" zoomScaleNormal="100" workbookViewId="0">
      <pane xSplit="1" ySplit="7" topLeftCell="B8" activePane="bottomRight" state="frozen"/>
      <selection activeCell="P24" sqref="P24:Q24"/>
      <selection pane="topRight" activeCell="P24" sqref="P24:Q24"/>
      <selection pane="bottomLeft" activeCell="P24" sqref="P24:Q24"/>
      <selection pane="bottomRight" activeCell="B10" sqref="B10"/>
    </sheetView>
  </sheetViews>
  <sheetFormatPr defaultRowHeight="15" x14ac:dyDescent="0.25"/>
  <cols>
    <col min="1" max="1" width="10.28515625" style="25"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4" customFormat="1" ht="65.25" customHeight="1" x14ac:dyDescent="0.3">
      <c r="A6" s="12" t="s">
        <v>9</v>
      </c>
      <c r="B6" s="13"/>
      <c r="C6" s="13"/>
    </row>
    <row r="7" spans="1:3" x14ac:dyDescent="0.25">
      <c r="A7" s="15" t="s">
        <v>10</v>
      </c>
      <c r="B7" s="2" t="s">
        <v>11</v>
      </c>
    </row>
    <row r="8" spans="1:3" x14ac:dyDescent="0.25">
      <c r="A8" s="1">
        <v>1</v>
      </c>
      <c r="B8" s="16" t="s">
        <v>12</v>
      </c>
    </row>
    <row r="9" spans="1:3" x14ac:dyDescent="0.25">
      <c r="A9" s="1">
        <v>2</v>
      </c>
      <c r="B9" s="16" t="s">
        <v>13</v>
      </c>
    </row>
    <row r="10" spans="1:3" x14ac:dyDescent="0.25">
      <c r="A10" s="1">
        <v>3</v>
      </c>
      <c r="B10" s="16" t="s">
        <v>14</v>
      </c>
    </row>
    <row r="11" spans="1:3" x14ac:dyDescent="0.25">
      <c r="A11" s="1">
        <v>4</v>
      </c>
      <c r="B11" s="16" t="s">
        <v>15</v>
      </c>
      <c r="C11" s="17"/>
    </row>
    <row r="12" spans="1:3" x14ac:dyDescent="0.25">
      <c r="A12" s="1">
        <v>5</v>
      </c>
      <c r="B12" s="16" t="s">
        <v>16</v>
      </c>
    </row>
    <row r="13" spans="1:3" x14ac:dyDescent="0.25">
      <c r="A13" s="1">
        <v>6</v>
      </c>
      <c r="B13" s="18" t="s">
        <v>17</v>
      </c>
    </row>
    <row r="14" spans="1:3" x14ac:dyDescent="0.25">
      <c r="A14" s="1">
        <v>7</v>
      </c>
      <c r="B14" s="16" t="s">
        <v>18</v>
      </c>
    </row>
    <row r="15" spans="1:3" x14ac:dyDescent="0.25">
      <c r="A15" s="1">
        <v>8</v>
      </c>
      <c r="B15" s="16" t="s">
        <v>19</v>
      </c>
    </row>
    <row r="16" spans="1:3" x14ac:dyDescent="0.25">
      <c r="A16" s="1">
        <v>9</v>
      </c>
      <c r="B16" s="16" t="s">
        <v>20</v>
      </c>
    </row>
    <row r="17" spans="1:2" x14ac:dyDescent="0.25">
      <c r="A17" s="19">
        <v>9.1</v>
      </c>
      <c r="B17" s="16" t="s">
        <v>21</v>
      </c>
    </row>
    <row r="18" spans="1:2" x14ac:dyDescent="0.25">
      <c r="A18" s="1">
        <v>10</v>
      </c>
      <c r="B18" s="16" t="s">
        <v>22</v>
      </c>
    </row>
    <row r="19" spans="1:2" x14ac:dyDescent="0.25">
      <c r="A19" s="1">
        <v>11</v>
      </c>
      <c r="B19" s="18" t="s">
        <v>23</v>
      </c>
    </row>
    <row r="20" spans="1:2" x14ac:dyDescent="0.25">
      <c r="A20" s="1">
        <v>12</v>
      </c>
      <c r="B20" s="18" t="s">
        <v>24</v>
      </c>
    </row>
    <row r="21" spans="1:2" x14ac:dyDescent="0.25">
      <c r="A21" s="1">
        <v>13</v>
      </c>
      <c r="B21" s="20" t="s">
        <v>25</v>
      </c>
    </row>
    <row r="22" spans="1:2" x14ac:dyDescent="0.25">
      <c r="A22" s="1">
        <v>14</v>
      </c>
      <c r="B22" s="11" t="s">
        <v>26</v>
      </c>
    </row>
    <row r="23" spans="1:2" x14ac:dyDescent="0.25">
      <c r="A23" s="21">
        <v>15</v>
      </c>
      <c r="B23" s="18" t="s">
        <v>27</v>
      </c>
    </row>
    <row r="24" spans="1:2" x14ac:dyDescent="0.25">
      <c r="A24" s="21">
        <v>15.1</v>
      </c>
      <c r="B24" s="22" t="s">
        <v>28</v>
      </c>
    </row>
    <row r="25" spans="1:2" x14ac:dyDescent="0.25">
      <c r="A25" s="23"/>
      <c r="B25" s="24"/>
    </row>
    <row r="26" spans="1:2" x14ac:dyDescent="0.25">
      <c r="A26" s="23"/>
      <c r="B26" s="24"/>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36" activePane="bottomRight" state="frozen"/>
      <selection activeCell="C12" sqref="C12"/>
      <selection pane="topRight" activeCell="C12" sqref="C12"/>
      <selection pane="bottomLeft" activeCell="C12" sqref="C12"/>
      <selection pane="bottomRight" activeCell="C12" sqref="C12"/>
    </sheetView>
  </sheetViews>
  <sheetFormatPr defaultRowHeight="15" x14ac:dyDescent="0.25"/>
  <cols>
    <col min="1" max="1" width="9.5703125" style="23" bestFit="1" customWidth="1"/>
    <col min="2" max="2" width="132.42578125" style="25" customWidth="1"/>
    <col min="3" max="3" width="18.42578125" style="257" customWidth="1"/>
    <col min="6" max="6" width="17.42578125" bestFit="1" customWidth="1"/>
  </cols>
  <sheetData>
    <row r="1" spans="1:6" ht="15.75" x14ac:dyDescent="0.3">
      <c r="A1" s="26" t="s">
        <v>29</v>
      </c>
      <c r="B1" s="25" t="str">
        <f>'1. key ratios'!B1</f>
        <v>სს ტერაბანკი</v>
      </c>
      <c r="C1" s="25"/>
      <c r="D1" s="25"/>
      <c r="E1" s="25"/>
      <c r="F1" s="25"/>
    </row>
    <row r="2" spans="1:6" s="226" customFormat="1" ht="15.75" customHeight="1" x14ac:dyDescent="0.3">
      <c r="A2" s="226" t="s">
        <v>31</v>
      </c>
      <c r="B2" s="86">
        <f>'1. key ratios'!B2</f>
        <v>43738</v>
      </c>
    </row>
    <row r="3" spans="1:6" s="226" customFormat="1" ht="15.75" customHeight="1" x14ac:dyDescent="0.3"/>
    <row r="4" spans="1:6" ht="15.75" thickBot="1" x14ac:dyDescent="0.3">
      <c r="A4" s="23" t="s">
        <v>273</v>
      </c>
      <c r="B4" s="288" t="s">
        <v>20</v>
      </c>
      <c r="C4" s="25"/>
    </row>
    <row r="5" spans="1:6" x14ac:dyDescent="0.25">
      <c r="A5" s="289" t="s">
        <v>33</v>
      </c>
      <c r="B5" s="290"/>
      <c r="C5" s="291" t="s">
        <v>70</v>
      </c>
    </row>
    <row r="6" spans="1:6" x14ac:dyDescent="0.25">
      <c r="A6" s="292">
        <v>1</v>
      </c>
      <c r="B6" s="293" t="s">
        <v>274</v>
      </c>
      <c r="C6" s="294">
        <f>SUM(C7:C11)</f>
        <v>139444366.19000015</v>
      </c>
    </row>
    <row r="7" spans="1:6" x14ac:dyDescent="0.25">
      <c r="A7" s="292">
        <v>2</v>
      </c>
      <c r="B7" s="295" t="s">
        <v>275</v>
      </c>
      <c r="C7" s="296">
        <v>121372000.00000001</v>
      </c>
    </row>
    <row r="8" spans="1:6" x14ac:dyDescent="0.25">
      <c r="A8" s="292">
        <v>3</v>
      </c>
      <c r="B8" s="297" t="s">
        <v>276</v>
      </c>
      <c r="C8" s="296">
        <v>0</v>
      </c>
    </row>
    <row r="9" spans="1:6" x14ac:dyDescent="0.25">
      <c r="A9" s="292">
        <v>4</v>
      </c>
      <c r="B9" s="297" t="s">
        <v>277</v>
      </c>
      <c r="C9" s="296">
        <v>0</v>
      </c>
    </row>
    <row r="10" spans="1:6" x14ac:dyDescent="0.25">
      <c r="A10" s="292">
        <v>5</v>
      </c>
      <c r="B10" s="297" t="s">
        <v>278</v>
      </c>
      <c r="C10" s="296">
        <v>0</v>
      </c>
    </row>
    <row r="11" spans="1:6" x14ac:dyDescent="0.25">
      <c r="A11" s="292">
        <v>6</v>
      </c>
      <c r="B11" s="298" t="s">
        <v>279</v>
      </c>
      <c r="C11" s="299">
        <v>18072366.190000124</v>
      </c>
    </row>
    <row r="12" spans="1:6" s="275" customFormat="1" x14ac:dyDescent="0.25">
      <c r="A12" s="292">
        <v>7</v>
      </c>
      <c r="B12" s="293" t="s">
        <v>280</v>
      </c>
      <c r="C12" s="300">
        <f>SUM(C13:C27)</f>
        <v>23375717</v>
      </c>
    </row>
    <row r="13" spans="1:6" s="275" customFormat="1" x14ac:dyDescent="0.25">
      <c r="A13" s="292">
        <v>8</v>
      </c>
      <c r="B13" s="301" t="s">
        <v>281</v>
      </c>
      <c r="C13" s="302">
        <v>0</v>
      </c>
    </row>
    <row r="14" spans="1:6" s="275" customFormat="1" ht="25.5" x14ac:dyDescent="0.25">
      <c r="A14" s="292">
        <v>9</v>
      </c>
      <c r="B14" s="303" t="s">
        <v>282</v>
      </c>
      <c r="C14" s="302">
        <v>0</v>
      </c>
    </row>
    <row r="15" spans="1:6" s="275" customFormat="1" x14ac:dyDescent="0.25">
      <c r="A15" s="292">
        <v>10</v>
      </c>
      <c r="B15" s="304" t="s">
        <v>283</v>
      </c>
      <c r="C15" s="302">
        <v>23375717</v>
      </c>
    </row>
    <row r="16" spans="1:6" s="275" customFormat="1" x14ac:dyDescent="0.25">
      <c r="A16" s="292">
        <v>11</v>
      </c>
      <c r="B16" s="305" t="s">
        <v>284</v>
      </c>
      <c r="C16" s="302">
        <v>0</v>
      </c>
    </row>
    <row r="17" spans="1:6" s="275" customFormat="1" x14ac:dyDescent="0.25">
      <c r="A17" s="292">
        <v>12</v>
      </c>
      <c r="B17" s="304" t="s">
        <v>285</v>
      </c>
      <c r="C17" s="302">
        <v>0</v>
      </c>
    </row>
    <row r="18" spans="1:6" s="275" customFormat="1" x14ac:dyDescent="0.25">
      <c r="A18" s="292">
        <v>13</v>
      </c>
      <c r="B18" s="304" t="s">
        <v>286</v>
      </c>
      <c r="C18" s="302">
        <v>0</v>
      </c>
    </row>
    <row r="19" spans="1:6" s="275" customFormat="1" x14ac:dyDescent="0.25">
      <c r="A19" s="292">
        <v>14</v>
      </c>
      <c r="B19" s="304" t="s">
        <v>287</v>
      </c>
      <c r="C19" s="302">
        <v>0</v>
      </c>
    </row>
    <row r="20" spans="1:6" s="275" customFormat="1" ht="25.5" x14ac:dyDescent="0.25">
      <c r="A20" s="292">
        <v>15</v>
      </c>
      <c r="B20" s="304" t="s">
        <v>288</v>
      </c>
      <c r="C20" s="302">
        <v>0</v>
      </c>
    </row>
    <row r="21" spans="1:6" s="275" customFormat="1" ht="25.5" x14ac:dyDescent="0.25">
      <c r="A21" s="292">
        <v>16</v>
      </c>
      <c r="B21" s="303" t="s">
        <v>289</v>
      </c>
      <c r="C21" s="302">
        <v>0</v>
      </c>
    </row>
    <row r="22" spans="1:6" s="275" customFormat="1" x14ac:dyDescent="0.25">
      <c r="A22" s="292">
        <v>17</v>
      </c>
      <c r="B22" s="306" t="s">
        <v>290</v>
      </c>
      <c r="C22" s="302">
        <v>0</v>
      </c>
    </row>
    <row r="23" spans="1:6" s="275" customFormat="1" ht="25.5" x14ac:dyDescent="0.25">
      <c r="A23" s="292">
        <v>18</v>
      </c>
      <c r="B23" s="303" t="s">
        <v>291</v>
      </c>
      <c r="C23" s="302">
        <v>0</v>
      </c>
    </row>
    <row r="24" spans="1:6" s="275" customFormat="1" ht="25.5" x14ac:dyDescent="0.25">
      <c r="A24" s="292">
        <v>19</v>
      </c>
      <c r="B24" s="303" t="s">
        <v>292</v>
      </c>
      <c r="C24" s="302">
        <v>0</v>
      </c>
    </row>
    <row r="25" spans="1:6" s="275" customFormat="1" ht="25.5" x14ac:dyDescent="0.25">
      <c r="A25" s="292">
        <v>20</v>
      </c>
      <c r="B25" s="307" t="s">
        <v>293</v>
      </c>
      <c r="C25" s="302">
        <v>0</v>
      </c>
    </row>
    <row r="26" spans="1:6" s="275" customFormat="1" x14ac:dyDescent="0.25">
      <c r="A26" s="292">
        <v>21</v>
      </c>
      <c r="B26" s="307" t="s">
        <v>294</v>
      </c>
      <c r="C26" s="302">
        <v>0</v>
      </c>
    </row>
    <row r="27" spans="1:6" s="275" customFormat="1" ht="25.5" x14ac:dyDescent="0.25">
      <c r="A27" s="292">
        <v>22</v>
      </c>
      <c r="B27" s="307" t="s">
        <v>295</v>
      </c>
      <c r="C27" s="302">
        <v>0</v>
      </c>
    </row>
    <row r="28" spans="1:6" s="275" customFormat="1" x14ac:dyDescent="0.25">
      <c r="A28" s="292">
        <v>23</v>
      </c>
      <c r="B28" s="308" t="s">
        <v>36</v>
      </c>
      <c r="C28" s="300">
        <f>C6-C12</f>
        <v>116068649.19000015</v>
      </c>
    </row>
    <row r="29" spans="1:6" s="275" customFormat="1" x14ac:dyDescent="0.25">
      <c r="A29" s="309"/>
      <c r="B29" s="310"/>
      <c r="C29" s="302"/>
    </row>
    <row r="30" spans="1:6" s="275" customFormat="1" x14ac:dyDescent="0.25">
      <c r="A30" s="309">
        <v>24</v>
      </c>
      <c r="B30" s="308" t="s">
        <v>296</v>
      </c>
      <c r="C30" s="300">
        <f>C31+C34</f>
        <v>0</v>
      </c>
      <c r="F30" s="311"/>
    </row>
    <row r="31" spans="1:6" s="275" customFormat="1" x14ac:dyDescent="0.25">
      <c r="A31" s="309">
        <v>25</v>
      </c>
      <c r="B31" s="297" t="s">
        <v>297</v>
      </c>
      <c r="C31" s="312">
        <f>C32+C33</f>
        <v>0</v>
      </c>
      <c r="F31" s="313"/>
    </row>
    <row r="32" spans="1:6" s="275" customFormat="1" x14ac:dyDescent="0.25">
      <c r="A32" s="309">
        <v>26</v>
      </c>
      <c r="B32" s="314" t="s">
        <v>298</v>
      </c>
      <c r="C32" s="302">
        <v>0</v>
      </c>
      <c r="F32" s="313"/>
    </row>
    <row r="33" spans="1:6" s="275" customFormat="1" x14ac:dyDescent="0.25">
      <c r="A33" s="309">
        <v>27</v>
      </c>
      <c r="B33" s="314" t="s">
        <v>299</v>
      </c>
      <c r="C33" s="302">
        <v>0</v>
      </c>
      <c r="F33" s="313"/>
    </row>
    <row r="34" spans="1:6" s="275" customFormat="1" x14ac:dyDescent="0.25">
      <c r="A34" s="309">
        <v>28</v>
      </c>
      <c r="B34" s="297" t="s">
        <v>300</v>
      </c>
      <c r="C34" s="302">
        <v>0</v>
      </c>
      <c r="F34" s="313"/>
    </row>
    <row r="35" spans="1:6" s="275" customFormat="1" x14ac:dyDescent="0.25">
      <c r="A35" s="309">
        <v>29</v>
      </c>
      <c r="B35" s="308" t="s">
        <v>301</v>
      </c>
      <c r="C35" s="300">
        <f>SUM(C36:C40)</f>
        <v>0</v>
      </c>
      <c r="F35" s="313"/>
    </row>
    <row r="36" spans="1:6" s="275" customFormat="1" x14ac:dyDescent="0.25">
      <c r="A36" s="309">
        <v>30</v>
      </c>
      <c r="B36" s="303" t="s">
        <v>302</v>
      </c>
      <c r="C36" s="302">
        <v>0</v>
      </c>
      <c r="F36" s="313"/>
    </row>
    <row r="37" spans="1:6" s="275" customFormat="1" x14ac:dyDescent="0.25">
      <c r="A37" s="309">
        <v>31</v>
      </c>
      <c r="B37" s="304" t="s">
        <v>303</v>
      </c>
      <c r="C37" s="302">
        <v>0</v>
      </c>
      <c r="F37" s="313"/>
    </row>
    <row r="38" spans="1:6" s="275" customFormat="1" ht="25.5" x14ac:dyDescent="0.25">
      <c r="A38" s="309">
        <v>32</v>
      </c>
      <c r="B38" s="303" t="s">
        <v>304</v>
      </c>
      <c r="C38" s="302">
        <v>0</v>
      </c>
      <c r="F38" s="313"/>
    </row>
    <row r="39" spans="1:6" s="275" customFormat="1" ht="25.5" x14ac:dyDescent="0.25">
      <c r="A39" s="309">
        <v>33</v>
      </c>
      <c r="B39" s="303" t="s">
        <v>292</v>
      </c>
      <c r="C39" s="302">
        <v>0</v>
      </c>
      <c r="F39" s="313"/>
    </row>
    <row r="40" spans="1:6" s="275" customFormat="1" ht="25.5" x14ac:dyDescent="0.25">
      <c r="A40" s="309">
        <v>34</v>
      </c>
      <c r="B40" s="307" t="s">
        <v>305</v>
      </c>
      <c r="C40" s="302">
        <v>0</v>
      </c>
      <c r="F40" s="313"/>
    </row>
    <row r="41" spans="1:6" s="275" customFormat="1" x14ac:dyDescent="0.25">
      <c r="A41" s="309">
        <v>35</v>
      </c>
      <c r="B41" s="308" t="s">
        <v>306</v>
      </c>
      <c r="C41" s="300">
        <f>C30-C35</f>
        <v>0</v>
      </c>
      <c r="F41" s="313"/>
    </row>
    <row r="42" spans="1:6" s="275" customFormat="1" x14ac:dyDescent="0.25">
      <c r="A42" s="309"/>
      <c r="B42" s="310"/>
      <c r="C42" s="302"/>
      <c r="F42" s="313"/>
    </row>
    <row r="43" spans="1:6" s="275" customFormat="1" x14ac:dyDescent="0.25">
      <c r="A43" s="309">
        <v>36</v>
      </c>
      <c r="B43" s="315" t="s">
        <v>307</v>
      </c>
      <c r="C43" s="300">
        <f>SUM(C44:C46)</f>
        <v>61288251.633115612</v>
      </c>
      <c r="F43" s="313"/>
    </row>
    <row r="44" spans="1:6" s="275" customFormat="1" x14ac:dyDescent="0.25">
      <c r="A44" s="309">
        <v>37</v>
      </c>
      <c r="B44" s="297" t="s">
        <v>308</v>
      </c>
      <c r="C44" s="302">
        <v>50641979.380000003</v>
      </c>
      <c r="F44" s="313"/>
    </row>
    <row r="45" spans="1:6" s="275" customFormat="1" x14ac:dyDescent="0.25">
      <c r="A45" s="309">
        <v>38</v>
      </c>
      <c r="B45" s="297" t="s">
        <v>309</v>
      </c>
      <c r="C45" s="302">
        <v>0</v>
      </c>
      <c r="F45" s="313"/>
    </row>
    <row r="46" spans="1:6" s="275" customFormat="1" x14ac:dyDescent="0.25">
      <c r="A46" s="309">
        <v>39</v>
      </c>
      <c r="B46" s="297" t="s">
        <v>310</v>
      </c>
      <c r="C46" s="302">
        <v>10646272.253115609</v>
      </c>
      <c r="F46" s="313"/>
    </row>
    <row r="47" spans="1:6" s="275" customFormat="1" x14ac:dyDescent="0.25">
      <c r="A47" s="309">
        <v>40</v>
      </c>
      <c r="B47" s="315" t="s">
        <v>311</v>
      </c>
      <c r="C47" s="300">
        <f>SUM(C48:C51)</f>
        <v>0</v>
      </c>
      <c r="F47" s="313"/>
    </row>
    <row r="48" spans="1:6" s="275" customFormat="1" x14ac:dyDescent="0.25">
      <c r="A48" s="309">
        <v>41</v>
      </c>
      <c r="B48" s="303" t="s">
        <v>312</v>
      </c>
      <c r="C48" s="302">
        <v>0</v>
      </c>
      <c r="F48" s="313"/>
    </row>
    <row r="49" spans="1:6" s="275" customFormat="1" x14ac:dyDescent="0.25">
      <c r="A49" s="309">
        <v>42</v>
      </c>
      <c r="B49" s="304" t="s">
        <v>313</v>
      </c>
      <c r="C49" s="302">
        <v>0</v>
      </c>
      <c r="F49" s="313"/>
    </row>
    <row r="50" spans="1:6" s="275" customFormat="1" ht="25.5" x14ac:dyDescent="0.25">
      <c r="A50" s="309">
        <v>43</v>
      </c>
      <c r="B50" s="303" t="s">
        <v>314</v>
      </c>
      <c r="C50" s="302">
        <v>0</v>
      </c>
      <c r="F50" s="313"/>
    </row>
    <row r="51" spans="1:6" s="275" customFormat="1" ht="25.5" x14ac:dyDescent="0.25">
      <c r="A51" s="309">
        <v>44</v>
      </c>
      <c r="B51" s="303" t="s">
        <v>292</v>
      </c>
      <c r="C51" s="302">
        <v>0</v>
      </c>
      <c r="F51" s="313"/>
    </row>
    <row r="52" spans="1:6" s="275" customFormat="1" ht="15.75" thickBot="1" x14ac:dyDescent="0.3">
      <c r="A52" s="316">
        <v>45</v>
      </c>
      <c r="B52" s="317" t="s">
        <v>315</v>
      </c>
      <c r="C52" s="318">
        <f>C43-C47</f>
        <v>61288251.633115612</v>
      </c>
      <c r="F52" s="313"/>
    </row>
    <row r="53" spans="1:6" x14ac:dyDescent="0.25">
      <c r="F53" s="313"/>
    </row>
    <row r="54" spans="1:6" x14ac:dyDescent="0.25">
      <c r="F54" s="313"/>
    </row>
    <row r="55" spans="1:6" x14ac:dyDescent="0.25">
      <c r="B55" s="25" t="s">
        <v>316</v>
      </c>
      <c r="F55" s="313"/>
    </row>
    <row r="56" spans="1:6" x14ac:dyDescent="0.25">
      <c r="F56" s="313"/>
    </row>
    <row r="57" spans="1:6" x14ac:dyDescent="0.25">
      <c r="F57" s="313"/>
    </row>
    <row r="58" spans="1:6" x14ac:dyDescent="0.25">
      <c r="F58" s="313"/>
    </row>
    <row r="59" spans="1:6" x14ac:dyDescent="0.25">
      <c r="F59" s="313"/>
    </row>
    <row r="60" spans="1:6" x14ac:dyDescent="0.25">
      <c r="F60" s="313"/>
    </row>
    <row r="61" spans="1:6" x14ac:dyDescent="0.25">
      <c r="F61" s="313"/>
    </row>
    <row r="62" spans="1:6" x14ac:dyDescent="0.25">
      <c r="F62" s="313"/>
    </row>
    <row r="63" spans="1:6" x14ac:dyDescent="0.25">
      <c r="F63" s="313"/>
    </row>
    <row r="64" spans="1:6" x14ac:dyDescent="0.25">
      <c r="F64" s="313"/>
    </row>
    <row r="65" spans="6:6" x14ac:dyDescent="0.25">
      <c r="F65" s="313"/>
    </row>
    <row r="66" spans="6:6" x14ac:dyDescent="0.25">
      <c r="F66" s="313"/>
    </row>
    <row r="67" spans="6:6" x14ac:dyDescent="0.25">
      <c r="F67" s="313"/>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2"/>
  <sheetViews>
    <sheetView zoomScaleNormal="100" workbookViewId="0">
      <selection activeCell="C12" sqref="C12"/>
    </sheetView>
  </sheetViews>
  <sheetFormatPr defaultColWidth="9.140625" defaultRowHeight="12.75" x14ac:dyDescent="0.2"/>
  <cols>
    <col min="1" max="1" width="10.85546875" style="25" bestFit="1" customWidth="1"/>
    <col min="2" max="2" width="59" style="25" customWidth="1"/>
    <col min="3" max="3" width="16.7109375" style="25" bestFit="1" customWidth="1"/>
    <col min="4" max="4" width="14.5703125" style="25" bestFit="1" customWidth="1"/>
    <col min="5" max="16384" width="9.140625" style="25"/>
  </cols>
  <sheetData>
    <row r="1" spans="1:4" ht="15" x14ac:dyDescent="0.3">
      <c r="A1" s="26" t="s">
        <v>29</v>
      </c>
      <c r="B1" s="25" t="str">
        <f>'1. key ratios'!B1</f>
        <v>სს ტერაბანკი</v>
      </c>
    </row>
    <row r="2" spans="1:4" s="226" customFormat="1" ht="15.75" customHeight="1" x14ac:dyDescent="0.3">
      <c r="A2" s="226" t="s">
        <v>31</v>
      </c>
      <c r="B2" s="86">
        <f>'1. key ratios'!B2</f>
        <v>43738</v>
      </c>
    </row>
    <row r="3" spans="1:4" s="226" customFormat="1" ht="15.75" customHeight="1" x14ac:dyDescent="0.3"/>
    <row r="4" spans="1:4" ht="13.5" thickBot="1" x14ac:dyDescent="0.25">
      <c r="A4" s="23" t="s">
        <v>317</v>
      </c>
      <c r="B4" s="319" t="s">
        <v>21</v>
      </c>
    </row>
    <row r="5" spans="1:4" s="324" customFormat="1" x14ac:dyDescent="0.25">
      <c r="A5" s="320" t="s">
        <v>318</v>
      </c>
      <c r="B5" s="321"/>
      <c r="C5" s="322" t="s">
        <v>319</v>
      </c>
      <c r="D5" s="323" t="s">
        <v>320</v>
      </c>
    </row>
    <row r="6" spans="1:4" s="328" customFormat="1" x14ac:dyDescent="0.25">
      <c r="A6" s="325">
        <v>1</v>
      </c>
      <c r="B6" s="326" t="s">
        <v>321</v>
      </c>
      <c r="C6" s="326"/>
      <c r="D6" s="327"/>
    </row>
    <row r="7" spans="1:4" s="328" customFormat="1" x14ac:dyDescent="0.25">
      <c r="A7" s="329" t="s">
        <v>322</v>
      </c>
      <c r="B7" s="330" t="s">
        <v>323</v>
      </c>
      <c r="C7" s="331">
        <v>4.4999999999999998E-2</v>
      </c>
      <c r="D7" s="332">
        <f>C7*'5. RWA'!$C$13</f>
        <v>42339832.797059946</v>
      </c>
    </row>
    <row r="8" spans="1:4" s="328" customFormat="1" x14ac:dyDescent="0.25">
      <c r="A8" s="329" t="s">
        <v>324</v>
      </c>
      <c r="B8" s="330" t="s">
        <v>325</v>
      </c>
      <c r="C8" s="333">
        <v>0.06</v>
      </c>
      <c r="D8" s="332">
        <f>C8*'5. RWA'!$C$13</f>
        <v>56453110.396079928</v>
      </c>
    </row>
    <row r="9" spans="1:4" s="328" customFormat="1" x14ac:dyDescent="0.25">
      <c r="A9" s="329" t="s">
        <v>326</v>
      </c>
      <c r="B9" s="330" t="s">
        <v>327</v>
      </c>
      <c r="C9" s="333">
        <v>0.08</v>
      </c>
      <c r="D9" s="332">
        <f>C9*'5. RWA'!$C$13</f>
        <v>75270813.861439914</v>
      </c>
    </row>
    <row r="10" spans="1:4" s="328" customFormat="1" x14ac:dyDescent="0.25">
      <c r="A10" s="325" t="s">
        <v>328</v>
      </c>
      <c r="B10" s="326" t="s">
        <v>329</v>
      </c>
      <c r="C10" s="326"/>
      <c r="D10" s="334"/>
    </row>
    <row r="11" spans="1:4" s="339" customFormat="1" x14ac:dyDescent="0.25">
      <c r="A11" s="335" t="s">
        <v>330</v>
      </c>
      <c r="B11" s="336" t="s">
        <v>331</v>
      </c>
      <c r="C11" s="337">
        <v>2.5000000000000001E-2</v>
      </c>
      <c r="D11" s="338">
        <f>C11*'5. RWA'!$C$13</f>
        <v>23522129.331699971</v>
      </c>
    </row>
    <row r="12" spans="1:4" s="339" customFormat="1" x14ac:dyDescent="0.25">
      <c r="A12" s="335" t="s">
        <v>332</v>
      </c>
      <c r="B12" s="336" t="s">
        <v>333</v>
      </c>
      <c r="C12" s="337">
        <v>0</v>
      </c>
      <c r="D12" s="338">
        <f>C12*'5. RWA'!$C$13</f>
        <v>0</v>
      </c>
    </row>
    <row r="13" spans="1:4" s="339" customFormat="1" x14ac:dyDescent="0.25">
      <c r="A13" s="335" t="s">
        <v>334</v>
      </c>
      <c r="B13" s="336" t="s">
        <v>335</v>
      </c>
      <c r="C13" s="337">
        <v>0</v>
      </c>
      <c r="D13" s="338">
        <f>C13*'5. RWA'!$C$13</f>
        <v>0</v>
      </c>
    </row>
    <row r="14" spans="1:4" s="328" customFormat="1" x14ac:dyDescent="0.25">
      <c r="A14" s="325" t="s">
        <v>336</v>
      </c>
      <c r="B14" s="326" t="s">
        <v>337</v>
      </c>
      <c r="C14" s="340"/>
      <c r="D14" s="334"/>
    </row>
    <row r="15" spans="1:4" s="328" customFormat="1" x14ac:dyDescent="0.25">
      <c r="A15" s="341" t="s">
        <v>338</v>
      </c>
      <c r="B15" s="336" t="s">
        <v>339</v>
      </c>
      <c r="C15" s="337">
        <v>2.1040663207422771E-2</v>
      </c>
      <c r="D15" s="338">
        <f>C15*'5. RWA'!$C$13</f>
        <v>19796848.047589581</v>
      </c>
    </row>
    <row r="16" spans="1:4" s="328" customFormat="1" x14ac:dyDescent="0.25">
      <c r="A16" s="341" t="s">
        <v>340</v>
      </c>
      <c r="B16" s="336" t="s">
        <v>341</v>
      </c>
      <c r="C16" s="342">
        <v>2.8142668312272794E-2</v>
      </c>
      <c r="D16" s="338">
        <f>C16*'5. RWA'!$C$13</f>
        <v>26479019.351216607</v>
      </c>
    </row>
    <row r="17" spans="1:6" s="328" customFormat="1" x14ac:dyDescent="0.25">
      <c r="A17" s="341" t="s">
        <v>342</v>
      </c>
      <c r="B17" s="336" t="s">
        <v>343</v>
      </c>
      <c r="C17" s="342">
        <v>6.7741512101356371E-2</v>
      </c>
      <c r="D17" s="338">
        <f>C17*'5. RWA'!$C$13</f>
        <v>63736984.350920931</v>
      </c>
    </row>
    <row r="18" spans="1:6" s="324" customFormat="1" x14ac:dyDescent="0.25">
      <c r="A18" s="343" t="s">
        <v>344</v>
      </c>
      <c r="B18" s="344"/>
      <c r="C18" s="345" t="s">
        <v>319</v>
      </c>
      <c r="D18" s="346" t="s">
        <v>320</v>
      </c>
    </row>
    <row r="19" spans="1:6" s="328" customFormat="1" x14ac:dyDescent="0.25">
      <c r="A19" s="347">
        <v>4</v>
      </c>
      <c r="B19" s="336" t="s">
        <v>36</v>
      </c>
      <c r="C19" s="337">
        <f>C7+C11+C12+C13+C15</f>
        <v>9.1040663207422781E-2</v>
      </c>
      <c r="D19" s="332">
        <f>C19*'5. RWA'!$C$13</f>
        <v>85658810.176349506</v>
      </c>
    </row>
    <row r="20" spans="1:6" s="328" customFormat="1" x14ac:dyDescent="0.25">
      <c r="A20" s="347">
        <v>5</v>
      </c>
      <c r="B20" s="336" t="s">
        <v>37</v>
      </c>
      <c r="C20" s="337">
        <f>C8+C11+C12+C13+C16</f>
        <v>0.11314266831227279</v>
      </c>
      <c r="D20" s="332">
        <f>C20*'5. RWA'!$C$13</f>
        <v>106454259.07899651</v>
      </c>
    </row>
    <row r="21" spans="1:6" s="328" customFormat="1" ht="13.5" thickBot="1" x14ac:dyDescent="0.3">
      <c r="A21" s="348" t="s">
        <v>345</v>
      </c>
      <c r="B21" s="349" t="s">
        <v>20</v>
      </c>
      <c r="C21" s="350">
        <f>C9+C11+C12+C13+C17</f>
        <v>0.17274151210135638</v>
      </c>
      <c r="D21" s="351">
        <f>C21*'5. RWA'!$C$13</f>
        <v>162529927.54406083</v>
      </c>
    </row>
    <row r="22" spans="1:6" x14ac:dyDescent="0.2">
      <c r="F22" s="2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4"/>
  <sheetViews>
    <sheetView zoomScaleNormal="100" workbookViewId="0">
      <pane xSplit="1" ySplit="5" topLeftCell="B26" activePane="bottomRight" state="frozen"/>
      <selection activeCell="C12" sqref="C12"/>
      <selection pane="topRight" activeCell="C12" sqref="C12"/>
      <selection pane="bottomLeft" activeCell="C12" sqref="C12"/>
      <selection pane="bottomRight" activeCell="C12" sqref="C12"/>
    </sheetView>
  </sheetViews>
  <sheetFormatPr defaultRowHeight="15.75" x14ac:dyDescent="0.3"/>
  <cols>
    <col min="1" max="1" width="10.7109375" style="204" customWidth="1"/>
    <col min="2" max="2" width="91.85546875" style="204" customWidth="1"/>
    <col min="3" max="3" width="53.140625" style="204" customWidth="1"/>
    <col min="4" max="4" width="32.28515625" style="204" customWidth="1"/>
    <col min="5" max="5" width="12.5703125" bestFit="1" customWidth="1"/>
  </cols>
  <sheetData>
    <row r="1" spans="1:6" x14ac:dyDescent="0.3">
      <c r="A1" s="352" t="s">
        <v>29</v>
      </c>
      <c r="B1" s="25" t="str">
        <f>'1. key ratios'!B1</f>
        <v>სს ტერაბანკი</v>
      </c>
      <c r="E1" s="25"/>
      <c r="F1" s="25"/>
    </row>
    <row r="2" spans="1:6" s="226" customFormat="1" ht="15.75" customHeight="1" x14ac:dyDescent="0.3">
      <c r="A2" s="353" t="s">
        <v>31</v>
      </c>
      <c r="B2" s="86">
        <f>'1. key ratios'!B2</f>
        <v>43738</v>
      </c>
    </row>
    <row r="3" spans="1:6" s="226" customFormat="1" ht="15.75" customHeight="1" x14ac:dyDescent="0.3">
      <c r="A3" s="353"/>
    </row>
    <row r="4" spans="1:6" s="226" customFormat="1" ht="15.75" customHeight="1" thickBot="1" x14ac:dyDescent="0.35">
      <c r="A4" s="226" t="s">
        <v>346</v>
      </c>
      <c r="B4" s="354" t="s">
        <v>22</v>
      </c>
      <c r="D4" s="355" t="s">
        <v>66</v>
      </c>
    </row>
    <row r="5" spans="1:6" ht="38.25" x14ac:dyDescent="0.25">
      <c r="A5" s="356" t="s">
        <v>33</v>
      </c>
      <c r="B5" s="357" t="s">
        <v>255</v>
      </c>
      <c r="C5" s="358" t="s">
        <v>347</v>
      </c>
      <c r="D5" s="359" t="s">
        <v>348</v>
      </c>
    </row>
    <row r="6" spans="1:6" x14ac:dyDescent="0.3">
      <c r="A6" s="360">
        <v>1</v>
      </c>
      <c r="B6" s="361" t="s">
        <v>73</v>
      </c>
      <c r="C6" s="362">
        <f>'2. RC'!E7</f>
        <v>34623729.890000015</v>
      </c>
      <c r="D6" s="363"/>
      <c r="E6" s="364"/>
    </row>
    <row r="7" spans="1:6" x14ac:dyDescent="0.3">
      <c r="A7" s="360">
        <v>2</v>
      </c>
      <c r="B7" s="365" t="s">
        <v>74</v>
      </c>
      <c r="C7" s="362">
        <f>'2. RC'!E8</f>
        <v>166585733.73999998</v>
      </c>
      <c r="D7" s="366"/>
      <c r="E7" s="364"/>
    </row>
    <row r="8" spans="1:6" x14ac:dyDescent="0.3">
      <c r="A8" s="360">
        <v>3</v>
      </c>
      <c r="B8" s="365" t="s">
        <v>75</v>
      </c>
      <c r="C8" s="362">
        <f>'2. RC'!E9</f>
        <v>19971401.029999997</v>
      </c>
      <c r="D8" s="366"/>
      <c r="E8" s="364"/>
    </row>
    <row r="9" spans="1:6" x14ac:dyDescent="0.3">
      <c r="A9" s="360">
        <v>4</v>
      </c>
      <c r="B9" s="365" t="s">
        <v>76</v>
      </c>
      <c r="C9" s="362">
        <f>'2. RC'!E10</f>
        <v>0</v>
      </c>
      <c r="D9" s="366"/>
      <c r="E9" s="364"/>
    </row>
    <row r="10" spans="1:6" x14ac:dyDescent="0.3">
      <c r="A10" s="360">
        <v>5</v>
      </c>
      <c r="B10" s="365" t="s">
        <v>77</v>
      </c>
      <c r="C10" s="362">
        <f>'2. RC'!E11</f>
        <v>52962059.619999997</v>
      </c>
      <c r="D10" s="366"/>
      <c r="E10" s="364"/>
    </row>
    <row r="11" spans="1:6" x14ac:dyDescent="0.3">
      <c r="A11" s="360">
        <v>6.1</v>
      </c>
      <c r="B11" s="365" t="s">
        <v>78</v>
      </c>
      <c r="C11" s="367">
        <f>'2. RC'!E12</f>
        <v>725614140.25999892</v>
      </c>
      <c r="D11" s="368"/>
      <c r="E11" s="369"/>
    </row>
    <row r="12" spans="1:6" x14ac:dyDescent="0.3">
      <c r="A12" s="360">
        <v>6.2</v>
      </c>
      <c r="B12" s="370" t="s">
        <v>79</v>
      </c>
      <c r="C12" s="367">
        <f>'2. RC'!E13</f>
        <v>-38884293.530000106</v>
      </c>
      <c r="D12" s="368"/>
      <c r="E12" s="369"/>
    </row>
    <row r="13" spans="1:6" x14ac:dyDescent="0.3">
      <c r="A13" s="360" t="s">
        <v>349</v>
      </c>
      <c r="B13" s="371" t="s">
        <v>350</v>
      </c>
      <c r="C13" s="372">
        <v>-12500780.930000007</v>
      </c>
      <c r="D13" s="368"/>
      <c r="E13" s="369"/>
    </row>
    <row r="14" spans="1:6" x14ac:dyDescent="0.3">
      <c r="A14" s="360">
        <v>6</v>
      </c>
      <c r="B14" s="365" t="s">
        <v>80</v>
      </c>
      <c r="C14" s="373">
        <f>C11+C12</f>
        <v>686729846.72999883</v>
      </c>
      <c r="D14" s="368"/>
      <c r="E14" s="364"/>
    </row>
    <row r="15" spans="1:6" x14ac:dyDescent="0.3">
      <c r="A15" s="360">
        <v>7</v>
      </c>
      <c r="B15" s="365" t="s">
        <v>81</v>
      </c>
      <c r="C15" s="374">
        <f>'2. RC'!E15</f>
        <v>5091850.1899999958</v>
      </c>
      <c r="D15" s="366"/>
      <c r="E15" s="364"/>
    </row>
    <row r="16" spans="1:6" x14ac:dyDescent="0.3">
      <c r="A16" s="360">
        <v>8</v>
      </c>
      <c r="B16" s="365" t="s">
        <v>82</v>
      </c>
      <c r="C16" s="374">
        <f>'2. RC'!E16</f>
        <v>1639651.5700000026</v>
      </c>
      <c r="D16" s="366"/>
      <c r="E16" s="364"/>
    </row>
    <row r="17" spans="1:5" x14ac:dyDescent="0.3">
      <c r="A17" s="360">
        <v>9</v>
      </c>
      <c r="B17" s="365" t="s">
        <v>83</v>
      </c>
      <c r="C17" s="374">
        <f>'2. RC'!E17</f>
        <v>0</v>
      </c>
      <c r="D17" s="366"/>
      <c r="E17" s="364"/>
    </row>
    <row r="18" spans="1:5" x14ac:dyDescent="0.3">
      <c r="A18" s="360">
        <v>9.1</v>
      </c>
      <c r="B18" s="371" t="s">
        <v>351</v>
      </c>
      <c r="C18" s="374">
        <v>0</v>
      </c>
      <c r="D18" s="366"/>
      <c r="E18" s="364"/>
    </row>
    <row r="19" spans="1:5" x14ac:dyDescent="0.3">
      <c r="A19" s="360">
        <v>9.1999999999999993</v>
      </c>
      <c r="B19" s="371" t="s">
        <v>352</v>
      </c>
      <c r="C19" s="374">
        <v>0</v>
      </c>
      <c r="D19" s="366"/>
      <c r="E19" s="364"/>
    </row>
    <row r="20" spans="1:5" x14ac:dyDescent="0.3">
      <c r="A20" s="360">
        <v>9.3000000000000007</v>
      </c>
      <c r="B20" s="371" t="s">
        <v>353</v>
      </c>
      <c r="C20" s="374">
        <v>0</v>
      </c>
      <c r="D20" s="366"/>
      <c r="E20" s="364"/>
    </row>
    <row r="21" spans="1:5" x14ac:dyDescent="0.3">
      <c r="A21" s="360">
        <v>10</v>
      </c>
      <c r="B21" s="365" t="s">
        <v>84</v>
      </c>
      <c r="C21" s="374">
        <f>'2. RC'!E18</f>
        <v>47474796.749999993</v>
      </c>
      <c r="D21" s="366"/>
      <c r="E21" s="364"/>
    </row>
    <row r="22" spans="1:5" x14ac:dyDescent="0.3">
      <c r="A22" s="360">
        <v>10.1</v>
      </c>
      <c r="B22" s="371" t="s">
        <v>354</v>
      </c>
      <c r="C22" s="374">
        <f>'9. Capital'!C15</f>
        <v>23375717</v>
      </c>
      <c r="D22" s="375" t="s">
        <v>355</v>
      </c>
      <c r="E22" s="364"/>
    </row>
    <row r="23" spans="1:5" x14ac:dyDescent="0.3">
      <c r="A23" s="360">
        <v>11</v>
      </c>
      <c r="B23" s="376" t="s">
        <v>85</v>
      </c>
      <c r="C23" s="377">
        <f>'2. RC'!E19</f>
        <v>7446696.4469999997</v>
      </c>
      <c r="D23" s="366"/>
      <c r="E23" s="364"/>
    </row>
    <row r="24" spans="1:5" x14ac:dyDescent="0.3">
      <c r="A24" s="360">
        <v>12</v>
      </c>
      <c r="B24" s="378" t="s">
        <v>86</v>
      </c>
      <c r="C24" s="379">
        <f>SUM(C6:C10,C14:C17,C21,C23)</f>
        <v>1022525765.9669988</v>
      </c>
      <c r="D24" s="380"/>
      <c r="E24" s="381"/>
    </row>
    <row r="25" spans="1:5" x14ac:dyDescent="0.3">
      <c r="A25" s="360">
        <v>13</v>
      </c>
      <c r="B25" s="365" t="s">
        <v>88</v>
      </c>
      <c r="C25" s="382">
        <f>'2. RC'!E22</f>
        <v>5129100.4400000004</v>
      </c>
      <c r="D25" s="383"/>
      <c r="E25" s="364"/>
    </row>
    <row r="26" spans="1:5" x14ac:dyDescent="0.3">
      <c r="A26" s="360">
        <v>14</v>
      </c>
      <c r="B26" s="365" t="s">
        <v>89</v>
      </c>
      <c r="C26" s="382">
        <f>'2. RC'!E23</f>
        <v>198944682.94999999</v>
      </c>
      <c r="D26" s="366"/>
      <c r="E26" s="364"/>
    </row>
    <row r="27" spans="1:5" x14ac:dyDescent="0.3">
      <c r="A27" s="360">
        <v>15</v>
      </c>
      <c r="B27" s="365" t="s">
        <v>90</v>
      </c>
      <c r="C27" s="382">
        <f>'2. RC'!E24</f>
        <v>167815614.41999996</v>
      </c>
      <c r="D27" s="366"/>
      <c r="E27" s="364"/>
    </row>
    <row r="28" spans="1:5" x14ac:dyDescent="0.3">
      <c r="A28" s="360">
        <v>16</v>
      </c>
      <c r="B28" s="365" t="s">
        <v>91</v>
      </c>
      <c r="C28" s="382">
        <f>'2. RC'!E25</f>
        <v>321449690.53999972</v>
      </c>
      <c r="D28" s="366"/>
      <c r="E28" s="364"/>
    </row>
    <row r="29" spans="1:5" x14ac:dyDescent="0.3">
      <c r="A29" s="360">
        <v>17</v>
      </c>
      <c r="B29" s="365" t="s">
        <v>92</v>
      </c>
      <c r="C29" s="382">
        <f>'2. RC'!E26</f>
        <v>0</v>
      </c>
      <c r="D29" s="366"/>
      <c r="E29" s="364"/>
    </row>
    <row r="30" spans="1:5" x14ac:dyDescent="0.3">
      <c r="A30" s="360">
        <v>18</v>
      </c>
      <c r="B30" s="365" t="s">
        <v>93</v>
      </c>
      <c r="C30" s="382">
        <f>'2. RC'!E27</f>
        <v>110465700</v>
      </c>
      <c r="D30" s="366"/>
      <c r="E30" s="364"/>
    </row>
    <row r="31" spans="1:5" x14ac:dyDescent="0.3">
      <c r="A31" s="360">
        <v>19</v>
      </c>
      <c r="B31" s="365" t="s">
        <v>94</v>
      </c>
      <c r="C31" s="382">
        <f>'2. RC'!E28</f>
        <v>4865360.209999999</v>
      </c>
      <c r="D31" s="366"/>
      <c r="E31" s="364"/>
    </row>
    <row r="32" spans="1:5" x14ac:dyDescent="0.3">
      <c r="A32" s="360">
        <v>20</v>
      </c>
      <c r="B32" s="365" t="s">
        <v>95</v>
      </c>
      <c r="C32" s="382">
        <f>'2. RC'!E29</f>
        <v>19335559.829999998</v>
      </c>
      <c r="D32" s="366"/>
      <c r="E32" s="364"/>
    </row>
    <row r="33" spans="1:5" x14ac:dyDescent="0.3">
      <c r="A33" s="360">
        <v>20.100000000000001</v>
      </c>
      <c r="B33" s="384" t="s">
        <v>356</v>
      </c>
      <c r="C33" s="385">
        <v>580522.18000000005</v>
      </c>
      <c r="D33" s="366"/>
      <c r="E33" s="364"/>
    </row>
    <row r="34" spans="1:5" x14ac:dyDescent="0.3">
      <c r="A34" s="360">
        <v>21</v>
      </c>
      <c r="B34" s="376" t="s">
        <v>96</v>
      </c>
      <c r="C34" s="382">
        <f>'2. RC'!E30</f>
        <v>55075691.396998994</v>
      </c>
      <c r="D34" s="366"/>
      <c r="E34" s="364"/>
    </row>
    <row r="35" spans="1:5" x14ac:dyDescent="0.3">
      <c r="A35" s="360">
        <v>21.1</v>
      </c>
      <c r="B35" s="384" t="s">
        <v>357</v>
      </c>
      <c r="C35" s="382">
        <v>50641979.380000003</v>
      </c>
      <c r="D35" s="366"/>
      <c r="E35" s="364"/>
    </row>
    <row r="36" spans="1:5" x14ac:dyDescent="0.3">
      <c r="A36" s="360">
        <v>22</v>
      </c>
      <c r="B36" s="378" t="s">
        <v>97</v>
      </c>
      <c r="C36" s="379">
        <f>SUM(C25:C32)+C34</f>
        <v>883081399.78699875</v>
      </c>
      <c r="D36" s="380"/>
      <c r="E36" s="381"/>
    </row>
    <row r="37" spans="1:5" x14ac:dyDescent="0.3">
      <c r="A37" s="360">
        <v>23</v>
      </c>
      <c r="B37" s="376" t="s">
        <v>99</v>
      </c>
      <c r="C37" s="374">
        <f>'2. RC'!E33</f>
        <v>121372000</v>
      </c>
      <c r="D37" s="366"/>
      <c r="E37" s="364"/>
    </row>
    <row r="38" spans="1:5" x14ac:dyDescent="0.3">
      <c r="A38" s="360">
        <v>24</v>
      </c>
      <c r="B38" s="376" t="s">
        <v>100</v>
      </c>
      <c r="C38" s="386">
        <f>'2. RC'!E34</f>
        <v>0</v>
      </c>
      <c r="D38" s="366"/>
      <c r="E38" s="364"/>
    </row>
    <row r="39" spans="1:5" x14ac:dyDescent="0.3">
      <c r="A39" s="360">
        <v>25</v>
      </c>
      <c r="B39" s="376" t="s">
        <v>358</v>
      </c>
      <c r="C39" s="386">
        <f>'2. RC'!E35</f>
        <v>0</v>
      </c>
      <c r="D39" s="366"/>
      <c r="E39" s="364"/>
    </row>
    <row r="40" spans="1:5" x14ac:dyDescent="0.3">
      <c r="A40" s="360">
        <v>26</v>
      </c>
      <c r="B40" s="376" t="s">
        <v>102</v>
      </c>
      <c r="C40" s="386">
        <f>'2. RC'!E36</f>
        <v>0</v>
      </c>
      <c r="D40" s="366"/>
      <c r="E40" s="364"/>
    </row>
    <row r="41" spans="1:5" x14ac:dyDescent="0.3">
      <c r="A41" s="360">
        <v>27</v>
      </c>
      <c r="B41" s="376" t="s">
        <v>103</v>
      </c>
      <c r="C41" s="386">
        <f>'2. RC'!E37</f>
        <v>0</v>
      </c>
      <c r="D41" s="366"/>
      <c r="E41" s="364"/>
    </row>
    <row r="42" spans="1:5" x14ac:dyDescent="0.3">
      <c r="A42" s="360">
        <v>28</v>
      </c>
      <c r="B42" s="376" t="s">
        <v>104</v>
      </c>
      <c r="C42" s="387">
        <f>'2. RC'!E38</f>
        <v>18072366.18</v>
      </c>
      <c r="D42" s="366"/>
      <c r="E42" s="364"/>
    </row>
    <row r="43" spans="1:5" x14ac:dyDescent="0.3">
      <c r="A43" s="360">
        <v>29</v>
      </c>
      <c r="B43" s="376" t="s">
        <v>281</v>
      </c>
      <c r="C43" s="386">
        <f>'2. RC'!E39</f>
        <v>0</v>
      </c>
      <c r="D43" s="366"/>
      <c r="E43" s="364"/>
    </row>
    <row r="44" spans="1:5" ht="16.5" thickBot="1" x14ac:dyDescent="0.35">
      <c r="A44" s="388">
        <v>30</v>
      </c>
      <c r="B44" s="389" t="s">
        <v>106</v>
      </c>
      <c r="C44" s="390">
        <f>SUM(C37:C43)</f>
        <v>139444366.18000001</v>
      </c>
      <c r="D44" s="391"/>
      <c r="E44" s="381"/>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zoomScaleNormal="100" workbookViewId="0">
      <pane xSplit="2" ySplit="7" topLeftCell="O8" activePane="bottomRight" state="frozen"/>
      <selection activeCell="C12" sqref="C12"/>
      <selection pane="topRight" activeCell="C12" sqref="C12"/>
      <selection pane="bottomLeft" activeCell="C12" sqref="C12"/>
      <selection pane="bottomRight" activeCell="S23" sqref="S23:S25"/>
    </sheetView>
  </sheetViews>
  <sheetFormatPr defaultColWidth="9.140625" defaultRowHeight="12.75" x14ac:dyDescent="0.2"/>
  <cols>
    <col min="1" max="1" width="10.5703125" style="25" bestFit="1" customWidth="1"/>
    <col min="2" max="2" width="105.140625" style="25" bestFit="1" customWidth="1"/>
    <col min="3" max="3" width="16.28515625" style="25" bestFit="1" customWidth="1"/>
    <col min="4" max="4" width="13.42578125" style="25" bestFit="1" customWidth="1"/>
    <col min="5" max="5" width="16.140625" style="25" bestFit="1" customWidth="1"/>
    <col min="6" max="6" width="13.42578125" style="25" bestFit="1" customWidth="1"/>
    <col min="7" max="7" width="12.5703125" style="25" customWidth="1"/>
    <col min="8" max="8" width="13.42578125" style="25" bestFit="1" customWidth="1"/>
    <col min="9" max="9" width="15.5703125" style="25" bestFit="1" customWidth="1"/>
    <col min="10" max="10" width="13.42578125" style="25" bestFit="1" customWidth="1"/>
    <col min="11" max="11" width="17" style="25" bestFit="1" customWidth="1"/>
    <col min="12" max="12" width="14.7109375" style="25" bestFit="1" customWidth="1"/>
    <col min="13" max="13" width="17.28515625" style="25" bestFit="1" customWidth="1"/>
    <col min="14" max="14" width="16.28515625" style="25" bestFit="1" customWidth="1"/>
    <col min="15" max="15" width="15.140625" style="25" bestFit="1" customWidth="1"/>
    <col min="16" max="16" width="13.42578125" style="25" bestFit="1" customWidth="1"/>
    <col min="17" max="17" width="9.5703125" style="25" bestFit="1" customWidth="1"/>
    <col min="18" max="18" width="13.42578125" style="25" bestFit="1" customWidth="1"/>
    <col min="19" max="19" width="33.140625" style="25" bestFit="1" customWidth="1"/>
    <col min="20" max="16384" width="9.140625" style="136"/>
  </cols>
  <sheetData>
    <row r="1" spans="1:19" x14ac:dyDescent="0.2">
      <c r="A1" s="25" t="s">
        <v>29</v>
      </c>
      <c r="B1" s="25" t="str">
        <f>'1. key ratios'!B1</f>
        <v>სს ტერაბანკი</v>
      </c>
    </row>
    <row r="2" spans="1:19" x14ac:dyDescent="0.2">
      <c r="A2" s="25" t="s">
        <v>31</v>
      </c>
      <c r="B2" s="86">
        <f>'1. key ratios'!B2</f>
        <v>43738</v>
      </c>
    </row>
    <row r="4" spans="1:19" ht="26.25" thickBot="1" x14ac:dyDescent="0.25">
      <c r="A4" s="392" t="s">
        <v>359</v>
      </c>
      <c r="B4" s="393" t="s">
        <v>360</v>
      </c>
    </row>
    <row r="5" spans="1:19" x14ac:dyDescent="0.2">
      <c r="A5" s="394"/>
      <c r="B5" s="395"/>
      <c r="C5" s="396" t="s">
        <v>252</v>
      </c>
      <c r="D5" s="396" t="s">
        <v>253</v>
      </c>
      <c r="E5" s="396" t="s">
        <v>254</v>
      </c>
      <c r="F5" s="396" t="s">
        <v>361</v>
      </c>
      <c r="G5" s="396" t="s">
        <v>362</v>
      </c>
      <c r="H5" s="396" t="s">
        <v>363</v>
      </c>
      <c r="I5" s="396" t="s">
        <v>364</v>
      </c>
      <c r="J5" s="396" t="s">
        <v>365</v>
      </c>
      <c r="K5" s="396" t="s">
        <v>366</v>
      </c>
      <c r="L5" s="396" t="s">
        <v>367</v>
      </c>
      <c r="M5" s="396" t="s">
        <v>368</v>
      </c>
      <c r="N5" s="396" t="s">
        <v>369</v>
      </c>
      <c r="O5" s="396" t="s">
        <v>370</v>
      </c>
      <c r="P5" s="396" t="s">
        <v>371</v>
      </c>
      <c r="Q5" s="396" t="s">
        <v>372</v>
      </c>
      <c r="R5" s="397" t="s">
        <v>373</v>
      </c>
      <c r="S5" s="398" t="s">
        <v>374</v>
      </c>
    </row>
    <row r="6" spans="1:19" ht="46.5" customHeight="1" x14ac:dyDescent="0.2">
      <c r="A6" s="399"/>
      <c r="B6" s="400" t="s">
        <v>375</v>
      </c>
      <c r="C6" s="401">
        <v>0</v>
      </c>
      <c r="D6" s="402"/>
      <c r="E6" s="401">
        <v>0.2</v>
      </c>
      <c r="F6" s="402"/>
      <c r="G6" s="401">
        <v>0.35</v>
      </c>
      <c r="H6" s="402"/>
      <c r="I6" s="401">
        <v>0.5</v>
      </c>
      <c r="J6" s="402"/>
      <c r="K6" s="401">
        <v>0.75</v>
      </c>
      <c r="L6" s="402"/>
      <c r="M6" s="401">
        <v>1</v>
      </c>
      <c r="N6" s="402"/>
      <c r="O6" s="401">
        <v>1.5</v>
      </c>
      <c r="P6" s="402"/>
      <c r="Q6" s="401">
        <v>2.5</v>
      </c>
      <c r="R6" s="402"/>
      <c r="S6" s="403" t="s">
        <v>376</v>
      </c>
    </row>
    <row r="7" spans="1:19" x14ac:dyDescent="0.2">
      <c r="A7" s="399"/>
      <c r="B7" s="404"/>
      <c r="C7" s="405" t="s">
        <v>377</v>
      </c>
      <c r="D7" s="405" t="s">
        <v>378</v>
      </c>
      <c r="E7" s="405" t="s">
        <v>377</v>
      </c>
      <c r="F7" s="405" t="s">
        <v>378</v>
      </c>
      <c r="G7" s="405" t="s">
        <v>377</v>
      </c>
      <c r="H7" s="405" t="s">
        <v>378</v>
      </c>
      <c r="I7" s="405" t="s">
        <v>377</v>
      </c>
      <c r="J7" s="405" t="s">
        <v>378</v>
      </c>
      <c r="K7" s="405" t="s">
        <v>377</v>
      </c>
      <c r="L7" s="405" t="s">
        <v>378</v>
      </c>
      <c r="M7" s="405" t="s">
        <v>377</v>
      </c>
      <c r="N7" s="405" t="s">
        <v>378</v>
      </c>
      <c r="O7" s="405" t="s">
        <v>377</v>
      </c>
      <c r="P7" s="405" t="s">
        <v>378</v>
      </c>
      <c r="Q7" s="405" t="s">
        <v>377</v>
      </c>
      <c r="R7" s="405" t="s">
        <v>378</v>
      </c>
      <c r="S7" s="406"/>
    </row>
    <row r="8" spans="1:19" s="412" customFormat="1" x14ac:dyDescent="0.2">
      <c r="A8" s="407">
        <v>1</v>
      </c>
      <c r="B8" s="408" t="s">
        <v>379</v>
      </c>
      <c r="C8" s="409">
        <v>73740589.490000024</v>
      </c>
      <c r="D8" s="409"/>
      <c r="E8" s="409">
        <v>0</v>
      </c>
      <c r="F8" s="410"/>
      <c r="G8" s="409">
        <v>0</v>
      </c>
      <c r="H8" s="409"/>
      <c r="I8" s="409">
        <v>0</v>
      </c>
      <c r="J8" s="409"/>
      <c r="K8" s="409">
        <v>0</v>
      </c>
      <c r="L8" s="409"/>
      <c r="M8" s="409">
        <v>148922444.57999998</v>
      </c>
      <c r="N8" s="409"/>
      <c r="O8" s="409">
        <v>0</v>
      </c>
      <c r="P8" s="409"/>
      <c r="Q8" s="409">
        <v>0</v>
      </c>
      <c r="R8" s="410"/>
      <c r="S8" s="411">
        <f>$C$6*SUM(C8:D8)+$E$6*SUM(E8:F8)+$G$6*SUM(G8:H8)+$I$6*SUM(I8:J8)+$K$6*SUM(K8:L8)+$M$6*SUM(M8:N8)+$O$6*SUM(O8:P8)+$Q$6*SUM(Q8:R8)</f>
        <v>148922444.57999998</v>
      </c>
    </row>
    <row r="9" spans="1:19" s="412" customFormat="1" x14ac:dyDescent="0.2">
      <c r="A9" s="407">
        <v>2</v>
      </c>
      <c r="B9" s="408" t="s">
        <v>380</v>
      </c>
      <c r="C9" s="409">
        <v>0</v>
      </c>
      <c r="D9" s="409"/>
      <c r="E9" s="409">
        <v>0</v>
      </c>
      <c r="F9" s="409"/>
      <c r="G9" s="409">
        <v>0</v>
      </c>
      <c r="H9" s="409"/>
      <c r="I9" s="409">
        <v>0</v>
      </c>
      <c r="J9" s="409"/>
      <c r="K9" s="409">
        <v>0</v>
      </c>
      <c r="L9" s="409"/>
      <c r="M9" s="409">
        <v>0</v>
      </c>
      <c r="N9" s="409"/>
      <c r="O9" s="409">
        <v>0</v>
      </c>
      <c r="P9" s="409"/>
      <c r="Q9" s="409">
        <v>0</v>
      </c>
      <c r="R9" s="410"/>
      <c r="S9" s="413">
        <f t="shared" ref="S9:S21" si="0">$C$6*SUM(C9:D9)+$E$6*SUM(E9:F9)+$G$6*SUM(G9:H9)+$I$6*SUM(I9:J9)+$K$6*SUM(K9:L9)+$M$6*SUM(M9:N9)+$O$6*SUM(O9:P9)+$Q$6*SUM(Q9:R9)</f>
        <v>0</v>
      </c>
    </row>
    <row r="10" spans="1:19" s="412" customFormat="1" x14ac:dyDescent="0.2">
      <c r="A10" s="407">
        <v>3</v>
      </c>
      <c r="B10" s="408" t="s">
        <v>381</v>
      </c>
      <c r="C10" s="409">
        <v>0</v>
      </c>
      <c r="D10" s="409"/>
      <c r="E10" s="409">
        <v>0</v>
      </c>
      <c r="F10" s="409"/>
      <c r="G10" s="409">
        <v>0</v>
      </c>
      <c r="H10" s="409"/>
      <c r="I10" s="409">
        <v>0</v>
      </c>
      <c r="J10" s="409"/>
      <c r="K10" s="409">
        <v>0</v>
      </c>
      <c r="L10" s="409"/>
      <c r="M10" s="409">
        <v>0</v>
      </c>
      <c r="N10" s="409"/>
      <c r="O10" s="409">
        <v>0</v>
      </c>
      <c r="P10" s="409"/>
      <c r="Q10" s="409">
        <v>0</v>
      </c>
      <c r="R10" s="410"/>
      <c r="S10" s="413">
        <f t="shared" si="0"/>
        <v>0</v>
      </c>
    </row>
    <row r="11" spans="1:19" s="412" customFormat="1" x14ac:dyDescent="0.2">
      <c r="A11" s="407">
        <v>4</v>
      </c>
      <c r="B11" s="408" t="s">
        <v>382</v>
      </c>
      <c r="C11" s="409">
        <v>0</v>
      </c>
      <c r="D11" s="409"/>
      <c r="E11" s="409">
        <v>0</v>
      </c>
      <c r="F11" s="409"/>
      <c r="G11" s="409">
        <v>0</v>
      </c>
      <c r="H11" s="409"/>
      <c r="I11" s="409">
        <v>0</v>
      </c>
      <c r="J11" s="409"/>
      <c r="K11" s="409">
        <v>0</v>
      </c>
      <c r="L11" s="409"/>
      <c r="M11" s="409">
        <v>0</v>
      </c>
      <c r="N11" s="409"/>
      <c r="O11" s="409">
        <v>0</v>
      </c>
      <c r="P11" s="409"/>
      <c r="Q11" s="409">
        <v>0</v>
      </c>
      <c r="R11" s="410"/>
      <c r="S11" s="413">
        <f t="shared" si="0"/>
        <v>0</v>
      </c>
    </row>
    <row r="12" spans="1:19" s="412" customFormat="1" x14ac:dyDescent="0.2">
      <c r="A12" s="407">
        <v>5</v>
      </c>
      <c r="B12" s="408" t="s">
        <v>383</v>
      </c>
      <c r="C12" s="409">
        <v>0</v>
      </c>
      <c r="D12" s="409"/>
      <c r="E12" s="409">
        <v>0</v>
      </c>
      <c r="F12" s="409"/>
      <c r="G12" s="409">
        <v>0</v>
      </c>
      <c r="H12" s="409"/>
      <c r="I12" s="409">
        <v>0</v>
      </c>
      <c r="J12" s="409"/>
      <c r="K12" s="409">
        <v>0</v>
      </c>
      <c r="L12" s="409"/>
      <c r="M12" s="409">
        <v>0</v>
      </c>
      <c r="N12" s="409"/>
      <c r="O12" s="409">
        <v>0</v>
      </c>
      <c r="P12" s="409"/>
      <c r="Q12" s="409">
        <v>0</v>
      </c>
      <c r="R12" s="410"/>
      <c r="S12" s="413">
        <f t="shared" si="0"/>
        <v>0</v>
      </c>
    </row>
    <row r="13" spans="1:19" s="412" customFormat="1" x14ac:dyDescent="0.2">
      <c r="A13" s="407">
        <v>6</v>
      </c>
      <c r="B13" s="408" t="s">
        <v>384</v>
      </c>
      <c r="C13" s="409">
        <v>0</v>
      </c>
      <c r="D13" s="409"/>
      <c r="E13" s="409">
        <v>14124977.380000001</v>
      </c>
      <c r="F13" s="409"/>
      <c r="G13" s="409">
        <v>0</v>
      </c>
      <c r="H13" s="409"/>
      <c r="I13" s="409">
        <v>5163887.54</v>
      </c>
      <c r="J13" s="409"/>
      <c r="K13" s="409">
        <v>0</v>
      </c>
      <c r="L13" s="409"/>
      <c r="M13" s="409">
        <v>682536.1100000001</v>
      </c>
      <c r="N13" s="409"/>
      <c r="O13" s="409">
        <v>0</v>
      </c>
      <c r="P13" s="409"/>
      <c r="Q13" s="409">
        <v>0</v>
      </c>
      <c r="R13" s="410"/>
      <c r="S13" s="413">
        <f t="shared" si="0"/>
        <v>6089475.3560000006</v>
      </c>
    </row>
    <row r="14" spans="1:19" s="412" customFormat="1" x14ac:dyDescent="0.2">
      <c r="A14" s="407">
        <v>7</v>
      </c>
      <c r="B14" s="408" t="s">
        <v>385</v>
      </c>
      <c r="C14" s="409">
        <v>0</v>
      </c>
      <c r="D14" s="409"/>
      <c r="E14" s="409">
        <v>0</v>
      </c>
      <c r="F14" s="409"/>
      <c r="G14" s="409">
        <v>0</v>
      </c>
      <c r="H14" s="409"/>
      <c r="I14" s="409">
        <v>0</v>
      </c>
      <c r="J14" s="409"/>
      <c r="K14" s="409">
        <v>0</v>
      </c>
      <c r="L14" s="409"/>
      <c r="M14" s="409">
        <v>352047988.76999807</v>
      </c>
      <c r="N14" s="409">
        <v>23806863.597000003</v>
      </c>
      <c r="O14" s="409">
        <v>0</v>
      </c>
      <c r="P14" s="409"/>
      <c r="Q14" s="409">
        <v>0</v>
      </c>
      <c r="R14" s="410"/>
      <c r="S14" s="413">
        <f t="shared" si="0"/>
        <v>375854852.36699808</v>
      </c>
    </row>
    <row r="15" spans="1:19" s="412" customFormat="1" x14ac:dyDescent="0.2">
      <c r="A15" s="407">
        <v>8</v>
      </c>
      <c r="B15" s="408" t="s">
        <v>386</v>
      </c>
      <c r="C15" s="409">
        <v>0</v>
      </c>
      <c r="D15" s="409"/>
      <c r="E15" s="409">
        <v>0</v>
      </c>
      <c r="F15" s="409"/>
      <c r="G15" s="409">
        <v>0</v>
      </c>
      <c r="H15" s="409"/>
      <c r="I15" s="409">
        <v>0</v>
      </c>
      <c r="J15" s="409"/>
      <c r="K15" s="409">
        <v>207804930.45999983</v>
      </c>
      <c r="L15" s="409">
        <v>5392645.1369999899</v>
      </c>
      <c r="M15" s="409">
        <v>0</v>
      </c>
      <c r="N15" s="409"/>
      <c r="O15" s="409">
        <v>0</v>
      </c>
      <c r="P15" s="409"/>
      <c r="Q15" s="409">
        <v>0</v>
      </c>
      <c r="R15" s="410"/>
      <c r="S15" s="413">
        <f t="shared" si="0"/>
        <v>159898181.69774985</v>
      </c>
    </row>
    <row r="16" spans="1:19" s="412" customFormat="1" x14ac:dyDescent="0.2">
      <c r="A16" s="407">
        <v>9</v>
      </c>
      <c r="B16" s="408" t="s">
        <v>387</v>
      </c>
      <c r="C16" s="409">
        <v>0</v>
      </c>
      <c r="D16" s="409"/>
      <c r="E16" s="409">
        <v>0</v>
      </c>
      <c r="F16" s="409"/>
      <c r="G16" s="409">
        <v>0</v>
      </c>
      <c r="H16" s="409"/>
      <c r="I16" s="409">
        <v>0</v>
      </c>
      <c r="J16" s="409"/>
      <c r="K16" s="409">
        <v>0</v>
      </c>
      <c r="L16" s="409"/>
      <c r="M16" s="409">
        <v>0</v>
      </c>
      <c r="N16" s="409"/>
      <c r="O16" s="409">
        <v>0</v>
      </c>
      <c r="P16" s="409"/>
      <c r="Q16" s="409">
        <v>0</v>
      </c>
      <c r="R16" s="410"/>
      <c r="S16" s="413">
        <f t="shared" si="0"/>
        <v>0</v>
      </c>
    </row>
    <row r="17" spans="1:19" s="412" customFormat="1" x14ac:dyDescent="0.2">
      <c r="A17" s="407">
        <v>10</v>
      </c>
      <c r="B17" s="408" t="s">
        <v>388</v>
      </c>
      <c r="C17" s="409">
        <v>0</v>
      </c>
      <c r="D17" s="409"/>
      <c r="E17" s="409">
        <v>0</v>
      </c>
      <c r="F17" s="409"/>
      <c r="G17" s="409">
        <v>0</v>
      </c>
      <c r="H17" s="409"/>
      <c r="I17" s="409">
        <v>0</v>
      </c>
      <c r="J17" s="409"/>
      <c r="K17" s="409">
        <v>0</v>
      </c>
      <c r="L17" s="409"/>
      <c r="M17" s="409">
        <v>18602014.409999996</v>
      </c>
      <c r="N17" s="409"/>
      <c r="O17" s="409">
        <v>1218193.6199999999</v>
      </c>
      <c r="P17" s="409"/>
      <c r="Q17" s="409">
        <v>0</v>
      </c>
      <c r="R17" s="410"/>
      <c r="S17" s="413">
        <f t="shared" si="0"/>
        <v>20429304.839999996</v>
      </c>
    </row>
    <row r="18" spans="1:19" s="412" customFormat="1" x14ac:dyDescent="0.2">
      <c r="A18" s="407">
        <v>11</v>
      </c>
      <c r="B18" s="408" t="s">
        <v>389</v>
      </c>
      <c r="C18" s="409">
        <v>0</v>
      </c>
      <c r="D18" s="409"/>
      <c r="E18" s="409">
        <v>0</v>
      </c>
      <c r="F18" s="409"/>
      <c r="G18" s="409">
        <v>0</v>
      </c>
      <c r="H18" s="409"/>
      <c r="I18" s="409">
        <v>0</v>
      </c>
      <c r="J18" s="409"/>
      <c r="K18" s="409">
        <v>0</v>
      </c>
      <c r="L18" s="409"/>
      <c r="M18" s="409">
        <v>88710448.190000027</v>
      </c>
      <c r="N18" s="409"/>
      <c r="O18" s="409">
        <v>35373738.830000445</v>
      </c>
      <c r="P18" s="409"/>
      <c r="Q18" s="409">
        <v>0</v>
      </c>
      <c r="R18" s="410"/>
      <c r="S18" s="413">
        <f t="shared" si="0"/>
        <v>141771056.43500069</v>
      </c>
    </row>
    <row r="19" spans="1:19" s="412" customFormat="1" x14ac:dyDescent="0.2">
      <c r="A19" s="407">
        <v>12</v>
      </c>
      <c r="B19" s="408" t="s">
        <v>390</v>
      </c>
      <c r="C19" s="409">
        <v>0</v>
      </c>
      <c r="D19" s="409"/>
      <c r="E19" s="409">
        <v>0</v>
      </c>
      <c r="F19" s="409"/>
      <c r="G19" s="409">
        <v>0</v>
      </c>
      <c r="H19" s="409"/>
      <c r="I19" s="409">
        <v>0</v>
      </c>
      <c r="J19" s="409"/>
      <c r="K19" s="409">
        <v>0</v>
      </c>
      <c r="L19" s="409"/>
      <c r="M19" s="409">
        <v>0</v>
      </c>
      <c r="N19" s="409"/>
      <c r="O19" s="409">
        <v>0</v>
      </c>
      <c r="P19" s="409"/>
      <c r="Q19" s="409">
        <v>0</v>
      </c>
      <c r="R19" s="410"/>
      <c r="S19" s="413">
        <f t="shared" si="0"/>
        <v>0</v>
      </c>
    </row>
    <row r="20" spans="1:19" s="412" customFormat="1" x14ac:dyDescent="0.2">
      <c r="A20" s="407">
        <v>13</v>
      </c>
      <c r="B20" s="408" t="s">
        <v>391</v>
      </c>
      <c r="C20" s="409">
        <v>0</v>
      </c>
      <c r="D20" s="409"/>
      <c r="E20" s="409">
        <v>0</v>
      </c>
      <c r="F20" s="409"/>
      <c r="G20" s="409">
        <v>0</v>
      </c>
      <c r="H20" s="409"/>
      <c r="I20" s="409">
        <v>0</v>
      </c>
      <c r="J20" s="409"/>
      <c r="K20" s="409">
        <v>0</v>
      </c>
      <c r="L20" s="409"/>
      <c r="M20" s="409">
        <v>0</v>
      </c>
      <c r="N20" s="409"/>
      <c r="O20" s="409">
        <v>0</v>
      </c>
      <c r="P20" s="409"/>
      <c r="Q20" s="409">
        <v>0</v>
      </c>
      <c r="R20" s="410"/>
      <c r="S20" s="413">
        <f t="shared" si="0"/>
        <v>0</v>
      </c>
    </row>
    <row r="21" spans="1:19" s="412" customFormat="1" x14ac:dyDescent="0.2">
      <c r="A21" s="407">
        <v>14</v>
      </c>
      <c r="B21" s="408" t="s">
        <v>392</v>
      </c>
      <c r="C21" s="409">
        <v>33072346.500000022</v>
      </c>
      <c r="D21" s="409"/>
      <c r="E21" s="409">
        <v>1551383.39</v>
      </c>
      <c r="F21" s="409"/>
      <c r="G21" s="409">
        <v>0</v>
      </c>
      <c r="H21" s="409"/>
      <c r="I21" s="409">
        <v>0</v>
      </c>
      <c r="J21" s="409">
        <v>0</v>
      </c>
      <c r="K21" s="409">
        <v>0</v>
      </c>
      <c r="L21" s="409"/>
      <c r="M21" s="409">
        <v>30635350.580000028</v>
      </c>
      <c r="N21" s="409">
        <v>0</v>
      </c>
      <c r="O21" s="409">
        <v>0</v>
      </c>
      <c r="P21" s="409"/>
      <c r="Q21" s="409">
        <v>0</v>
      </c>
      <c r="R21" s="410"/>
      <c r="S21" s="413">
        <f t="shared" si="0"/>
        <v>30945627.258000027</v>
      </c>
    </row>
    <row r="22" spans="1:19" ht="13.5" thickBot="1" x14ac:dyDescent="0.25">
      <c r="A22" s="414"/>
      <c r="B22" s="415" t="s">
        <v>72</v>
      </c>
      <c r="C22" s="416">
        <f>SUM(C8:C21)</f>
        <v>106812935.99000004</v>
      </c>
      <c r="D22" s="416">
        <f t="shared" ref="D22:S22" si="1">SUM(D8:D21)</f>
        <v>0</v>
      </c>
      <c r="E22" s="416">
        <f t="shared" si="1"/>
        <v>15676360.770000001</v>
      </c>
      <c r="F22" s="416">
        <f t="shared" si="1"/>
        <v>0</v>
      </c>
      <c r="G22" s="416">
        <f t="shared" si="1"/>
        <v>0</v>
      </c>
      <c r="H22" s="416">
        <f t="shared" si="1"/>
        <v>0</v>
      </c>
      <c r="I22" s="416">
        <f>SUM(I8:I21)</f>
        <v>5163887.54</v>
      </c>
      <c r="J22" s="416">
        <f t="shared" si="1"/>
        <v>0</v>
      </c>
      <c r="K22" s="416">
        <f t="shared" si="1"/>
        <v>207804930.45999983</v>
      </c>
      <c r="L22" s="416">
        <f t="shared" si="1"/>
        <v>5392645.1369999899</v>
      </c>
      <c r="M22" s="416">
        <f t="shared" si="1"/>
        <v>639600782.6399982</v>
      </c>
      <c r="N22" s="416">
        <f>SUM(N8:N21)</f>
        <v>23806863.597000003</v>
      </c>
      <c r="O22" s="416">
        <f t="shared" si="1"/>
        <v>36591932.450000443</v>
      </c>
      <c r="P22" s="416">
        <f t="shared" si="1"/>
        <v>0</v>
      </c>
      <c r="Q22" s="416">
        <f t="shared" si="1"/>
        <v>0</v>
      </c>
      <c r="R22" s="416">
        <f t="shared" si="1"/>
        <v>0</v>
      </c>
      <c r="S22" s="417">
        <f t="shared" si="1"/>
        <v>883910942.53374863</v>
      </c>
    </row>
    <row r="25" spans="1:19" x14ac:dyDescent="0.2">
      <c r="N25" s="257"/>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Normal="100" workbookViewId="0">
      <pane xSplit="2" ySplit="6" topLeftCell="S19" activePane="bottomRight" state="frozen"/>
      <selection activeCell="C12" sqref="C12"/>
      <selection pane="topRight" activeCell="C12" sqref="C12"/>
      <selection pane="bottomLeft" activeCell="C12" sqref="C12"/>
      <selection pane="bottomRight" activeCell="V23" sqref="V23:V26"/>
    </sheetView>
  </sheetViews>
  <sheetFormatPr defaultColWidth="9.140625" defaultRowHeight="12.75" x14ac:dyDescent="0.2"/>
  <cols>
    <col min="1" max="1" width="10.5703125" style="25" bestFit="1" customWidth="1"/>
    <col min="2" max="2" width="74.5703125" style="25" customWidth="1"/>
    <col min="3" max="3" width="19" style="25" customWidth="1"/>
    <col min="4" max="4" width="19.5703125" style="25" customWidth="1"/>
    <col min="5" max="5" width="31.140625" style="25" customWidth="1"/>
    <col min="6" max="6" width="29.140625" style="25" customWidth="1"/>
    <col min="7" max="7" width="28.5703125" style="25" customWidth="1"/>
    <col min="8" max="8" width="26.42578125" style="25" customWidth="1"/>
    <col min="9" max="9" width="23.7109375" style="25" customWidth="1"/>
    <col min="10" max="10" width="21.5703125" style="25" customWidth="1"/>
    <col min="11" max="11" width="15.7109375" style="25" customWidth="1"/>
    <col min="12" max="12" width="13.28515625" style="25" customWidth="1"/>
    <col min="13" max="13" width="20.85546875" style="25" customWidth="1"/>
    <col min="14" max="14" width="19.28515625" style="25" customWidth="1"/>
    <col min="15" max="15" width="18.42578125" style="25" customWidth="1"/>
    <col min="16" max="16" width="19" style="25" customWidth="1"/>
    <col min="17" max="17" width="20.28515625" style="25" customWidth="1"/>
    <col min="18" max="18" width="18" style="25" customWidth="1"/>
    <col min="19" max="19" width="36" style="25" customWidth="1"/>
    <col min="20" max="20" width="19.42578125" style="25" customWidth="1"/>
    <col min="21" max="21" width="19.140625" style="25" customWidth="1"/>
    <col min="22" max="22" width="20" style="25" customWidth="1"/>
    <col min="23" max="16384" width="9.140625" style="136"/>
  </cols>
  <sheetData>
    <row r="1" spans="1:22" x14ac:dyDescent="0.2">
      <c r="A1" s="25" t="s">
        <v>29</v>
      </c>
      <c r="B1" s="25" t="str">
        <f>'1. key ratios'!B1</f>
        <v>სს ტერაბანკი</v>
      </c>
    </row>
    <row r="2" spans="1:22" x14ac:dyDescent="0.2">
      <c r="A2" s="25" t="s">
        <v>31</v>
      </c>
      <c r="B2" s="86">
        <f>'1. key ratios'!B2</f>
        <v>43738</v>
      </c>
    </row>
    <row r="4" spans="1:22" ht="27.75" thickBot="1" x14ac:dyDescent="0.35">
      <c r="A4" s="25" t="s">
        <v>393</v>
      </c>
      <c r="B4" s="418" t="s">
        <v>394</v>
      </c>
      <c r="V4" s="355" t="s">
        <v>66</v>
      </c>
    </row>
    <row r="5" spans="1:22" x14ac:dyDescent="0.2">
      <c r="A5" s="419"/>
      <c r="B5" s="420"/>
      <c r="C5" s="421" t="s">
        <v>395</v>
      </c>
      <c r="D5" s="422"/>
      <c r="E5" s="422"/>
      <c r="F5" s="422"/>
      <c r="G5" s="422"/>
      <c r="H5" s="422"/>
      <c r="I5" s="422"/>
      <c r="J5" s="422"/>
      <c r="K5" s="422"/>
      <c r="L5" s="423"/>
      <c r="M5" s="421" t="s">
        <v>396</v>
      </c>
      <c r="N5" s="422"/>
      <c r="O5" s="422"/>
      <c r="P5" s="422"/>
      <c r="Q5" s="422"/>
      <c r="R5" s="422"/>
      <c r="S5" s="423"/>
      <c r="T5" s="424" t="s">
        <v>397</v>
      </c>
      <c r="U5" s="424" t="s">
        <v>398</v>
      </c>
      <c r="V5" s="425" t="s">
        <v>399</v>
      </c>
    </row>
    <row r="6" spans="1:22" s="392" customFormat="1" ht="140.25" x14ac:dyDescent="0.25">
      <c r="A6" s="267"/>
      <c r="B6" s="426"/>
      <c r="C6" s="427" t="s">
        <v>400</v>
      </c>
      <c r="D6" s="428" t="s">
        <v>401</v>
      </c>
      <c r="E6" s="429" t="s">
        <v>402</v>
      </c>
      <c r="F6" s="430" t="s">
        <v>403</v>
      </c>
      <c r="G6" s="428" t="s">
        <v>404</v>
      </c>
      <c r="H6" s="428" t="s">
        <v>405</v>
      </c>
      <c r="I6" s="428" t="s">
        <v>406</v>
      </c>
      <c r="J6" s="428" t="s">
        <v>407</v>
      </c>
      <c r="K6" s="428" t="s">
        <v>408</v>
      </c>
      <c r="L6" s="431" t="s">
        <v>409</v>
      </c>
      <c r="M6" s="427" t="s">
        <v>410</v>
      </c>
      <c r="N6" s="428" t="s">
        <v>411</v>
      </c>
      <c r="O6" s="428" t="s">
        <v>412</v>
      </c>
      <c r="P6" s="428" t="s">
        <v>413</v>
      </c>
      <c r="Q6" s="428" t="s">
        <v>414</v>
      </c>
      <c r="R6" s="428" t="s">
        <v>415</v>
      </c>
      <c r="S6" s="431" t="s">
        <v>416</v>
      </c>
      <c r="T6" s="432"/>
      <c r="U6" s="432"/>
      <c r="V6" s="433"/>
    </row>
    <row r="7" spans="1:22" s="412" customFormat="1" x14ac:dyDescent="0.2">
      <c r="A7" s="434">
        <v>1</v>
      </c>
      <c r="B7" s="435" t="s">
        <v>379</v>
      </c>
      <c r="C7" s="436">
        <v>0</v>
      </c>
      <c r="D7" s="409">
        <f t="shared" ref="D7:D19" si="0">U7+T7</f>
        <v>0</v>
      </c>
      <c r="E7" s="409">
        <v>0</v>
      </c>
      <c r="F7" s="409">
        <v>0</v>
      </c>
      <c r="G7" s="409">
        <v>0</v>
      </c>
      <c r="H7" s="409">
        <v>0</v>
      </c>
      <c r="I7" s="409">
        <v>0</v>
      </c>
      <c r="J7" s="409">
        <v>0</v>
      </c>
      <c r="K7" s="409">
        <v>0</v>
      </c>
      <c r="L7" s="409">
        <v>0</v>
      </c>
      <c r="M7" s="437"/>
      <c r="N7" s="438"/>
      <c r="O7" s="438"/>
      <c r="P7" s="438"/>
      <c r="Q7" s="438"/>
      <c r="R7" s="438"/>
      <c r="S7" s="439"/>
      <c r="T7" s="440">
        <v>0</v>
      </c>
      <c r="U7" s="441"/>
      <c r="V7" s="442">
        <f>SUM(C7:S7)</f>
        <v>0</v>
      </c>
    </row>
    <row r="8" spans="1:22" s="412" customFormat="1" x14ac:dyDescent="0.2">
      <c r="A8" s="434">
        <v>2</v>
      </c>
      <c r="B8" s="435" t="s">
        <v>380</v>
      </c>
      <c r="C8" s="436">
        <v>0</v>
      </c>
      <c r="D8" s="409">
        <f t="shared" si="0"/>
        <v>0</v>
      </c>
      <c r="E8" s="409">
        <v>0</v>
      </c>
      <c r="F8" s="409">
        <v>0</v>
      </c>
      <c r="G8" s="409">
        <v>0</v>
      </c>
      <c r="H8" s="409">
        <v>0</v>
      </c>
      <c r="I8" s="409">
        <v>0</v>
      </c>
      <c r="J8" s="409">
        <v>0</v>
      </c>
      <c r="K8" s="409">
        <v>0</v>
      </c>
      <c r="L8" s="409">
        <v>0</v>
      </c>
      <c r="M8" s="437"/>
      <c r="N8" s="438"/>
      <c r="O8" s="438"/>
      <c r="P8" s="438"/>
      <c r="Q8" s="438"/>
      <c r="R8" s="438"/>
      <c r="S8" s="439"/>
      <c r="T8" s="440">
        <v>0</v>
      </c>
      <c r="U8" s="441"/>
      <c r="V8" s="442">
        <f t="shared" ref="V8:V20" si="1">SUM(C8:S8)</f>
        <v>0</v>
      </c>
    </row>
    <row r="9" spans="1:22" s="412" customFormat="1" x14ac:dyDescent="0.2">
      <c r="A9" s="434">
        <v>3</v>
      </c>
      <c r="B9" s="435" t="s">
        <v>381</v>
      </c>
      <c r="C9" s="436">
        <v>0</v>
      </c>
      <c r="D9" s="409">
        <f t="shared" si="0"/>
        <v>0</v>
      </c>
      <c r="E9" s="409">
        <v>0</v>
      </c>
      <c r="F9" s="409">
        <v>0</v>
      </c>
      <c r="G9" s="409">
        <v>0</v>
      </c>
      <c r="H9" s="409">
        <v>0</v>
      </c>
      <c r="I9" s="409">
        <v>0</v>
      </c>
      <c r="J9" s="409">
        <v>0</v>
      </c>
      <c r="K9" s="409">
        <v>0</v>
      </c>
      <c r="L9" s="409">
        <v>0</v>
      </c>
      <c r="M9" s="437"/>
      <c r="N9" s="438"/>
      <c r="O9" s="438"/>
      <c r="P9" s="438"/>
      <c r="Q9" s="438"/>
      <c r="R9" s="438"/>
      <c r="S9" s="439"/>
      <c r="T9" s="440">
        <v>0</v>
      </c>
      <c r="U9" s="441"/>
      <c r="V9" s="442">
        <f>SUM(C9:S9)</f>
        <v>0</v>
      </c>
    </row>
    <row r="10" spans="1:22" s="412" customFormat="1" x14ac:dyDescent="0.2">
      <c r="A10" s="434">
        <v>4</v>
      </c>
      <c r="B10" s="435" t="s">
        <v>382</v>
      </c>
      <c r="C10" s="436">
        <v>0</v>
      </c>
      <c r="D10" s="409">
        <f t="shared" si="0"/>
        <v>0</v>
      </c>
      <c r="E10" s="409">
        <v>0</v>
      </c>
      <c r="F10" s="409">
        <v>0</v>
      </c>
      <c r="G10" s="409">
        <v>0</v>
      </c>
      <c r="H10" s="409">
        <v>0</v>
      </c>
      <c r="I10" s="409">
        <v>0</v>
      </c>
      <c r="J10" s="409">
        <v>0</v>
      </c>
      <c r="K10" s="409">
        <v>0</v>
      </c>
      <c r="L10" s="409">
        <v>0</v>
      </c>
      <c r="M10" s="437"/>
      <c r="N10" s="438"/>
      <c r="O10" s="438"/>
      <c r="P10" s="438"/>
      <c r="Q10" s="438"/>
      <c r="R10" s="438"/>
      <c r="S10" s="439"/>
      <c r="T10" s="440">
        <v>0</v>
      </c>
      <c r="U10" s="441"/>
      <c r="V10" s="442">
        <f t="shared" si="1"/>
        <v>0</v>
      </c>
    </row>
    <row r="11" spans="1:22" s="412" customFormat="1" x14ac:dyDescent="0.2">
      <c r="A11" s="434">
        <v>5</v>
      </c>
      <c r="B11" s="435" t="s">
        <v>383</v>
      </c>
      <c r="C11" s="436">
        <v>0</v>
      </c>
      <c r="D11" s="409">
        <f t="shared" si="0"/>
        <v>0</v>
      </c>
      <c r="E11" s="409">
        <v>0</v>
      </c>
      <c r="F11" s="409">
        <v>0</v>
      </c>
      <c r="G11" s="409">
        <v>0</v>
      </c>
      <c r="H11" s="409">
        <v>0</v>
      </c>
      <c r="I11" s="409">
        <v>0</v>
      </c>
      <c r="J11" s="409">
        <v>0</v>
      </c>
      <c r="K11" s="409">
        <v>0</v>
      </c>
      <c r="L11" s="409">
        <v>0</v>
      </c>
      <c r="M11" s="437"/>
      <c r="N11" s="438"/>
      <c r="O11" s="438"/>
      <c r="P11" s="438"/>
      <c r="Q11" s="438"/>
      <c r="R11" s="438"/>
      <c r="S11" s="439"/>
      <c r="T11" s="440">
        <v>0</v>
      </c>
      <c r="U11" s="441"/>
      <c r="V11" s="442">
        <f t="shared" si="1"/>
        <v>0</v>
      </c>
    </row>
    <row r="12" spans="1:22" s="412" customFormat="1" x14ac:dyDescent="0.2">
      <c r="A12" s="434">
        <v>6</v>
      </c>
      <c r="B12" s="435" t="s">
        <v>384</v>
      </c>
      <c r="C12" s="436">
        <v>0</v>
      </c>
      <c r="D12" s="409">
        <f t="shared" si="0"/>
        <v>0</v>
      </c>
      <c r="E12" s="409">
        <v>0</v>
      </c>
      <c r="F12" s="409">
        <v>0</v>
      </c>
      <c r="G12" s="409">
        <v>0</v>
      </c>
      <c r="H12" s="409">
        <v>0</v>
      </c>
      <c r="I12" s="409">
        <v>0</v>
      </c>
      <c r="J12" s="409">
        <v>0</v>
      </c>
      <c r="K12" s="409">
        <v>0</v>
      </c>
      <c r="L12" s="409">
        <v>0</v>
      </c>
      <c r="M12" s="437"/>
      <c r="N12" s="438"/>
      <c r="O12" s="438"/>
      <c r="P12" s="438"/>
      <c r="Q12" s="438"/>
      <c r="R12" s="438"/>
      <c r="S12" s="439"/>
      <c r="T12" s="440">
        <v>0</v>
      </c>
      <c r="U12" s="441"/>
      <c r="V12" s="442">
        <f t="shared" si="1"/>
        <v>0</v>
      </c>
    </row>
    <row r="13" spans="1:22" s="412" customFormat="1" x14ac:dyDescent="0.2">
      <c r="A13" s="434">
        <v>7</v>
      </c>
      <c r="B13" s="435" t="s">
        <v>385</v>
      </c>
      <c r="C13" s="436">
        <v>0</v>
      </c>
      <c r="D13" s="409">
        <f t="shared" si="0"/>
        <v>30187287.649999999</v>
      </c>
      <c r="E13" s="409">
        <v>0</v>
      </c>
      <c r="F13" s="409">
        <v>0</v>
      </c>
      <c r="G13" s="409">
        <v>0</v>
      </c>
      <c r="H13" s="409">
        <v>0</v>
      </c>
      <c r="I13" s="409">
        <v>0</v>
      </c>
      <c r="J13" s="409">
        <v>0</v>
      </c>
      <c r="K13" s="409">
        <v>0</v>
      </c>
      <c r="L13" s="409">
        <v>0</v>
      </c>
      <c r="M13" s="437"/>
      <c r="N13" s="438"/>
      <c r="O13" s="438"/>
      <c r="P13" s="438"/>
      <c r="Q13" s="438"/>
      <c r="R13" s="438"/>
      <c r="S13" s="439"/>
      <c r="T13" s="440">
        <v>24136667.239999998</v>
      </c>
      <c r="U13" s="441">
        <v>6050620.4100000001</v>
      </c>
      <c r="V13" s="442">
        <f t="shared" si="1"/>
        <v>30187287.649999999</v>
      </c>
    </row>
    <row r="14" spans="1:22" s="412" customFormat="1" x14ac:dyDescent="0.2">
      <c r="A14" s="434">
        <v>8</v>
      </c>
      <c r="B14" s="435" t="s">
        <v>386</v>
      </c>
      <c r="C14" s="436">
        <v>0</v>
      </c>
      <c r="D14" s="409">
        <f t="shared" si="0"/>
        <v>2471635.6365000005</v>
      </c>
      <c r="E14" s="409">
        <v>0</v>
      </c>
      <c r="F14" s="409">
        <v>0</v>
      </c>
      <c r="G14" s="409">
        <v>0</v>
      </c>
      <c r="H14" s="409">
        <v>0</v>
      </c>
      <c r="I14" s="409">
        <v>0</v>
      </c>
      <c r="J14" s="409">
        <v>0</v>
      </c>
      <c r="K14" s="409">
        <v>0</v>
      </c>
      <c r="L14" s="409">
        <v>0</v>
      </c>
      <c r="M14" s="437"/>
      <c r="N14" s="438"/>
      <c r="O14" s="438"/>
      <c r="P14" s="438"/>
      <c r="Q14" s="438"/>
      <c r="R14" s="438"/>
      <c r="S14" s="439"/>
      <c r="T14" s="440">
        <v>1593084.6975000002</v>
      </c>
      <c r="U14" s="441">
        <v>878550.93900000013</v>
      </c>
      <c r="V14" s="442">
        <f t="shared" si="1"/>
        <v>2471635.6365000005</v>
      </c>
    </row>
    <row r="15" spans="1:22" s="412" customFormat="1" x14ac:dyDescent="0.2">
      <c r="A15" s="434">
        <v>9</v>
      </c>
      <c r="B15" s="435" t="s">
        <v>387</v>
      </c>
      <c r="C15" s="436">
        <v>0</v>
      </c>
      <c r="D15" s="409">
        <f t="shared" si="0"/>
        <v>0</v>
      </c>
      <c r="E15" s="409">
        <v>0</v>
      </c>
      <c r="F15" s="409">
        <v>0</v>
      </c>
      <c r="G15" s="409">
        <v>0</v>
      </c>
      <c r="H15" s="409">
        <v>0</v>
      </c>
      <c r="I15" s="409">
        <v>0</v>
      </c>
      <c r="J15" s="409">
        <v>0</v>
      </c>
      <c r="K15" s="409">
        <v>0</v>
      </c>
      <c r="L15" s="409">
        <v>0</v>
      </c>
      <c r="M15" s="437"/>
      <c r="N15" s="438"/>
      <c r="O15" s="438"/>
      <c r="P15" s="438"/>
      <c r="Q15" s="438"/>
      <c r="R15" s="438"/>
      <c r="S15" s="439"/>
      <c r="T15" s="440">
        <v>0</v>
      </c>
      <c r="U15" s="441"/>
      <c r="V15" s="442">
        <f t="shared" si="1"/>
        <v>0</v>
      </c>
    </row>
    <row r="16" spans="1:22" s="412" customFormat="1" x14ac:dyDescent="0.2">
      <c r="A16" s="434">
        <v>10</v>
      </c>
      <c r="B16" s="435" t="s">
        <v>388</v>
      </c>
      <c r="C16" s="436">
        <v>0</v>
      </c>
      <c r="D16" s="409">
        <f t="shared" si="0"/>
        <v>1084.31</v>
      </c>
      <c r="E16" s="409">
        <v>0</v>
      </c>
      <c r="F16" s="409">
        <v>0</v>
      </c>
      <c r="G16" s="409">
        <v>0</v>
      </c>
      <c r="H16" s="409">
        <v>0</v>
      </c>
      <c r="I16" s="409">
        <v>0</v>
      </c>
      <c r="J16" s="409">
        <v>0</v>
      </c>
      <c r="K16" s="409">
        <v>0</v>
      </c>
      <c r="L16" s="409">
        <v>0</v>
      </c>
      <c r="M16" s="437"/>
      <c r="N16" s="438"/>
      <c r="O16" s="438"/>
      <c r="P16" s="438"/>
      <c r="Q16" s="438"/>
      <c r="R16" s="438"/>
      <c r="S16" s="439"/>
      <c r="T16" s="440">
        <v>1084.31</v>
      </c>
      <c r="U16" s="441"/>
      <c r="V16" s="442">
        <f t="shared" si="1"/>
        <v>1084.31</v>
      </c>
    </row>
    <row r="17" spans="1:22" s="412" customFormat="1" x14ac:dyDescent="0.2">
      <c r="A17" s="434">
        <v>11</v>
      </c>
      <c r="B17" s="435" t="s">
        <v>389</v>
      </c>
      <c r="C17" s="436">
        <v>0</v>
      </c>
      <c r="D17" s="409">
        <f t="shared" si="0"/>
        <v>0</v>
      </c>
      <c r="E17" s="409">
        <v>0</v>
      </c>
      <c r="F17" s="409">
        <v>0</v>
      </c>
      <c r="G17" s="409">
        <v>0</v>
      </c>
      <c r="H17" s="409">
        <v>0</v>
      </c>
      <c r="I17" s="409">
        <v>0</v>
      </c>
      <c r="J17" s="409">
        <v>0</v>
      </c>
      <c r="K17" s="409">
        <v>0</v>
      </c>
      <c r="L17" s="409">
        <v>0</v>
      </c>
      <c r="M17" s="437"/>
      <c r="N17" s="438"/>
      <c r="O17" s="438"/>
      <c r="P17" s="438"/>
      <c r="Q17" s="438"/>
      <c r="R17" s="438"/>
      <c r="S17" s="439"/>
      <c r="T17" s="440">
        <v>0</v>
      </c>
      <c r="U17" s="441"/>
      <c r="V17" s="442">
        <f t="shared" si="1"/>
        <v>0</v>
      </c>
    </row>
    <row r="18" spans="1:22" s="412" customFormat="1" x14ac:dyDescent="0.2">
      <c r="A18" s="434">
        <v>12</v>
      </c>
      <c r="B18" s="435" t="s">
        <v>390</v>
      </c>
      <c r="C18" s="436">
        <v>0</v>
      </c>
      <c r="D18" s="409">
        <f t="shared" si="0"/>
        <v>0</v>
      </c>
      <c r="E18" s="409">
        <v>0</v>
      </c>
      <c r="F18" s="409">
        <v>0</v>
      </c>
      <c r="G18" s="409">
        <v>0</v>
      </c>
      <c r="H18" s="409">
        <v>0</v>
      </c>
      <c r="I18" s="409">
        <v>0</v>
      </c>
      <c r="J18" s="409">
        <v>0</v>
      </c>
      <c r="K18" s="409">
        <v>0</v>
      </c>
      <c r="L18" s="409">
        <v>0</v>
      </c>
      <c r="M18" s="437"/>
      <c r="N18" s="438"/>
      <c r="O18" s="438"/>
      <c r="P18" s="438"/>
      <c r="Q18" s="438"/>
      <c r="R18" s="438"/>
      <c r="S18" s="439"/>
      <c r="T18" s="440">
        <v>0</v>
      </c>
      <c r="U18" s="441"/>
      <c r="V18" s="442">
        <f t="shared" si="1"/>
        <v>0</v>
      </c>
    </row>
    <row r="19" spans="1:22" s="412" customFormat="1" x14ac:dyDescent="0.2">
      <c r="A19" s="434">
        <v>13</v>
      </c>
      <c r="B19" s="435" t="s">
        <v>391</v>
      </c>
      <c r="C19" s="436">
        <v>0</v>
      </c>
      <c r="D19" s="409">
        <f t="shared" si="0"/>
        <v>0</v>
      </c>
      <c r="E19" s="409">
        <v>0</v>
      </c>
      <c r="F19" s="409">
        <v>0</v>
      </c>
      <c r="G19" s="409">
        <v>0</v>
      </c>
      <c r="H19" s="409">
        <v>0</v>
      </c>
      <c r="I19" s="409">
        <v>0</v>
      </c>
      <c r="J19" s="409">
        <v>0</v>
      </c>
      <c r="K19" s="409">
        <v>0</v>
      </c>
      <c r="L19" s="409">
        <v>0</v>
      </c>
      <c r="M19" s="437"/>
      <c r="N19" s="438"/>
      <c r="O19" s="438"/>
      <c r="P19" s="438"/>
      <c r="Q19" s="438"/>
      <c r="R19" s="438"/>
      <c r="S19" s="439"/>
      <c r="T19" s="440">
        <v>0</v>
      </c>
      <c r="U19" s="441"/>
      <c r="V19" s="442">
        <f t="shared" si="1"/>
        <v>0</v>
      </c>
    </row>
    <row r="20" spans="1:22" s="412" customFormat="1" x14ac:dyDescent="0.2">
      <c r="A20" s="434">
        <v>14</v>
      </c>
      <c r="B20" s="435" t="s">
        <v>392</v>
      </c>
      <c r="C20" s="436">
        <v>0</v>
      </c>
      <c r="D20" s="409">
        <f>U20+T20</f>
        <v>0</v>
      </c>
      <c r="E20" s="409">
        <v>0</v>
      </c>
      <c r="F20" s="409">
        <v>0</v>
      </c>
      <c r="G20" s="409">
        <v>0</v>
      </c>
      <c r="H20" s="409">
        <v>0</v>
      </c>
      <c r="I20" s="409">
        <v>0</v>
      </c>
      <c r="J20" s="409">
        <v>0</v>
      </c>
      <c r="K20" s="409">
        <v>0</v>
      </c>
      <c r="L20" s="409">
        <v>0</v>
      </c>
      <c r="M20" s="437"/>
      <c r="N20" s="438"/>
      <c r="O20" s="438"/>
      <c r="P20" s="438"/>
      <c r="Q20" s="438"/>
      <c r="R20" s="438"/>
      <c r="S20" s="439"/>
      <c r="T20" s="440">
        <v>0</v>
      </c>
      <c r="U20" s="441">
        <v>0</v>
      </c>
      <c r="V20" s="442">
        <f t="shared" si="1"/>
        <v>0</v>
      </c>
    </row>
    <row r="21" spans="1:22" ht="13.5" thickBot="1" x14ac:dyDescent="0.25">
      <c r="A21" s="414"/>
      <c r="B21" s="443" t="s">
        <v>72</v>
      </c>
      <c r="C21" s="444">
        <f>SUM(C7:C20)</f>
        <v>0</v>
      </c>
      <c r="D21" s="445">
        <f t="shared" ref="D21:V21" si="2">SUM(D7:D20)</f>
        <v>32660007.596499998</v>
      </c>
      <c r="E21" s="445">
        <f t="shared" si="2"/>
        <v>0</v>
      </c>
      <c r="F21" s="445">
        <f t="shared" si="2"/>
        <v>0</v>
      </c>
      <c r="G21" s="445">
        <f t="shared" si="2"/>
        <v>0</v>
      </c>
      <c r="H21" s="445">
        <f t="shared" si="2"/>
        <v>0</v>
      </c>
      <c r="I21" s="445">
        <f t="shared" si="2"/>
        <v>0</v>
      </c>
      <c r="J21" s="445">
        <f t="shared" si="2"/>
        <v>0</v>
      </c>
      <c r="K21" s="445">
        <f t="shared" si="2"/>
        <v>0</v>
      </c>
      <c r="L21" s="446">
        <f t="shared" si="2"/>
        <v>0</v>
      </c>
      <c r="M21" s="444">
        <f t="shared" si="2"/>
        <v>0</v>
      </c>
      <c r="N21" s="445">
        <f t="shared" si="2"/>
        <v>0</v>
      </c>
      <c r="O21" s="445">
        <f t="shared" si="2"/>
        <v>0</v>
      </c>
      <c r="P21" s="445">
        <f t="shared" si="2"/>
        <v>0</v>
      </c>
      <c r="Q21" s="445">
        <f t="shared" si="2"/>
        <v>0</v>
      </c>
      <c r="R21" s="445">
        <f t="shared" si="2"/>
        <v>0</v>
      </c>
      <c r="S21" s="446">
        <f t="shared" si="2"/>
        <v>0</v>
      </c>
      <c r="T21" s="446">
        <f>SUM(T7:T20)</f>
        <v>25730836.247499999</v>
      </c>
      <c r="U21" s="446">
        <f t="shared" si="2"/>
        <v>6929171.3490000004</v>
      </c>
      <c r="V21" s="447">
        <f t="shared" si="2"/>
        <v>32660007.596499998</v>
      </c>
    </row>
    <row r="24" spans="1:22" x14ac:dyDescent="0.2">
      <c r="A24" s="30"/>
      <c r="B24" s="30"/>
      <c r="C24" s="448"/>
      <c r="D24" s="448"/>
      <c r="E24" s="448"/>
    </row>
    <row r="25" spans="1:22" x14ac:dyDescent="0.2">
      <c r="A25" s="449"/>
      <c r="B25" s="449"/>
      <c r="C25" s="30"/>
      <c r="D25" s="448"/>
      <c r="E25" s="448"/>
    </row>
    <row r="26" spans="1:22" x14ac:dyDescent="0.2">
      <c r="A26" s="449"/>
      <c r="B26" s="450"/>
      <c r="C26" s="30"/>
      <c r="D26" s="448"/>
      <c r="E26" s="448"/>
    </row>
    <row r="27" spans="1:22" x14ac:dyDescent="0.2">
      <c r="A27" s="449"/>
      <c r="B27" s="449"/>
      <c r="C27" s="30"/>
      <c r="D27" s="448"/>
      <c r="E27" s="448"/>
    </row>
    <row r="28" spans="1:22" x14ac:dyDescent="0.2">
      <c r="A28" s="449"/>
      <c r="B28" s="450"/>
      <c r="C28" s="30"/>
      <c r="D28" s="448"/>
      <c r="E28" s="448"/>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11" activePane="bottomRight" state="frozen"/>
      <selection activeCell="C12" sqref="C12"/>
      <selection pane="topRight" activeCell="C12" sqref="C12"/>
      <selection pane="bottomLeft" activeCell="C12" sqref="C12"/>
      <selection pane="bottomRight" activeCell="D32" sqref="D32"/>
    </sheetView>
  </sheetViews>
  <sheetFormatPr defaultColWidth="9.140625" defaultRowHeight="12.75" x14ac:dyDescent="0.2"/>
  <cols>
    <col min="1" max="1" width="10.5703125" style="25" bestFit="1" customWidth="1"/>
    <col min="2" max="2" width="101.85546875" style="25" customWidth="1"/>
    <col min="3" max="3" width="13.7109375" style="25" customWidth="1"/>
    <col min="4" max="4" width="14.85546875" style="25" bestFit="1" customWidth="1"/>
    <col min="5" max="5" width="17.7109375" style="25" customWidth="1"/>
    <col min="6" max="6" width="15.85546875" style="25" customWidth="1"/>
    <col min="7" max="7" width="17.42578125" style="25" customWidth="1"/>
    <col min="8" max="8" width="15.28515625" style="25" customWidth="1"/>
    <col min="9" max="16384" width="9.140625" style="136"/>
  </cols>
  <sheetData>
    <row r="1" spans="1:9" x14ac:dyDescent="0.2">
      <c r="A1" s="25" t="s">
        <v>29</v>
      </c>
      <c r="B1" s="25" t="str">
        <f>'1. key ratios'!B1</f>
        <v>სს ტერაბანკი</v>
      </c>
    </row>
    <row r="2" spans="1:9" x14ac:dyDescent="0.2">
      <c r="A2" s="25" t="s">
        <v>31</v>
      </c>
      <c r="B2" s="86">
        <f>'1. key ratios'!B2</f>
        <v>43738</v>
      </c>
    </row>
    <row r="4" spans="1:9" ht="13.5" thickBot="1" x14ac:dyDescent="0.25">
      <c r="A4" s="25" t="s">
        <v>417</v>
      </c>
      <c r="B4" s="451" t="s">
        <v>418</v>
      </c>
    </row>
    <row r="5" spans="1:9" x14ac:dyDescent="0.2">
      <c r="A5" s="419"/>
      <c r="B5" s="452"/>
      <c r="C5" s="453" t="s">
        <v>252</v>
      </c>
      <c r="D5" s="453" t="s">
        <v>253</v>
      </c>
      <c r="E5" s="453" t="s">
        <v>254</v>
      </c>
      <c r="F5" s="453" t="s">
        <v>361</v>
      </c>
      <c r="G5" s="454" t="s">
        <v>362</v>
      </c>
      <c r="H5" s="455" t="s">
        <v>363</v>
      </c>
      <c r="I5" s="456"/>
    </row>
    <row r="6" spans="1:9" ht="15" customHeight="1" x14ac:dyDescent="0.2">
      <c r="A6" s="399"/>
      <c r="B6" s="457"/>
      <c r="C6" s="458" t="s">
        <v>419</v>
      </c>
      <c r="D6" s="459" t="s">
        <v>420</v>
      </c>
      <c r="E6" s="460"/>
      <c r="F6" s="458" t="s">
        <v>421</v>
      </c>
      <c r="G6" s="458" t="s">
        <v>422</v>
      </c>
      <c r="H6" s="461" t="s">
        <v>423</v>
      </c>
      <c r="I6" s="456"/>
    </row>
    <row r="7" spans="1:9" ht="76.5" x14ac:dyDescent="0.2">
      <c r="A7" s="399"/>
      <c r="B7" s="457"/>
      <c r="C7" s="462"/>
      <c r="D7" s="463" t="s">
        <v>424</v>
      </c>
      <c r="E7" s="463" t="s">
        <v>425</v>
      </c>
      <c r="F7" s="462"/>
      <c r="G7" s="462"/>
      <c r="H7" s="464"/>
      <c r="I7" s="456"/>
    </row>
    <row r="8" spans="1:9" x14ac:dyDescent="0.2">
      <c r="A8" s="465">
        <v>1</v>
      </c>
      <c r="B8" s="303" t="s">
        <v>379</v>
      </c>
      <c r="C8" s="466">
        <v>222663034.06999999</v>
      </c>
      <c r="D8" s="467">
        <v>0</v>
      </c>
      <c r="E8" s="466">
        <v>0</v>
      </c>
      <c r="F8" s="466">
        <f>'11. CRWA'!S8</f>
        <v>148922444.57999998</v>
      </c>
      <c r="G8" s="468">
        <f>'11. CRWA'!S8-'12. CRM'!V7</f>
        <v>148922444.57999998</v>
      </c>
      <c r="H8" s="469">
        <f>IFERROR(G8/(C8+E8),"")</f>
        <v>0.66882428509970937</v>
      </c>
    </row>
    <row r="9" spans="1:9" ht="15" customHeight="1" x14ac:dyDescent="0.2">
      <c r="A9" s="465">
        <v>2</v>
      </c>
      <c r="B9" s="303" t="s">
        <v>380</v>
      </c>
      <c r="C9" s="466">
        <v>0</v>
      </c>
      <c r="D9" s="467">
        <v>0</v>
      </c>
      <c r="E9" s="466">
        <v>0</v>
      </c>
      <c r="F9" s="466">
        <f>'11. CRWA'!S9</f>
        <v>0</v>
      </c>
      <c r="G9" s="468">
        <f>'11. CRWA'!S9-'12. CRM'!V8</f>
        <v>0</v>
      </c>
      <c r="H9" s="469" t="str">
        <f t="shared" ref="H9:H22" si="0">IFERROR(G9/(C9+E9),"")</f>
        <v/>
      </c>
    </row>
    <row r="10" spans="1:9" x14ac:dyDescent="0.2">
      <c r="A10" s="465">
        <v>3</v>
      </c>
      <c r="B10" s="303" t="s">
        <v>381</v>
      </c>
      <c r="C10" s="466">
        <v>0</v>
      </c>
      <c r="D10" s="467">
        <v>0</v>
      </c>
      <c r="E10" s="466">
        <v>0</v>
      </c>
      <c r="F10" s="466">
        <f>'11. CRWA'!S10</f>
        <v>0</v>
      </c>
      <c r="G10" s="468">
        <f>'11. CRWA'!S10-'12. CRM'!V9</f>
        <v>0</v>
      </c>
      <c r="H10" s="469" t="str">
        <f t="shared" si="0"/>
        <v/>
      </c>
    </row>
    <row r="11" spans="1:9" x14ac:dyDescent="0.2">
      <c r="A11" s="465">
        <v>4</v>
      </c>
      <c r="B11" s="303" t="s">
        <v>382</v>
      </c>
      <c r="C11" s="466">
        <v>0</v>
      </c>
      <c r="D11" s="467">
        <v>0</v>
      </c>
      <c r="E11" s="466">
        <v>0</v>
      </c>
      <c r="F11" s="466">
        <f>'11. CRWA'!S11</f>
        <v>0</v>
      </c>
      <c r="G11" s="468">
        <f>'11. CRWA'!S11-'12. CRM'!V10</f>
        <v>0</v>
      </c>
      <c r="H11" s="469" t="str">
        <f t="shared" si="0"/>
        <v/>
      </c>
    </row>
    <row r="12" spans="1:9" x14ac:dyDescent="0.2">
      <c r="A12" s="465">
        <v>5</v>
      </c>
      <c r="B12" s="303" t="s">
        <v>383</v>
      </c>
      <c r="C12" s="466">
        <v>0</v>
      </c>
      <c r="D12" s="467">
        <v>0</v>
      </c>
      <c r="E12" s="466">
        <v>0</v>
      </c>
      <c r="F12" s="466">
        <f>'11. CRWA'!S12</f>
        <v>0</v>
      </c>
      <c r="G12" s="468">
        <f>'11. CRWA'!S12-'12. CRM'!V11</f>
        <v>0</v>
      </c>
      <c r="H12" s="469" t="str">
        <f t="shared" si="0"/>
        <v/>
      </c>
    </row>
    <row r="13" spans="1:9" x14ac:dyDescent="0.2">
      <c r="A13" s="465">
        <v>6</v>
      </c>
      <c r="B13" s="303" t="s">
        <v>384</v>
      </c>
      <c r="C13" s="466">
        <v>19971401.030000001</v>
      </c>
      <c r="D13" s="467">
        <v>0</v>
      </c>
      <c r="E13" s="466">
        <v>0</v>
      </c>
      <c r="F13" s="466">
        <f>'11. CRWA'!S13</f>
        <v>6089475.3560000006</v>
      </c>
      <c r="G13" s="468">
        <f>'11. CRWA'!S13-'12. CRM'!V12</f>
        <v>6089475.3560000006</v>
      </c>
      <c r="H13" s="469">
        <f t="shared" si="0"/>
        <v>0.30490977307264056</v>
      </c>
    </row>
    <row r="14" spans="1:9" x14ac:dyDescent="0.2">
      <c r="A14" s="465">
        <v>7</v>
      </c>
      <c r="B14" s="303" t="s">
        <v>385</v>
      </c>
      <c r="C14" s="466">
        <v>352047988.76999807</v>
      </c>
      <c r="D14" s="467">
        <v>44465206.330000006</v>
      </c>
      <c r="E14" s="466">
        <v>23806863.597000003</v>
      </c>
      <c r="F14" s="466">
        <f>'11. CRWA'!S14</f>
        <v>375854852.36699808</v>
      </c>
      <c r="G14" s="468">
        <f>'11. CRWA'!S14-'12. CRM'!V13</f>
        <v>345667564.7169981</v>
      </c>
      <c r="H14" s="469">
        <f t="shared" si="0"/>
        <v>0.91968365591160695</v>
      </c>
    </row>
    <row r="15" spans="1:9" x14ac:dyDescent="0.2">
      <c r="A15" s="465">
        <v>8</v>
      </c>
      <c r="B15" s="303" t="s">
        <v>386</v>
      </c>
      <c r="C15" s="466">
        <v>207804930.45999983</v>
      </c>
      <c r="D15" s="467">
        <v>10734983.699999984</v>
      </c>
      <c r="E15" s="466">
        <v>5392645.1369999899</v>
      </c>
      <c r="F15" s="466">
        <f>'11. CRWA'!S15</f>
        <v>159898181.69774985</v>
      </c>
      <c r="G15" s="468">
        <f>'11. CRWA'!S15-'12. CRM'!V14</f>
        <v>157426546.06124985</v>
      </c>
      <c r="H15" s="469">
        <f t="shared" si="0"/>
        <v>0.73840683047366329</v>
      </c>
    </row>
    <row r="16" spans="1:9" x14ac:dyDescent="0.2">
      <c r="A16" s="465">
        <v>9</v>
      </c>
      <c r="B16" s="303" t="s">
        <v>387</v>
      </c>
      <c r="C16" s="466">
        <v>0</v>
      </c>
      <c r="D16" s="467">
        <v>0</v>
      </c>
      <c r="E16" s="466">
        <v>0</v>
      </c>
      <c r="F16" s="466">
        <f>'11. CRWA'!S16</f>
        <v>0</v>
      </c>
      <c r="G16" s="468">
        <f>'11. CRWA'!S16-'12. CRM'!V15</f>
        <v>0</v>
      </c>
      <c r="H16" s="469" t="str">
        <f t="shared" si="0"/>
        <v/>
      </c>
    </row>
    <row r="17" spans="1:8" x14ac:dyDescent="0.2">
      <c r="A17" s="465">
        <v>10</v>
      </c>
      <c r="B17" s="303" t="s">
        <v>388</v>
      </c>
      <c r="C17" s="466">
        <v>19820208.029999997</v>
      </c>
      <c r="D17" s="467">
        <v>0</v>
      </c>
      <c r="E17" s="466">
        <v>0</v>
      </c>
      <c r="F17" s="466">
        <f>'11. CRWA'!S17</f>
        <v>20429304.839999996</v>
      </c>
      <c r="G17" s="468">
        <f>'11. CRWA'!S17-'12. CRM'!V16</f>
        <v>20428220.529999997</v>
      </c>
      <c r="H17" s="469">
        <f t="shared" si="0"/>
        <v>1.0306763934606391</v>
      </c>
    </row>
    <row r="18" spans="1:8" x14ac:dyDescent="0.2">
      <c r="A18" s="465">
        <v>11</v>
      </c>
      <c r="B18" s="303" t="s">
        <v>389</v>
      </c>
      <c r="C18" s="466">
        <v>124084187.02000047</v>
      </c>
      <c r="D18" s="467">
        <v>0</v>
      </c>
      <c r="E18" s="466">
        <v>0</v>
      </c>
      <c r="F18" s="466">
        <f>'11. CRWA'!S18</f>
        <v>141771056.43500069</v>
      </c>
      <c r="G18" s="468">
        <f>'11. CRWA'!S18-'12. CRM'!V17</f>
        <v>141771056.43500069</v>
      </c>
      <c r="H18" s="469">
        <f t="shared" si="0"/>
        <v>1.142539269827745</v>
      </c>
    </row>
    <row r="19" spans="1:8" x14ac:dyDescent="0.2">
      <c r="A19" s="465">
        <v>12</v>
      </c>
      <c r="B19" s="303" t="s">
        <v>390</v>
      </c>
      <c r="C19" s="466">
        <v>0</v>
      </c>
      <c r="D19" s="467">
        <v>0</v>
      </c>
      <c r="E19" s="466">
        <v>0</v>
      </c>
      <c r="F19" s="466">
        <f>'11. CRWA'!S19</f>
        <v>0</v>
      </c>
      <c r="G19" s="468">
        <f>'11. CRWA'!S19-'12. CRM'!V18</f>
        <v>0</v>
      </c>
      <c r="H19" s="469" t="str">
        <f t="shared" si="0"/>
        <v/>
      </c>
    </row>
    <row r="20" spans="1:8" x14ac:dyDescent="0.2">
      <c r="A20" s="465">
        <v>13</v>
      </c>
      <c r="B20" s="303" t="s">
        <v>391</v>
      </c>
      <c r="C20" s="466">
        <v>0</v>
      </c>
      <c r="D20" s="467">
        <v>0</v>
      </c>
      <c r="E20" s="466">
        <v>0</v>
      </c>
      <c r="F20" s="466">
        <f>'11. CRWA'!S20</f>
        <v>0</v>
      </c>
      <c r="G20" s="468">
        <f>'11. CRWA'!S20-'12. CRM'!V19</f>
        <v>0</v>
      </c>
      <c r="H20" s="469" t="str">
        <f t="shared" si="0"/>
        <v/>
      </c>
    </row>
    <row r="21" spans="1:8" x14ac:dyDescent="0.2">
      <c r="A21" s="465">
        <v>14</v>
      </c>
      <c r="B21" s="303" t="s">
        <v>392</v>
      </c>
      <c r="C21" s="466">
        <v>65259080.470000051</v>
      </c>
      <c r="D21" s="467">
        <v>0</v>
      </c>
      <c r="E21" s="466">
        <v>0</v>
      </c>
      <c r="F21" s="466">
        <f>'11. CRWA'!S21</f>
        <v>30945627.258000027</v>
      </c>
      <c r="G21" s="468">
        <f>'11. CRWA'!S21-'12. CRM'!V20</f>
        <v>30945627.258000027</v>
      </c>
      <c r="H21" s="469">
        <f t="shared" si="0"/>
        <v>0.47419649549346465</v>
      </c>
    </row>
    <row r="22" spans="1:8" ht="13.5" thickBot="1" x14ac:dyDescent="0.25">
      <c r="A22" s="470"/>
      <c r="B22" s="471" t="s">
        <v>72</v>
      </c>
      <c r="C22" s="416">
        <f>SUM(C8:C21)</f>
        <v>1011650829.8499984</v>
      </c>
      <c r="D22" s="416">
        <f>SUM(D8:D21)</f>
        <v>55200190.029999986</v>
      </c>
      <c r="E22" s="416">
        <f>SUM(E8:E21)</f>
        <v>29199508.733999994</v>
      </c>
      <c r="F22" s="416">
        <f>SUM(F8:F21)</f>
        <v>883910942.53374863</v>
      </c>
      <c r="G22" s="416">
        <f>SUM(G8:G21)</f>
        <v>851250934.93724859</v>
      </c>
      <c r="H22" s="472">
        <f t="shared" si="0"/>
        <v>0.81784181969457204</v>
      </c>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8"/>
  <sheetViews>
    <sheetView zoomScale="90" zoomScaleNormal="90" workbookViewId="0">
      <pane xSplit="2" ySplit="6" topLeftCell="C7"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2.75" x14ac:dyDescent="0.2"/>
  <cols>
    <col min="1" max="1" width="10.5703125" style="25" bestFit="1" customWidth="1"/>
    <col min="2" max="2" width="104.140625" style="25" customWidth="1"/>
    <col min="3" max="3" width="12.7109375" style="25" customWidth="1"/>
    <col min="4" max="4" width="14.5703125" style="25" bestFit="1" customWidth="1"/>
    <col min="5" max="11" width="12.7109375" style="25" customWidth="1"/>
    <col min="12" max="16384" width="9.140625" style="25"/>
  </cols>
  <sheetData>
    <row r="1" spans="1:11" x14ac:dyDescent="0.2">
      <c r="A1" s="25" t="s">
        <v>29</v>
      </c>
    </row>
    <row r="2" spans="1:11" x14ac:dyDescent="0.2">
      <c r="A2" s="25" t="s">
        <v>31</v>
      </c>
      <c r="B2" s="23"/>
      <c r="C2" s="23"/>
      <c r="D2" s="23"/>
    </row>
    <row r="3" spans="1:11" x14ac:dyDescent="0.2">
      <c r="B3" s="23"/>
      <c r="C3" s="23"/>
      <c r="D3" s="23"/>
    </row>
    <row r="4" spans="1:11" ht="13.5" thickBot="1" x14ac:dyDescent="0.25">
      <c r="A4" s="25" t="s">
        <v>426</v>
      </c>
      <c r="B4" s="451" t="s">
        <v>26</v>
      </c>
      <c r="C4" s="23"/>
      <c r="D4" s="23"/>
    </row>
    <row r="5" spans="1:11" ht="30" customHeight="1" x14ac:dyDescent="0.2">
      <c r="A5" s="474"/>
      <c r="B5" s="475"/>
      <c r="C5" s="476" t="s">
        <v>427</v>
      </c>
      <c r="D5" s="476"/>
      <c r="E5" s="476"/>
      <c r="F5" s="476" t="s">
        <v>428</v>
      </c>
      <c r="G5" s="476"/>
      <c r="H5" s="476"/>
      <c r="I5" s="476" t="s">
        <v>429</v>
      </c>
      <c r="J5" s="476"/>
      <c r="K5" s="477"/>
    </row>
    <row r="6" spans="1:11" x14ac:dyDescent="0.2">
      <c r="A6" s="478"/>
      <c r="B6" s="479"/>
      <c r="C6" s="463" t="s">
        <v>70</v>
      </c>
      <c r="D6" s="463" t="s">
        <v>110</v>
      </c>
      <c r="E6" s="463" t="s">
        <v>72</v>
      </c>
      <c r="F6" s="463" t="s">
        <v>70</v>
      </c>
      <c r="G6" s="463" t="s">
        <v>110</v>
      </c>
      <c r="H6" s="463" t="s">
        <v>72</v>
      </c>
      <c r="I6" s="463" t="s">
        <v>70</v>
      </c>
      <c r="J6" s="463" t="s">
        <v>110</v>
      </c>
      <c r="K6" s="480" t="s">
        <v>72</v>
      </c>
    </row>
    <row r="7" spans="1:11" x14ac:dyDescent="0.2">
      <c r="A7" s="481" t="s">
        <v>430</v>
      </c>
      <c r="B7" s="482"/>
      <c r="C7" s="482"/>
      <c r="D7" s="482"/>
      <c r="E7" s="482"/>
      <c r="F7" s="482"/>
      <c r="G7" s="482"/>
      <c r="H7" s="482"/>
      <c r="I7" s="482"/>
      <c r="J7" s="482"/>
      <c r="K7" s="483"/>
    </row>
    <row r="8" spans="1:11" x14ac:dyDescent="0.2">
      <c r="A8" s="484">
        <v>1</v>
      </c>
      <c r="B8" s="485" t="s">
        <v>430</v>
      </c>
      <c r="C8" s="43"/>
      <c r="D8" s="43"/>
      <c r="E8" s="43"/>
      <c r="F8" s="486">
        <v>86517459.581326067</v>
      </c>
      <c r="G8" s="486">
        <v>140793725.90181357</v>
      </c>
      <c r="H8" s="486">
        <v>227311185.48313966</v>
      </c>
      <c r="I8" s="486">
        <v>78312351.688499987</v>
      </c>
      <c r="J8" s="486">
        <v>160607274.63570109</v>
      </c>
      <c r="K8" s="487">
        <v>238919626.32420108</v>
      </c>
    </row>
    <row r="9" spans="1:11" x14ac:dyDescent="0.2">
      <c r="A9" s="481" t="s">
        <v>431</v>
      </c>
      <c r="B9" s="482"/>
      <c r="C9" s="482"/>
      <c r="D9" s="482"/>
      <c r="E9" s="482"/>
      <c r="F9" s="482"/>
      <c r="G9" s="482"/>
      <c r="H9" s="482"/>
      <c r="I9" s="482"/>
      <c r="J9" s="482"/>
      <c r="K9" s="483"/>
    </row>
    <row r="10" spans="1:11" x14ac:dyDescent="0.2">
      <c r="A10" s="162">
        <v>2</v>
      </c>
      <c r="B10" s="488" t="s">
        <v>432</v>
      </c>
      <c r="C10" s="489">
        <v>76031075.396325901</v>
      </c>
      <c r="D10" s="490">
        <v>236943765.36078006</v>
      </c>
      <c r="E10" s="490">
        <f>SUM(C10:D10)</f>
        <v>312974840.75710595</v>
      </c>
      <c r="F10" s="490">
        <v>12813585.970509848</v>
      </c>
      <c r="G10" s="490">
        <v>42368512.789613083</v>
      </c>
      <c r="H10" s="490">
        <f>SUM(F10:G10)</f>
        <v>55182098.760122932</v>
      </c>
      <c r="I10" s="490">
        <v>3164537.4402005346</v>
      </c>
      <c r="J10" s="490">
        <v>9859888.8253189176</v>
      </c>
      <c r="K10" s="491">
        <f>SUM(I10:J10)</f>
        <v>13024426.265519451</v>
      </c>
    </row>
    <row r="11" spans="1:11" x14ac:dyDescent="0.2">
      <c r="A11" s="162">
        <v>3</v>
      </c>
      <c r="B11" s="488" t="s">
        <v>433</v>
      </c>
      <c r="C11" s="489">
        <v>185220435.38321745</v>
      </c>
      <c r="D11" s="492">
        <v>351935396.02404207</v>
      </c>
      <c r="E11" s="490">
        <f t="shared" ref="E11:E21" si="0">SUM(C11:D11)</f>
        <v>537155831.40725946</v>
      </c>
      <c r="F11" s="490">
        <v>46805404.668810293</v>
      </c>
      <c r="G11" s="490">
        <v>81340334.787251875</v>
      </c>
      <c r="H11" s="490">
        <f t="shared" ref="H11:H21" si="1">SUM(F11:G11)</f>
        <v>128145739.45606217</v>
      </c>
      <c r="I11" s="490">
        <v>40178639.463339567</v>
      </c>
      <c r="J11" s="490">
        <v>64107222.137333497</v>
      </c>
      <c r="K11" s="491">
        <f t="shared" ref="K11:K16" si="2">SUM(I11:J11)</f>
        <v>104285861.60067306</v>
      </c>
    </row>
    <row r="12" spans="1:11" x14ac:dyDescent="0.2">
      <c r="A12" s="162">
        <v>4</v>
      </c>
      <c r="B12" s="488" t="s">
        <v>434</v>
      </c>
      <c r="C12" s="489">
        <v>10228260.869565217</v>
      </c>
      <c r="D12" s="490">
        <v>0</v>
      </c>
      <c r="E12" s="490">
        <f t="shared" si="0"/>
        <v>10228260.869565217</v>
      </c>
      <c r="F12" s="490">
        <v>0</v>
      </c>
      <c r="G12" s="490">
        <v>0</v>
      </c>
      <c r="H12" s="490">
        <f t="shared" si="1"/>
        <v>0</v>
      </c>
      <c r="I12" s="490">
        <v>0</v>
      </c>
      <c r="J12" s="490">
        <v>0</v>
      </c>
      <c r="K12" s="491">
        <f t="shared" si="2"/>
        <v>0</v>
      </c>
    </row>
    <row r="13" spans="1:11" x14ac:dyDescent="0.2">
      <c r="A13" s="162">
        <v>5</v>
      </c>
      <c r="B13" s="488" t="s">
        <v>435</v>
      </c>
      <c r="C13" s="489">
        <v>30284173.29821087</v>
      </c>
      <c r="D13" s="490">
        <v>25470383.066986956</v>
      </c>
      <c r="E13" s="490">
        <f t="shared" si="0"/>
        <v>55754556.365197822</v>
      </c>
      <c r="F13" s="490">
        <v>4292744.4705456514</v>
      </c>
      <c r="G13" s="490">
        <v>3462715.4320247071</v>
      </c>
      <c r="H13" s="490">
        <f t="shared" si="1"/>
        <v>7755459.9025703585</v>
      </c>
      <c r="I13" s="490">
        <v>1685663.3193808699</v>
      </c>
      <c r="J13" s="490">
        <v>1478047.5800430977</v>
      </c>
      <c r="K13" s="491">
        <f t="shared" si="2"/>
        <v>3163710.8994239676</v>
      </c>
    </row>
    <row r="14" spans="1:11" x14ac:dyDescent="0.2">
      <c r="A14" s="162">
        <v>6</v>
      </c>
      <c r="B14" s="488" t="s">
        <v>436</v>
      </c>
      <c r="C14" s="489">
        <v>3470406.8261956526</v>
      </c>
      <c r="D14" s="490">
        <v>2146852.8192152171</v>
      </c>
      <c r="E14" s="490">
        <f t="shared" si="0"/>
        <v>5617259.6454108693</v>
      </c>
      <c r="F14" s="490">
        <v>0</v>
      </c>
      <c r="G14" s="490">
        <v>0</v>
      </c>
      <c r="H14" s="490">
        <f t="shared" si="1"/>
        <v>0</v>
      </c>
      <c r="I14" s="490">
        <v>0</v>
      </c>
      <c r="J14" s="490">
        <v>0</v>
      </c>
      <c r="K14" s="491">
        <f t="shared" si="2"/>
        <v>0</v>
      </c>
    </row>
    <row r="15" spans="1:11" x14ac:dyDescent="0.2">
      <c r="A15" s="162">
        <v>7</v>
      </c>
      <c r="B15" s="488" t="s">
        <v>437</v>
      </c>
      <c r="C15" s="489">
        <v>3410602.110869565</v>
      </c>
      <c r="D15" s="490">
        <v>4613867.1666054353</v>
      </c>
      <c r="E15" s="490">
        <f t="shared" si="0"/>
        <v>8024469.2774750004</v>
      </c>
      <c r="F15" s="490">
        <v>1832998.1354347824</v>
      </c>
      <c r="G15" s="490">
        <v>1531154.7989195653</v>
      </c>
      <c r="H15" s="490">
        <f t="shared" si="1"/>
        <v>3364152.9343543476</v>
      </c>
      <c r="I15" s="490">
        <v>1832998.1354347824</v>
      </c>
      <c r="J15" s="490">
        <v>1531154.7989195653</v>
      </c>
      <c r="K15" s="491">
        <f t="shared" si="2"/>
        <v>3364152.9343543476</v>
      </c>
    </row>
    <row r="16" spans="1:11" x14ac:dyDescent="0.2">
      <c r="A16" s="162">
        <v>8</v>
      </c>
      <c r="B16" s="493" t="s">
        <v>438</v>
      </c>
      <c r="C16" s="489">
        <f>SUM(C10:C15)</f>
        <v>308644953.88438463</v>
      </c>
      <c r="D16" s="490">
        <f>SUM(D10:D15)</f>
        <v>621110264.4376297</v>
      </c>
      <c r="E16" s="490">
        <f t="shared" si="0"/>
        <v>929755218.32201433</v>
      </c>
      <c r="F16" s="490">
        <f>SUM(F10:F15)</f>
        <v>65744733.245300576</v>
      </c>
      <c r="G16" s="490">
        <f>SUM(G10:G15)</f>
        <v>128702717.80780922</v>
      </c>
      <c r="H16" s="490">
        <f t="shared" si="1"/>
        <v>194447451.05310979</v>
      </c>
      <c r="I16" s="490">
        <f>SUM(I10:I15)</f>
        <v>46861838.358355761</v>
      </c>
      <c r="J16" s="490">
        <f>SUM(J10:J15)</f>
        <v>76976313.341615066</v>
      </c>
      <c r="K16" s="491">
        <f t="shared" si="2"/>
        <v>123838151.69997083</v>
      </c>
    </row>
    <row r="17" spans="1:11" x14ac:dyDescent="0.2">
      <c r="A17" s="481" t="s">
        <v>439</v>
      </c>
      <c r="B17" s="482"/>
      <c r="C17" s="494"/>
      <c r="D17" s="494"/>
      <c r="E17" s="494"/>
      <c r="F17" s="494"/>
      <c r="G17" s="494"/>
      <c r="H17" s="494"/>
      <c r="I17" s="494"/>
      <c r="J17" s="494"/>
      <c r="K17" s="495"/>
    </row>
    <row r="18" spans="1:11" x14ac:dyDescent="0.2">
      <c r="A18" s="162">
        <v>9</v>
      </c>
      <c r="B18" s="488" t="s">
        <v>440</v>
      </c>
      <c r="C18" s="489">
        <v>0</v>
      </c>
      <c r="D18" s="490">
        <v>0</v>
      </c>
      <c r="E18" s="490">
        <f t="shared" si="0"/>
        <v>0</v>
      </c>
      <c r="F18" s="490">
        <v>0</v>
      </c>
      <c r="G18" s="490">
        <v>0</v>
      </c>
      <c r="H18" s="490">
        <f t="shared" si="1"/>
        <v>0</v>
      </c>
      <c r="I18" s="490">
        <v>0</v>
      </c>
      <c r="J18" s="490">
        <v>0</v>
      </c>
      <c r="K18" s="491">
        <f>SUM(I18:J18)</f>
        <v>0</v>
      </c>
    </row>
    <row r="19" spans="1:11" x14ac:dyDescent="0.2">
      <c r="A19" s="162">
        <v>10</v>
      </c>
      <c r="B19" s="488" t="s">
        <v>441</v>
      </c>
      <c r="C19" s="489">
        <v>228667973.12815177</v>
      </c>
      <c r="D19" s="490">
        <v>422729829.50143915</v>
      </c>
      <c r="E19" s="490">
        <f t="shared" si="0"/>
        <v>651397802.62959099</v>
      </c>
      <c r="F19" s="490">
        <v>11294424.44875</v>
      </c>
      <c r="G19" s="490">
        <v>10448073.766865216</v>
      </c>
      <c r="H19" s="490">
        <f t="shared" si="1"/>
        <v>21742498.215615217</v>
      </c>
      <c r="I19" s="490">
        <v>19499532.341576084</v>
      </c>
      <c r="J19" s="490">
        <v>27447517.971834786</v>
      </c>
      <c r="K19" s="491">
        <f>SUM(I19:J19)</f>
        <v>46947050.313410871</v>
      </c>
    </row>
    <row r="20" spans="1:11" x14ac:dyDescent="0.2">
      <c r="A20" s="162">
        <v>11</v>
      </c>
      <c r="B20" s="488" t="s">
        <v>442</v>
      </c>
      <c r="C20" s="489">
        <v>1358656.6085869565</v>
      </c>
      <c r="D20" s="490">
        <v>327190.40384456521</v>
      </c>
      <c r="E20" s="490">
        <f t="shared" si="0"/>
        <v>1685847.0124315217</v>
      </c>
      <c r="F20" s="490">
        <v>586689.18728260871</v>
      </c>
      <c r="G20" s="490">
        <v>309063.77948913042</v>
      </c>
      <c r="H20" s="490">
        <f t="shared" si="1"/>
        <v>895752.96677173907</v>
      </c>
      <c r="I20" s="490">
        <v>586689.18728260871</v>
      </c>
      <c r="J20" s="490">
        <v>309063.77948913042</v>
      </c>
      <c r="K20" s="491">
        <f>SUM(I20:J20)</f>
        <v>895752.96677173907</v>
      </c>
    </row>
    <row r="21" spans="1:11" ht="13.5" thickBot="1" x14ac:dyDescent="0.25">
      <c r="A21" s="171">
        <v>12</v>
      </c>
      <c r="B21" s="496" t="s">
        <v>443</v>
      </c>
      <c r="C21" s="497">
        <f>SUM(C18:C20)</f>
        <v>230026629.73673874</v>
      </c>
      <c r="D21" s="497">
        <f>SUM(D18:D20)</f>
        <v>423057019.90528375</v>
      </c>
      <c r="E21" s="497">
        <f t="shared" si="0"/>
        <v>653083649.64202249</v>
      </c>
      <c r="F21" s="498">
        <f>SUM(F18:F20)</f>
        <v>11881113.636032609</v>
      </c>
      <c r="G21" s="498">
        <f>SUM(G18:G20)</f>
        <v>10757137.546354346</v>
      </c>
      <c r="H21" s="490">
        <f t="shared" si="1"/>
        <v>22638251.182386957</v>
      </c>
      <c r="I21" s="498">
        <f>SUM(I18:I20)</f>
        <v>20086221.528858691</v>
      </c>
      <c r="J21" s="498">
        <f>SUM(J18:J20)</f>
        <v>27756581.751323916</v>
      </c>
      <c r="K21" s="491">
        <f>SUM(I21:J21)</f>
        <v>47842803.280182607</v>
      </c>
    </row>
    <row r="22" spans="1:11" ht="38.25" customHeight="1" thickBot="1" x14ac:dyDescent="0.25">
      <c r="A22" s="499"/>
      <c r="B22" s="500"/>
      <c r="C22" s="500"/>
      <c r="D22" s="500"/>
      <c r="E22" s="500"/>
      <c r="F22" s="501" t="s">
        <v>444</v>
      </c>
      <c r="G22" s="476"/>
      <c r="H22" s="476"/>
      <c r="I22" s="501" t="s">
        <v>445</v>
      </c>
      <c r="J22" s="476"/>
      <c r="K22" s="477"/>
    </row>
    <row r="23" spans="1:11" x14ac:dyDescent="0.2">
      <c r="A23" s="502">
        <v>13</v>
      </c>
      <c r="B23" s="503" t="s">
        <v>430</v>
      </c>
      <c r="C23" s="504"/>
      <c r="D23" s="504"/>
      <c r="E23" s="504"/>
      <c r="F23" s="505">
        <f t="shared" ref="F23:K23" si="3">F8</f>
        <v>86517459.581326067</v>
      </c>
      <c r="G23" s="505">
        <f t="shared" si="3"/>
        <v>140793725.90181357</v>
      </c>
      <c r="H23" s="505">
        <f t="shared" si="3"/>
        <v>227311185.48313966</v>
      </c>
      <c r="I23" s="505">
        <f t="shared" si="3"/>
        <v>78312351.688499987</v>
      </c>
      <c r="J23" s="505">
        <f t="shared" si="3"/>
        <v>160607274.63570109</v>
      </c>
      <c r="K23" s="506">
        <f t="shared" si="3"/>
        <v>238919626.32420108</v>
      </c>
    </row>
    <row r="24" spans="1:11" ht="13.5" thickBot="1" x14ac:dyDescent="0.25">
      <c r="A24" s="507">
        <v>14</v>
      </c>
      <c r="B24" s="508" t="s">
        <v>446</v>
      </c>
      <c r="C24" s="509"/>
      <c r="D24" s="510"/>
      <c r="E24" s="511"/>
      <c r="F24" s="512">
        <f t="shared" ref="F24:K24" si="4">MAX(F16-F21,F16*0.25)</f>
        <v>53863619.609267965</v>
      </c>
      <c r="G24" s="512">
        <f t="shared" si="4"/>
        <v>117945580.26145488</v>
      </c>
      <c r="H24" s="512">
        <f t="shared" si="4"/>
        <v>171809199.87072283</v>
      </c>
      <c r="I24" s="512">
        <f t="shared" si="4"/>
        <v>26775616.829497069</v>
      </c>
      <c r="J24" s="512">
        <f t="shared" si="4"/>
        <v>49219731.59029115</v>
      </c>
      <c r="K24" s="513">
        <f t="shared" si="4"/>
        <v>75995348.419788212</v>
      </c>
    </row>
    <row r="25" spans="1:11" ht="13.5" thickBot="1" x14ac:dyDescent="0.25">
      <c r="A25" s="514">
        <v>15</v>
      </c>
      <c r="B25" s="515" t="s">
        <v>62</v>
      </c>
      <c r="C25" s="516"/>
      <c r="D25" s="516"/>
      <c r="E25" s="516"/>
      <c r="F25" s="517">
        <f t="shared" ref="F25:K25" si="5">F23/F24</f>
        <v>1.606231816742586</v>
      </c>
      <c r="G25" s="517">
        <f t="shared" si="5"/>
        <v>1.1937176924282389</v>
      </c>
      <c r="H25" s="517">
        <f t="shared" si="5"/>
        <v>1.3230443169177151</v>
      </c>
      <c r="I25" s="518">
        <f t="shared" si="5"/>
        <v>2.9247636828380377</v>
      </c>
      <c r="J25" s="518">
        <f t="shared" si="5"/>
        <v>3.2630668523877469</v>
      </c>
      <c r="K25" s="519">
        <f t="shared" si="5"/>
        <v>3.1438717144165298</v>
      </c>
    </row>
    <row r="27" spans="1:11" x14ac:dyDescent="0.2">
      <c r="I27" s="473"/>
    </row>
    <row r="28" spans="1:11" ht="38.25" x14ac:dyDescent="0.2">
      <c r="B28" s="520" t="s">
        <v>447</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C6"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x14ac:dyDescent="0.3"/>
  <cols>
    <col min="1" max="1" width="10.5703125" style="204" bestFit="1" customWidth="1"/>
    <col min="2" max="2" width="95" style="204" customWidth="1"/>
    <col min="3" max="3" width="14.7109375" style="204" bestFit="1" customWidth="1"/>
    <col min="4" max="4" width="10" style="204" bestFit="1" customWidth="1"/>
    <col min="5" max="5" width="18.28515625" style="204" bestFit="1" customWidth="1"/>
    <col min="6" max="10" width="4.85546875" style="204" bestFit="1" customWidth="1"/>
    <col min="11" max="11" width="10" style="204" bestFit="1" customWidth="1"/>
    <col min="12" max="13" width="5.7109375" style="204" bestFit="1" customWidth="1"/>
    <col min="14" max="14" width="31" style="204" bestFit="1" customWidth="1"/>
    <col min="15" max="16384" width="9.140625" style="136"/>
  </cols>
  <sheetData>
    <row r="1" spans="1:15" x14ac:dyDescent="0.3">
      <c r="A1" s="204" t="s">
        <v>448</v>
      </c>
      <c r="B1" s="25" t="str">
        <f>'1. key ratios'!B1</f>
        <v>სს ტერაბანკი</v>
      </c>
    </row>
    <row r="2" spans="1:15" ht="14.25" customHeight="1" x14ac:dyDescent="0.3">
      <c r="A2" s="204" t="s">
        <v>31</v>
      </c>
      <c r="B2" s="86">
        <f>'1. key ratios'!B2</f>
        <v>43738</v>
      </c>
    </row>
    <row r="3" spans="1:15" ht="14.25" customHeight="1" x14ac:dyDescent="0.3"/>
    <row r="4" spans="1:15" ht="15.75" thickBot="1" x14ac:dyDescent="0.35">
      <c r="A4" s="25" t="s">
        <v>449</v>
      </c>
      <c r="B4" s="521" t="s">
        <v>27</v>
      </c>
    </row>
    <row r="5" spans="1:15" s="526" customFormat="1" ht="12.75" x14ac:dyDescent="0.2">
      <c r="A5" s="522"/>
      <c r="B5" s="523"/>
      <c r="C5" s="524" t="s">
        <v>252</v>
      </c>
      <c r="D5" s="524" t="s">
        <v>253</v>
      </c>
      <c r="E5" s="524" t="s">
        <v>254</v>
      </c>
      <c r="F5" s="524" t="s">
        <v>361</v>
      </c>
      <c r="G5" s="524" t="s">
        <v>362</v>
      </c>
      <c r="H5" s="524" t="s">
        <v>363</v>
      </c>
      <c r="I5" s="524" t="s">
        <v>364</v>
      </c>
      <c r="J5" s="524" t="s">
        <v>365</v>
      </c>
      <c r="K5" s="524" t="s">
        <v>366</v>
      </c>
      <c r="L5" s="524" t="s">
        <v>367</v>
      </c>
      <c r="M5" s="524" t="s">
        <v>368</v>
      </c>
      <c r="N5" s="525" t="s">
        <v>369</v>
      </c>
    </row>
    <row r="6" spans="1:15" ht="45" x14ac:dyDescent="0.3">
      <c r="A6" s="527"/>
      <c r="B6" s="528"/>
      <c r="C6" s="529" t="s">
        <v>450</v>
      </c>
      <c r="D6" s="530" t="s">
        <v>451</v>
      </c>
      <c r="E6" s="531" t="s">
        <v>452</v>
      </c>
      <c r="F6" s="532">
        <v>0</v>
      </c>
      <c r="G6" s="532">
        <v>0.2</v>
      </c>
      <c r="H6" s="532">
        <v>0.35</v>
      </c>
      <c r="I6" s="532">
        <v>0.5</v>
      </c>
      <c r="J6" s="532">
        <v>0.75</v>
      </c>
      <c r="K6" s="532">
        <v>1</v>
      </c>
      <c r="L6" s="532">
        <v>1.5</v>
      </c>
      <c r="M6" s="532">
        <v>2.5</v>
      </c>
      <c r="N6" s="533" t="s">
        <v>27</v>
      </c>
    </row>
    <row r="7" spans="1:15" x14ac:dyDescent="0.3">
      <c r="A7" s="534">
        <v>1</v>
      </c>
      <c r="B7" s="535" t="s">
        <v>453</v>
      </c>
      <c r="C7" s="536">
        <f>SUM(C8:C13)</f>
        <v>22542265.600000001</v>
      </c>
      <c r="D7" s="537"/>
      <c r="E7" s="538">
        <f>SUM(E8:E12)</f>
        <v>450845.31200000003</v>
      </c>
      <c r="F7" s="539">
        <v>0</v>
      </c>
      <c r="G7" s="539">
        <v>0</v>
      </c>
      <c r="H7" s="539">
        <v>0</v>
      </c>
      <c r="I7" s="539">
        <v>0</v>
      </c>
      <c r="J7" s="539">
        <v>0</v>
      </c>
      <c r="K7" s="539">
        <v>450845.31200000003</v>
      </c>
      <c r="L7" s="539">
        <v>0</v>
      </c>
      <c r="M7" s="539">
        <v>0</v>
      </c>
      <c r="N7" s="540">
        <v>450845.31200000003</v>
      </c>
      <c r="O7" s="541"/>
    </row>
    <row r="8" spans="1:15" x14ac:dyDescent="0.3">
      <c r="A8" s="534">
        <v>1.1000000000000001</v>
      </c>
      <c r="B8" s="542" t="s">
        <v>454</v>
      </c>
      <c r="C8" s="539">
        <v>22542265.600000001</v>
      </c>
      <c r="D8" s="543">
        <v>0.02</v>
      </c>
      <c r="E8" s="538">
        <f>C8*D8</f>
        <v>450845.31200000003</v>
      </c>
      <c r="F8" s="539">
        <v>0</v>
      </c>
      <c r="G8" s="539">
        <v>0</v>
      </c>
      <c r="H8" s="539">
        <v>0</v>
      </c>
      <c r="I8" s="539">
        <v>0</v>
      </c>
      <c r="J8" s="539">
        <v>0</v>
      </c>
      <c r="K8" s="539">
        <v>450845.31200000003</v>
      </c>
      <c r="L8" s="539">
        <v>0</v>
      </c>
      <c r="M8" s="539">
        <v>0</v>
      </c>
      <c r="N8" s="540">
        <v>450845.31200000003</v>
      </c>
      <c r="O8" s="541"/>
    </row>
    <row r="9" spans="1:15" x14ac:dyDescent="0.3">
      <c r="A9" s="534">
        <v>1.2</v>
      </c>
      <c r="B9" s="542" t="s">
        <v>455</v>
      </c>
      <c r="C9" s="539">
        <v>0</v>
      </c>
      <c r="D9" s="543">
        <v>0.05</v>
      </c>
      <c r="E9" s="538">
        <f>C9*D9</f>
        <v>0</v>
      </c>
      <c r="F9" s="539">
        <v>0</v>
      </c>
      <c r="G9" s="539">
        <v>0</v>
      </c>
      <c r="H9" s="539">
        <v>0</v>
      </c>
      <c r="I9" s="539">
        <v>0</v>
      </c>
      <c r="J9" s="539">
        <v>0</v>
      </c>
      <c r="K9" s="539">
        <v>0</v>
      </c>
      <c r="L9" s="539">
        <v>0</v>
      </c>
      <c r="M9" s="539">
        <v>0</v>
      </c>
      <c r="N9" s="540">
        <v>0</v>
      </c>
      <c r="O9" s="541"/>
    </row>
    <row r="10" spans="1:15" x14ac:dyDescent="0.3">
      <c r="A10" s="534">
        <v>1.3</v>
      </c>
      <c r="B10" s="542" t="s">
        <v>456</v>
      </c>
      <c r="C10" s="539">
        <v>0</v>
      </c>
      <c r="D10" s="543">
        <v>0.08</v>
      </c>
      <c r="E10" s="538">
        <f>C10*D10</f>
        <v>0</v>
      </c>
      <c r="F10" s="539">
        <v>0</v>
      </c>
      <c r="G10" s="539">
        <v>0</v>
      </c>
      <c r="H10" s="539">
        <v>0</v>
      </c>
      <c r="I10" s="539">
        <v>0</v>
      </c>
      <c r="J10" s="539">
        <v>0</v>
      </c>
      <c r="K10" s="539">
        <v>0</v>
      </c>
      <c r="L10" s="539">
        <v>0</v>
      </c>
      <c r="M10" s="539">
        <v>0</v>
      </c>
      <c r="N10" s="540">
        <v>0</v>
      </c>
      <c r="O10" s="541"/>
    </row>
    <row r="11" spans="1:15" x14ac:dyDescent="0.3">
      <c r="A11" s="534">
        <v>1.4</v>
      </c>
      <c r="B11" s="542" t="s">
        <v>457</v>
      </c>
      <c r="C11" s="539">
        <v>0</v>
      </c>
      <c r="D11" s="543">
        <v>0.11</v>
      </c>
      <c r="E11" s="538">
        <f>C11*D11</f>
        <v>0</v>
      </c>
      <c r="F11" s="539">
        <v>0</v>
      </c>
      <c r="G11" s="539">
        <v>0</v>
      </c>
      <c r="H11" s="539">
        <v>0</v>
      </c>
      <c r="I11" s="539">
        <v>0</v>
      </c>
      <c r="J11" s="539">
        <v>0</v>
      </c>
      <c r="K11" s="539">
        <v>0</v>
      </c>
      <c r="L11" s="539">
        <v>0</v>
      </c>
      <c r="M11" s="539">
        <v>0</v>
      </c>
      <c r="N11" s="540">
        <v>0</v>
      </c>
      <c r="O11" s="541"/>
    </row>
    <row r="12" spans="1:15" x14ac:dyDescent="0.3">
      <c r="A12" s="534">
        <v>1.5</v>
      </c>
      <c r="B12" s="542" t="s">
        <v>458</v>
      </c>
      <c r="C12" s="539">
        <v>0</v>
      </c>
      <c r="D12" s="543">
        <v>0.14000000000000001</v>
      </c>
      <c r="E12" s="538">
        <f>C12*D12</f>
        <v>0</v>
      </c>
      <c r="F12" s="539">
        <v>0</v>
      </c>
      <c r="G12" s="539">
        <v>0</v>
      </c>
      <c r="H12" s="539">
        <v>0</v>
      </c>
      <c r="I12" s="539">
        <v>0</v>
      </c>
      <c r="J12" s="539">
        <v>0</v>
      </c>
      <c r="K12" s="539">
        <v>0</v>
      </c>
      <c r="L12" s="539">
        <v>0</v>
      </c>
      <c r="M12" s="539">
        <v>0</v>
      </c>
      <c r="N12" s="540">
        <v>0</v>
      </c>
      <c r="O12" s="541"/>
    </row>
    <row r="13" spans="1:15" x14ac:dyDescent="0.3">
      <c r="A13" s="534">
        <v>1.6</v>
      </c>
      <c r="B13" s="544" t="s">
        <v>459</v>
      </c>
      <c r="C13" s="539">
        <v>0</v>
      </c>
      <c r="D13" s="545"/>
      <c r="E13" s="539"/>
      <c r="F13" s="539">
        <v>0</v>
      </c>
      <c r="G13" s="539">
        <v>0</v>
      </c>
      <c r="H13" s="539">
        <v>0</v>
      </c>
      <c r="I13" s="539">
        <v>0</v>
      </c>
      <c r="J13" s="539">
        <v>0</v>
      </c>
      <c r="K13" s="539">
        <v>0</v>
      </c>
      <c r="L13" s="539">
        <v>0</v>
      </c>
      <c r="M13" s="539">
        <v>0</v>
      </c>
      <c r="N13" s="540">
        <v>0</v>
      </c>
      <c r="O13" s="541"/>
    </row>
    <row r="14" spans="1:15" x14ac:dyDescent="0.3">
      <c r="A14" s="534">
        <v>2</v>
      </c>
      <c r="B14" s="546" t="s">
        <v>460</v>
      </c>
      <c r="C14" s="536">
        <f>SUM(C15:C20)</f>
        <v>0</v>
      </c>
      <c r="D14" s="537"/>
      <c r="E14" s="538">
        <f>SUM(E15:E19)</f>
        <v>0</v>
      </c>
      <c r="F14" s="539">
        <v>0</v>
      </c>
      <c r="G14" s="539">
        <v>0</v>
      </c>
      <c r="H14" s="539">
        <v>0</v>
      </c>
      <c r="I14" s="539">
        <v>0</v>
      </c>
      <c r="J14" s="539">
        <v>0</v>
      </c>
      <c r="K14" s="539">
        <v>0</v>
      </c>
      <c r="L14" s="539">
        <v>0</v>
      </c>
      <c r="M14" s="539">
        <v>0</v>
      </c>
      <c r="N14" s="540">
        <v>0</v>
      </c>
      <c r="O14" s="541"/>
    </row>
    <row r="15" spans="1:15" x14ac:dyDescent="0.3">
      <c r="A15" s="534">
        <v>2.1</v>
      </c>
      <c r="B15" s="544" t="s">
        <v>454</v>
      </c>
      <c r="C15" s="539">
        <v>0</v>
      </c>
      <c r="D15" s="543">
        <v>5.0000000000000001E-3</v>
      </c>
      <c r="E15" s="538">
        <f>D15*C15</f>
        <v>0</v>
      </c>
      <c r="F15" s="539">
        <v>0</v>
      </c>
      <c r="G15" s="539">
        <v>0</v>
      </c>
      <c r="H15" s="539">
        <v>0</v>
      </c>
      <c r="I15" s="539">
        <v>0</v>
      </c>
      <c r="J15" s="539">
        <v>0</v>
      </c>
      <c r="K15" s="539">
        <v>0</v>
      </c>
      <c r="L15" s="539">
        <v>0</v>
      </c>
      <c r="M15" s="539">
        <v>0</v>
      </c>
      <c r="N15" s="540">
        <v>0</v>
      </c>
      <c r="O15" s="541"/>
    </row>
    <row r="16" spans="1:15" x14ac:dyDescent="0.3">
      <c r="A16" s="534">
        <v>2.2000000000000002</v>
      </c>
      <c r="B16" s="544" t="s">
        <v>455</v>
      </c>
      <c r="C16" s="539">
        <v>0</v>
      </c>
      <c r="D16" s="543">
        <v>0.01</v>
      </c>
      <c r="E16" s="538">
        <f>D16*C16</f>
        <v>0</v>
      </c>
      <c r="F16" s="539">
        <v>0</v>
      </c>
      <c r="G16" s="539">
        <v>0</v>
      </c>
      <c r="H16" s="539">
        <v>0</v>
      </c>
      <c r="I16" s="539">
        <v>0</v>
      </c>
      <c r="J16" s="539">
        <v>0</v>
      </c>
      <c r="K16" s="539">
        <v>0</v>
      </c>
      <c r="L16" s="539">
        <v>0</v>
      </c>
      <c r="M16" s="539">
        <v>0</v>
      </c>
      <c r="N16" s="540">
        <v>0</v>
      </c>
      <c r="O16" s="541"/>
    </row>
    <row r="17" spans="1:15" x14ac:dyDescent="0.3">
      <c r="A17" s="534">
        <v>2.2999999999999998</v>
      </c>
      <c r="B17" s="544" t="s">
        <v>456</v>
      </c>
      <c r="C17" s="539">
        <v>0</v>
      </c>
      <c r="D17" s="543">
        <v>0.02</v>
      </c>
      <c r="E17" s="538">
        <f>D17*C17</f>
        <v>0</v>
      </c>
      <c r="F17" s="539">
        <v>0</v>
      </c>
      <c r="G17" s="539">
        <v>0</v>
      </c>
      <c r="H17" s="539">
        <v>0</v>
      </c>
      <c r="I17" s="539">
        <v>0</v>
      </c>
      <c r="J17" s="539">
        <v>0</v>
      </c>
      <c r="K17" s="539">
        <v>0</v>
      </c>
      <c r="L17" s="539">
        <v>0</v>
      </c>
      <c r="M17" s="539">
        <v>0</v>
      </c>
      <c r="N17" s="540">
        <v>0</v>
      </c>
      <c r="O17" s="541"/>
    </row>
    <row r="18" spans="1:15" x14ac:dyDescent="0.3">
      <c r="A18" s="534">
        <v>2.4</v>
      </c>
      <c r="B18" s="544" t="s">
        <v>457</v>
      </c>
      <c r="C18" s="539">
        <v>0</v>
      </c>
      <c r="D18" s="543">
        <v>0.03</v>
      </c>
      <c r="E18" s="538">
        <f>D18*C18</f>
        <v>0</v>
      </c>
      <c r="F18" s="539">
        <v>0</v>
      </c>
      <c r="G18" s="539">
        <v>0</v>
      </c>
      <c r="H18" s="539">
        <v>0</v>
      </c>
      <c r="I18" s="539">
        <v>0</v>
      </c>
      <c r="J18" s="539">
        <v>0</v>
      </c>
      <c r="K18" s="539">
        <v>0</v>
      </c>
      <c r="L18" s="539">
        <v>0</v>
      </c>
      <c r="M18" s="539">
        <v>0</v>
      </c>
      <c r="N18" s="540">
        <v>0</v>
      </c>
      <c r="O18" s="541"/>
    </row>
    <row r="19" spans="1:15" x14ac:dyDescent="0.3">
      <c r="A19" s="534">
        <v>2.5</v>
      </c>
      <c r="B19" s="544" t="s">
        <v>458</v>
      </c>
      <c r="C19" s="539">
        <v>0</v>
      </c>
      <c r="D19" s="543">
        <v>0.04</v>
      </c>
      <c r="E19" s="538">
        <f>D19*C19</f>
        <v>0</v>
      </c>
      <c r="F19" s="539">
        <v>0</v>
      </c>
      <c r="G19" s="539">
        <v>0</v>
      </c>
      <c r="H19" s="539">
        <v>0</v>
      </c>
      <c r="I19" s="539">
        <v>0</v>
      </c>
      <c r="J19" s="539">
        <v>0</v>
      </c>
      <c r="K19" s="539">
        <v>0</v>
      </c>
      <c r="L19" s="539">
        <v>0</v>
      </c>
      <c r="M19" s="539">
        <v>0</v>
      </c>
      <c r="N19" s="540">
        <v>0</v>
      </c>
      <c r="O19" s="541"/>
    </row>
    <row r="20" spans="1:15" x14ac:dyDescent="0.3">
      <c r="A20" s="534">
        <v>2.6</v>
      </c>
      <c r="B20" s="544" t="s">
        <v>459</v>
      </c>
      <c r="C20" s="539">
        <v>0</v>
      </c>
      <c r="D20" s="545"/>
      <c r="E20" s="547"/>
      <c r="F20" s="539">
        <v>0</v>
      </c>
      <c r="G20" s="539">
        <v>0</v>
      </c>
      <c r="H20" s="539">
        <v>0</v>
      </c>
      <c r="I20" s="539">
        <v>0</v>
      </c>
      <c r="J20" s="539">
        <v>0</v>
      </c>
      <c r="K20" s="539">
        <v>0</v>
      </c>
      <c r="L20" s="539">
        <v>0</v>
      </c>
      <c r="M20" s="539">
        <v>0</v>
      </c>
      <c r="N20" s="540">
        <v>0</v>
      </c>
      <c r="O20" s="541"/>
    </row>
    <row r="21" spans="1:15" ht="15.75" thickBot="1" x14ac:dyDescent="0.35">
      <c r="A21" s="548">
        <v>3</v>
      </c>
      <c r="B21" s="549" t="s">
        <v>72</v>
      </c>
      <c r="C21" s="550">
        <f>C7+C14</f>
        <v>22542265.600000001</v>
      </c>
      <c r="D21" s="551"/>
      <c r="E21" s="552">
        <f>SUM(E7+E14)</f>
        <v>450845.31200000003</v>
      </c>
      <c r="F21" s="539">
        <v>0</v>
      </c>
      <c r="G21" s="539">
        <v>0</v>
      </c>
      <c r="H21" s="539">
        <v>0</v>
      </c>
      <c r="I21" s="539">
        <v>0</v>
      </c>
      <c r="J21" s="539">
        <v>0</v>
      </c>
      <c r="K21" s="539">
        <v>0</v>
      </c>
      <c r="L21" s="539">
        <v>0</v>
      </c>
      <c r="M21" s="539">
        <v>0</v>
      </c>
      <c r="N21" s="540">
        <v>450845.31200000003</v>
      </c>
      <c r="O21" s="541"/>
    </row>
    <row r="22" spans="1:15" x14ac:dyDescent="0.3">
      <c r="C22" s="553"/>
      <c r="D22" s="553"/>
      <c r="E22" s="554"/>
      <c r="F22" s="554"/>
      <c r="G22" s="554"/>
      <c r="H22" s="554"/>
      <c r="I22" s="554"/>
      <c r="J22" s="554"/>
      <c r="K22" s="554"/>
      <c r="L22" s="554"/>
      <c r="M22" s="554"/>
      <c r="N22" s="553"/>
      <c r="O22" s="541"/>
    </row>
    <row r="23" spans="1:15" x14ac:dyDescent="0.3">
      <c r="C23" s="553"/>
      <c r="D23" s="553"/>
      <c r="E23" s="553"/>
      <c r="F23" s="553"/>
      <c r="G23" s="553"/>
      <c r="H23" s="553"/>
      <c r="I23" s="553"/>
      <c r="J23" s="553"/>
      <c r="K23" s="553"/>
      <c r="L23" s="553"/>
      <c r="M23" s="553"/>
      <c r="N23" s="553"/>
      <c r="O23" s="541"/>
    </row>
    <row r="24" spans="1:15" x14ac:dyDescent="0.3">
      <c r="C24" s="553"/>
      <c r="D24" s="553"/>
      <c r="E24" s="553"/>
      <c r="F24" s="553"/>
      <c r="G24" s="553"/>
      <c r="H24" s="553"/>
      <c r="I24" s="553"/>
      <c r="J24" s="553"/>
      <c r="K24" s="553"/>
      <c r="L24" s="553"/>
      <c r="M24" s="553"/>
      <c r="N24" s="553"/>
      <c r="O24" s="54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C41"/>
  <sheetViews>
    <sheetView workbookViewId="0">
      <selection activeCell="C12" sqref="C12"/>
    </sheetView>
  </sheetViews>
  <sheetFormatPr defaultColWidth="9.140625" defaultRowHeight="12.75" x14ac:dyDescent="0.2"/>
  <cols>
    <col min="1" max="1" width="11.7109375" style="555" customWidth="1"/>
    <col min="2" max="2" width="76.85546875" style="556" customWidth="1"/>
    <col min="3" max="3" width="22.85546875" style="555" customWidth="1"/>
    <col min="4" max="16384" width="9.140625" style="555"/>
  </cols>
  <sheetData>
    <row r="1" spans="1:3" ht="15" x14ac:dyDescent="0.3">
      <c r="A1" s="204" t="s">
        <v>448</v>
      </c>
      <c r="B1" s="25" t="str">
        <f>'1. key ratios'!B1</f>
        <v>სს ტერაბანკი</v>
      </c>
    </row>
    <row r="2" spans="1:3" ht="15" x14ac:dyDescent="0.3">
      <c r="A2" s="204" t="s">
        <v>31</v>
      </c>
      <c r="B2" s="86">
        <f>'1. key ratios'!B2</f>
        <v>43738</v>
      </c>
    </row>
    <row r="3" spans="1:3" ht="15" x14ac:dyDescent="0.3">
      <c r="A3" s="204"/>
    </row>
    <row r="4" spans="1:3" ht="18.75" x14ac:dyDescent="0.3">
      <c r="A4" s="204" t="s">
        <v>461</v>
      </c>
      <c r="B4" s="557" t="s">
        <v>28</v>
      </c>
      <c r="C4" s="558"/>
    </row>
    <row r="5" spans="1:3" x14ac:dyDescent="0.2">
      <c r="A5" s="559"/>
      <c r="B5" s="559" t="s">
        <v>462</v>
      </c>
      <c r="C5" s="560"/>
    </row>
    <row r="6" spans="1:3" x14ac:dyDescent="0.2">
      <c r="A6" s="561">
        <v>1</v>
      </c>
      <c r="B6" s="562" t="s">
        <v>462</v>
      </c>
      <c r="C6" s="563">
        <v>1010024984.9999983</v>
      </c>
    </row>
    <row r="7" spans="1:3" x14ac:dyDescent="0.2">
      <c r="A7" s="561">
        <v>2</v>
      </c>
      <c r="B7" s="562" t="s">
        <v>463</v>
      </c>
      <c r="C7" s="563">
        <v>-23375717.009999998</v>
      </c>
    </row>
    <row r="8" spans="1:3" x14ac:dyDescent="0.2">
      <c r="A8" s="564">
        <v>3</v>
      </c>
      <c r="B8" s="565" t="s">
        <v>464</v>
      </c>
      <c r="C8" s="566">
        <f>C6+C7</f>
        <v>986649267.98999834</v>
      </c>
    </row>
    <row r="9" spans="1:3" x14ac:dyDescent="0.2">
      <c r="A9" s="567"/>
      <c r="B9" s="567" t="s">
        <v>465</v>
      </c>
      <c r="C9" s="568"/>
    </row>
    <row r="10" spans="1:3" x14ac:dyDescent="0.2">
      <c r="A10" s="569">
        <v>4</v>
      </c>
      <c r="B10" s="570" t="s">
        <v>466</v>
      </c>
      <c r="C10" s="563"/>
    </row>
    <row r="11" spans="1:3" x14ac:dyDescent="0.2">
      <c r="A11" s="569">
        <v>5</v>
      </c>
      <c r="B11" s="571" t="s">
        <v>467</v>
      </c>
      <c r="C11" s="563"/>
    </row>
    <row r="12" spans="1:3" x14ac:dyDescent="0.2">
      <c r="A12" s="569" t="s">
        <v>468</v>
      </c>
      <c r="B12" s="562" t="s">
        <v>469</v>
      </c>
      <c r="C12" s="563">
        <v>450845.31200000003</v>
      </c>
    </row>
    <row r="13" spans="1:3" x14ac:dyDescent="0.2">
      <c r="A13" s="572">
        <v>6</v>
      </c>
      <c r="B13" s="573" t="s">
        <v>470</v>
      </c>
      <c r="C13" s="563"/>
    </row>
    <row r="14" spans="1:3" x14ac:dyDescent="0.2">
      <c r="A14" s="572">
        <v>7</v>
      </c>
      <c r="B14" s="574" t="s">
        <v>471</v>
      </c>
      <c r="C14" s="563"/>
    </row>
    <row r="15" spans="1:3" x14ac:dyDescent="0.2">
      <c r="A15" s="575">
        <v>8</v>
      </c>
      <c r="B15" s="562" t="s">
        <v>472</v>
      </c>
      <c r="C15" s="563"/>
    </row>
    <row r="16" spans="1:3" ht="24" x14ac:dyDescent="0.2">
      <c r="A16" s="572">
        <v>9</v>
      </c>
      <c r="B16" s="574" t="s">
        <v>473</v>
      </c>
      <c r="C16" s="563"/>
    </row>
    <row r="17" spans="1:3" x14ac:dyDescent="0.2">
      <c r="A17" s="572">
        <v>10</v>
      </c>
      <c r="B17" s="574" t="s">
        <v>474</v>
      </c>
      <c r="C17" s="563"/>
    </row>
    <row r="18" spans="1:3" x14ac:dyDescent="0.2">
      <c r="A18" s="576">
        <v>11</v>
      </c>
      <c r="B18" s="577" t="s">
        <v>475</v>
      </c>
      <c r="C18" s="578">
        <f>SUM(C10:C17)</f>
        <v>450845.31200000003</v>
      </c>
    </row>
    <row r="19" spans="1:3" x14ac:dyDescent="0.2">
      <c r="A19" s="567"/>
      <c r="B19" s="567" t="s">
        <v>476</v>
      </c>
      <c r="C19" s="579"/>
    </row>
    <row r="20" spans="1:3" x14ac:dyDescent="0.2">
      <c r="A20" s="572">
        <v>12</v>
      </c>
      <c r="B20" s="570" t="s">
        <v>477</v>
      </c>
      <c r="C20" s="563"/>
    </row>
    <row r="21" spans="1:3" x14ac:dyDescent="0.2">
      <c r="A21" s="572">
        <v>13</v>
      </c>
      <c r="B21" s="570" t="s">
        <v>478</v>
      </c>
      <c r="C21" s="563"/>
    </row>
    <row r="22" spans="1:3" x14ac:dyDescent="0.2">
      <c r="A22" s="572">
        <v>14</v>
      </c>
      <c r="B22" s="570" t="s">
        <v>479</v>
      </c>
      <c r="C22" s="563"/>
    </row>
    <row r="23" spans="1:3" ht="24" x14ac:dyDescent="0.2">
      <c r="A23" s="572" t="s">
        <v>480</v>
      </c>
      <c r="B23" s="570" t="s">
        <v>481</v>
      </c>
      <c r="C23" s="563"/>
    </row>
    <row r="24" spans="1:3" x14ac:dyDescent="0.2">
      <c r="A24" s="572">
        <v>15</v>
      </c>
      <c r="B24" s="570" t="s">
        <v>482</v>
      </c>
      <c r="C24" s="563"/>
    </row>
    <row r="25" spans="1:3" x14ac:dyDescent="0.2">
      <c r="A25" s="572" t="s">
        <v>483</v>
      </c>
      <c r="B25" s="562" t="s">
        <v>484</v>
      </c>
      <c r="C25" s="563"/>
    </row>
    <row r="26" spans="1:3" x14ac:dyDescent="0.2">
      <c r="A26" s="576">
        <v>16</v>
      </c>
      <c r="B26" s="577" t="s">
        <v>485</v>
      </c>
      <c r="C26" s="578">
        <f>SUM(C20:C25)</f>
        <v>0</v>
      </c>
    </row>
    <row r="27" spans="1:3" x14ac:dyDescent="0.2">
      <c r="A27" s="567"/>
      <c r="B27" s="567" t="s">
        <v>486</v>
      </c>
      <c r="C27" s="568"/>
    </row>
    <row r="28" spans="1:3" x14ac:dyDescent="0.2">
      <c r="A28" s="569">
        <v>17</v>
      </c>
      <c r="B28" s="562" t="s">
        <v>487</v>
      </c>
      <c r="C28" s="563">
        <v>55200190.029999986</v>
      </c>
    </row>
    <row r="29" spans="1:3" x14ac:dyDescent="0.2">
      <c r="A29" s="569">
        <v>18</v>
      </c>
      <c r="B29" s="562" t="s">
        <v>488</v>
      </c>
      <c r="C29" s="563">
        <v>-26000681.295999996</v>
      </c>
    </row>
    <row r="30" spans="1:3" x14ac:dyDescent="0.2">
      <c r="A30" s="576">
        <v>19</v>
      </c>
      <c r="B30" s="577" t="s">
        <v>489</v>
      </c>
      <c r="C30" s="578">
        <f>C28+C29</f>
        <v>29199508.73399999</v>
      </c>
    </row>
    <row r="31" spans="1:3" x14ac:dyDescent="0.2">
      <c r="A31" s="580"/>
      <c r="B31" s="567" t="s">
        <v>490</v>
      </c>
      <c r="C31" s="568"/>
    </row>
    <row r="32" spans="1:3" x14ac:dyDescent="0.2">
      <c r="A32" s="569" t="s">
        <v>491</v>
      </c>
      <c r="B32" s="570" t="s">
        <v>492</v>
      </c>
      <c r="C32" s="581"/>
    </row>
    <row r="33" spans="1:3" x14ac:dyDescent="0.2">
      <c r="A33" s="569" t="s">
        <v>493</v>
      </c>
      <c r="B33" s="571" t="s">
        <v>494</v>
      </c>
      <c r="C33" s="581"/>
    </row>
    <row r="34" spans="1:3" x14ac:dyDescent="0.2">
      <c r="A34" s="567"/>
      <c r="B34" s="567" t="s">
        <v>495</v>
      </c>
      <c r="C34" s="568"/>
    </row>
    <row r="35" spans="1:3" x14ac:dyDescent="0.2">
      <c r="A35" s="576">
        <v>20</v>
      </c>
      <c r="B35" s="577" t="s">
        <v>37</v>
      </c>
      <c r="C35" s="563">
        <v>116068649.19000015</v>
      </c>
    </row>
    <row r="36" spans="1:3" x14ac:dyDescent="0.2">
      <c r="A36" s="576">
        <v>21</v>
      </c>
      <c r="B36" s="577" t="s">
        <v>496</v>
      </c>
      <c r="C36" s="578">
        <f>C8+C18+C26+C30</f>
        <v>1016299622.0359983</v>
      </c>
    </row>
    <row r="37" spans="1:3" x14ac:dyDescent="0.2">
      <c r="A37" s="582" t="s">
        <v>28</v>
      </c>
      <c r="B37" s="583"/>
      <c r="C37" s="568"/>
    </row>
    <row r="38" spans="1:3" x14ac:dyDescent="0.2">
      <c r="A38" s="576">
        <v>22</v>
      </c>
      <c r="B38" s="584" t="s">
        <v>28</v>
      </c>
      <c r="C38" s="585">
        <f>IFERROR(C35/C36,0)</f>
        <v>0.1142071163595187</v>
      </c>
    </row>
    <row r="39" spans="1:3" x14ac:dyDescent="0.2">
      <c r="A39" s="586"/>
      <c r="B39" s="586" t="s">
        <v>497</v>
      </c>
      <c r="C39" s="568"/>
    </row>
    <row r="40" spans="1:3" x14ac:dyDescent="0.2">
      <c r="A40" s="587" t="s">
        <v>498</v>
      </c>
      <c r="B40" s="570" t="s">
        <v>499</v>
      </c>
      <c r="C40" s="581"/>
    </row>
    <row r="41" spans="1:3" x14ac:dyDescent="0.2">
      <c r="A41" s="588" t="s">
        <v>500</v>
      </c>
      <c r="B41" s="571" t="s">
        <v>501</v>
      </c>
      <c r="C41" s="581"/>
    </row>
  </sheetData>
  <mergeCells count="1">
    <mergeCell ref="A37:B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0"/>
  <sheetViews>
    <sheetView showGridLines="0" zoomScaleNormal="100" workbookViewId="0">
      <pane xSplit="1" ySplit="5" topLeftCell="B24" activePane="bottomRight" state="frozen"/>
      <selection activeCell="C12" sqref="C12"/>
      <selection pane="topRight" activeCell="C12" sqref="C12"/>
      <selection pane="bottomLeft" activeCell="C12" sqref="C12"/>
      <selection pane="bottomRight" activeCell="C12" sqref="C12"/>
    </sheetView>
  </sheetViews>
  <sheetFormatPr defaultRowHeight="15.75" x14ac:dyDescent="0.3"/>
  <cols>
    <col min="1" max="1" width="9.5703125" style="84" bestFit="1" customWidth="1"/>
    <col min="2" max="2" width="86" style="27" customWidth="1"/>
    <col min="3" max="3" width="12.7109375" style="27" customWidth="1"/>
    <col min="4" max="4" width="12" style="25" bestFit="1" customWidth="1"/>
    <col min="5" max="5" width="14" style="25" bestFit="1" customWidth="1"/>
    <col min="6" max="6" width="13.7109375" style="25" bestFit="1" customWidth="1"/>
    <col min="7" max="7" width="13.28515625" style="25" bestFit="1" customWidth="1"/>
    <col min="8" max="13" width="6.7109375" customWidth="1"/>
  </cols>
  <sheetData>
    <row r="1" spans="1:12" x14ac:dyDescent="0.3">
      <c r="A1" s="26" t="s">
        <v>29</v>
      </c>
      <c r="B1" s="27" t="s">
        <v>30</v>
      </c>
    </row>
    <row r="2" spans="1:12" x14ac:dyDescent="0.3">
      <c r="A2" s="26" t="s">
        <v>31</v>
      </c>
      <c r="B2" s="28">
        <v>43738</v>
      </c>
      <c r="C2" s="29"/>
      <c r="D2" s="30"/>
      <c r="E2" s="30"/>
      <c r="F2" s="30"/>
      <c r="G2" s="30"/>
      <c r="H2" s="31"/>
    </row>
    <row r="3" spans="1:12" x14ac:dyDescent="0.3">
      <c r="A3" s="26"/>
      <c r="C3" s="29"/>
      <c r="D3" s="30"/>
      <c r="E3" s="30"/>
      <c r="F3" s="30"/>
      <c r="G3" s="30"/>
      <c r="H3" s="31"/>
    </row>
    <row r="4" spans="1:12" ht="16.5" thickBot="1" x14ac:dyDescent="0.35">
      <c r="A4" s="32" t="s">
        <v>32</v>
      </c>
      <c r="B4" s="33" t="s">
        <v>12</v>
      </c>
      <c r="C4" s="34"/>
      <c r="D4" s="35"/>
      <c r="E4" s="35"/>
      <c r="F4" s="35"/>
      <c r="G4" s="35"/>
      <c r="H4" s="31"/>
    </row>
    <row r="5" spans="1:12" ht="15" x14ac:dyDescent="0.25">
      <c r="A5" s="36" t="s">
        <v>33</v>
      </c>
      <c r="B5" s="37"/>
      <c r="C5" s="38">
        <f>B2</f>
        <v>43738</v>
      </c>
      <c r="D5" s="39">
        <f>EOMONTH(C5,-3)</f>
        <v>43646</v>
      </c>
      <c r="E5" s="39">
        <f>EOMONTH(D5,-3)</f>
        <v>43555</v>
      </c>
      <c r="F5" s="39">
        <f>EOMONTH(E5,-3)</f>
        <v>43465</v>
      </c>
      <c r="G5" s="40">
        <f>EOMONTH(F5,-3)</f>
        <v>43373</v>
      </c>
    </row>
    <row r="6" spans="1:12" ht="15" x14ac:dyDescent="0.25">
      <c r="A6" s="41"/>
      <c r="B6" s="42" t="s">
        <v>34</v>
      </c>
      <c r="C6" s="43"/>
      <c r="D6" s="43"/>
      <c r="E6" s="43"/>
      <c r="F6" s="43"/>
      <c r="G6" s="44"/>
    </row>
    <row r="7" spans="1:12" ht="15" x14ac:dyDescent="0.25">
      <c r="A7" s="41"/>
      <c r="B7" s="45" t="s">
        <v>35</v>
      </c>
      <c r="C7" s="43"/>
      <c r="D7" s="43"/>
      <c r="E7" s="43"/>
      <c r="F7" s="43"/>
      <c r="G7" s="44"/>
    </row>
    <row r="8" spans="1:12" ht="15" x14ac:dyDescent="0.25">
      <c r="A8" s="46">
        <v>1</v>
      </c>
      <c r="B8" s="47" t="s">
        <v>36</v>
      </c>
      <c r="C8" s="48">
        <v>116068649.19000015</v>
      </c>
      <c r="D8" s="49">
        <v>108722461.78999999</v>
      </c>
      <c r="E8" s="49">
        <v>110978440.77000006</v>
      </c>
      <c r="F8" s="49">
        <v>104601554.61000024</v>
      </c>
      <c r="G8" s="50">
        <v>102318427.43000002</v>
      </c>
    </row>
    <row r="9" spans="1:12" ht="15" x14ac:dyDescent="0.25">
      <c r="A9" s="46">
        <v>2</v>
      </c>
      <c r="B9" s="47" t="s">
        <v>37</v>
      </c>
      <c r="C9" s="48">
        <v>116068649.19000015</v>
      </c>
      <c r="D9" s="49">
        <v>108722461.78999999</v>
      </c>
      <c r="E9" s="49">
        <v>110978440.77000006</v>
      </c>
      <c r="F9" s="49">
        <v>104601554.61000024</v>
      </c>
      <c r="G9" s="50">
        <v>102318427.43000002</v>
      </c>
    </row>
    <row r="10" spans="1:12" ht="15" x14ac:dyDescent="0.25">
      <c r="A10" s="46">
        <v>3</v>
      </c>
      <c r="B10" s="47" t="s">
        <v>20</v>
      </c>
      <c r="C10" s="48">
        <v>177356900.82311577</v>
      </c>
      <c r="D10" s="49">
        <v>167351193.26255161</v>
      </c>
      <c r="E10" s="49">
        <v>164715332.73996907</v>
      </c>
      <c r="F10" s="49">
        <v>156412413.60750985</v>
      </c>
      <c r="G10" s="50">
        <v>145542151.71401042</v>
      </c>
    </row>
    <row r="11" spans="1:12" ht="15" x14ac:dyDescent="0.25">
      <c r="A11" s="41"/>
      <c r="B11" s="42" t="s">
        <v>38</v>
      </c>
      <c r="C11" s="51"/>
      <c r="D11" s="51"/>
      <c r="E11" s="51"/>
      <c r="F11" s="51"/>
      <c r="G11" s="52"/>
    </row>
    <row r="12" spans="1:12" ht="15" customHeight="1" x14ac:dyDescent="0.25">
      <c r="A12" s="46">
        <v>4</v>
      </c>
      <c r="B12" s="47" t="s">
        <v>39</v>
      </c>
      <c r="C12" s="53">
        <v>940885173.26799881</v>
      </c>
      <c r="D12" s="49">
        <v>932602567.52287805</v>
      </c>
      <c r="E12" s="54">
        <v>889510858.74627233</v>
      </c>
      <c r="F12" s="54">
        <v>872383342.71952081</v>
      </c>
      <c r="G12" s="55">
        <v>849999538.21958256</v>
      </c>
      <c r="I12" s="56"/>
      <c r="J12" s="56"/>
      <c r="K12" s="56"/>
      <c r="L12" s="56"/>
    </row>
    <row r="13" spans="1:12" ht="15" x14ac:dyDescent="0.25">
      <c r="A13" s="41"/>
      <c r="B13" s="42" t="s">
        <v>40</v>
      </c>
      <c r="C13" s="43"/>
      <c r="D13" s="43"/>
      <c r="E13" s="43"/>
      <c r="F13" s="43"/>
      <c r="G13" s="44"/>
    </row>
    <row r="14" spans="1:12" s="24" customFormat="1" ht="15" x14ac:dyDescent="0.25">
      <c r="A14" s="46"/>
      <c r="B14" s="45" t="s">
        <v>41</v>
      </c>
      <c r="C14" s="43"/>
      <c r="D14" s="43"/>
      <c r="E14" s="43"/>
      <c r="F14" s="43"/>
      <c r="G14" s="44"/>
    </row>
    <row r="15" spans="1:12" ht="15" x14ac:dyDescent="0.25">
      <c r="A15" s="57">
        <v>5</v>
      </c>
      <c r="B15" s="58"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&gt;=9.1%</v>
      </c>
      <c r="C15" s="59">
        <f>C8/C12</f>
        <v>0.12336112045092193</v>
      </c>
      <c r="D15" s="60">
        <v>0.1165796294972487</v>
      </c>
      <c r="E15" s="60">
        <v>0.12476344687508306</v>
      </c>
      <c r="F15" s="60">
        <v>0.11990320021920753</v>
      </c>
      <c r="G15" s="61">
        <v>0.12037468590196791</v>
      </c>
    </row>
    <row r="16" spans="1:12" ht="15" customHeight="1" x14ac:dyDescent="0.25">
      <c r="A16" s="57">
        <v>6</v>
      </c>
      <c r="B16" s="58" t="str">
        <f>"პირველადი კაპიტალის კოეფიციენტი &gt;="&amp;ROUND('9.1. Capital Requirements'!$C$20*100,2)&amp;"%"</f>
        <v>პირველადი კაპიტალის კოეფიციენტი &gt;=11.31%</v>
      </c>
      <c r="C16" s="59">
        <f>C9/C12</f>
        <v>0.12336112045092193</v>
      </c>
      <c r="D16" s="60">
        <v>0.1165796294972487</v>
      </c>
      <c r="E16" s="60">
        <v>0.12476344687508306</v>
      </c>
      <c r="F16" s="60">
        <v>0.11990320021920753</v>
      </c>
      <c r="G16" s="61">
        <v>0.12037468590196791</v>
      </c>
    </row>
    <row r="17" spans="1:7" ht="15" x14ac:dyDescent="0.25">
      <c r="A17" s="57">
        <v>7</v>
      </c>
      <c r="B17" s="58" t="str">
        <f>"საზედამხედველო კაპიტალის კოეფიციენტი &gt;="&amp;ROUND('9.1. Capital Requirements'!$C$21*100,2)&amp;"%"</f>
        <v>საზედამხედველო კაპიტალის კოეფიციენტი &gt;=17.27%</v>
      </c>
      <c r="C17" s="59">
        <f>C10/C12</f>
        <v>0.18850004853099964</v>
      </c>
      <c r="D17" s="60">
        <v>0.17944534905909557</v>
      </c>
      <c r="E17" s="60">
        <v>0.18517517928013641</v>
      </c>
      <c r="F17" s="60">
        <v>0.17929321428801956</v>
      </c>
      <c r="G17" s="61">
        <v>0.17122615386222967</v>
      </c>
    </row>
    <row r="18" spans="1:7" ht="15" x14ac:dyDescent="0.25">
      <c r="A18" s="41"/>
      <c r="B18" s="42" t="s">
        <v>42</v>
      </c>
      <c r="C18" s="62"/>
      <c r="D18" s="62"/>
      <c r="E18" s="62"/>
      <c r="F18" s="62"/>
      <c r="G18" s="63"/>
    </row>
    <row r="19" spans="1:7" ht="15" customHeight="1" x14ac:dyDescent="0.25">
      <c r="A19" s="64">
        <v>8</v>
      </c>
      <c r="B19" s="65" t="s">
        <v>43</v>
      </c>
      <c r="C19" s="66">
        <v>7.9769621602389582E-2</v>
      </c>
      <c r="D19" s="67">
        <v>8.0340333687152543E-2</v>
      </c>
      <c r="E19" s="67">
        <v>8.0620064004284259E-2</v>
      </c>
      <c r="F19" s="67">
        <v>8.7209657253758191E-2</v>
      </c>
      <c r="G19" s="68">
        <v>8.7749481022180331E-2</v>
      </c>
    </row>
    <row r="20" spans="1:7" ht="15" x14ac:dyDescent="0.25">
      <c r="A20" s="64">
        <v>9</v>
      </c>
      <c r="B20" s="65" t="s">
        <v>44</v>
      </c>
      <c r="C20" s="66">
        <v>3.7240627187445391E-2</v>
      </c>
      <c r="D20" s="67">
        <v>3.6961994849379273E-2</v>
      </c>
      <c r="E20" s="67">
        <v>3.6482096493412206E-2</v>
      </c>
      <c r="F20" s="67">
        <v>4.0230121878041272E-2</v>
      </c>
      <c r="G20" s="68">
        <v>4.0678512150027372E-2</v>
      </c>
    </row>
    <row r="21" spans="1:7" ht="15" x14ac:dyDescent="0.25">
      <c r="A21" s="64">
        <v>10</v>
      </c>
      <c r="B21" s="65" t="s">
        <v>45</v>
      </c>
      <c r="C21" s="66">
        <v>2.2986983096665574E-2</v>
      </c>
      <c r="D21" s="67">
        <v>2.4683889073176663E-2</v>
      </c>
      <c r="E21" s="67">
        <v>2.9192501328584378E-2</v>
      </c>
      <c r="F21" s="67">
        <v>3.1456099138050357E-2</v>
      </c>
      <c r="G21" s="68">
        <v>3.7646700987958602E-2</v>
      </c>
    </row>
    <row r="22" spans="1:7" ht="15" x14ac:dyDescent="0.25">
      <c r="A22" s="64">
        <v>11</v>
      </c>
      <c r="B22" s="65" t="s">
        <v>46</v>
      </c>
      <c r="C22" s="66">
        <v>4.2528994414944191E-2</v>
      </c>
      <c r="D22" s="67">
        <v>4.337833883777327E-2</v>
      </c>
      <c r="E22" s="67">
        <v>4.413796751087206E-2</v>
      </c>
      <c r="F22" s="67">
        <v>4.6979535375716919E-2</v>
      </c>
      <c r="G22" s="68">
        <v>4.7070968872152966E-2</v>
      </c>
    </row>
    <row r="23" spans="1:7" ht="15" x14ac:dyDescent="0.25">
      <c r="A23" s="64">
        <v>12</v>
      </c>
      <c r="B23" s="65" t="s">
        <v>47</v>
      </c>
      <c r="C23" s="66">
        <v>2.7524169086467456E-2</v>
      </c>
      <c r="D23" s="67">
        <v>2.6662636497584595E-2</v>
      </c>
      <c r="E23" s="67">
        <v>2.6254096797861583E-2</v>
      </c>
      <c r="F23" s="67">
        <v>2.0909463443805971E-2</v>
      </c>
      <c r="G23" s="68">
        <v>2.5025089458836823E-2</v>
      </c>
    </row>
    <row r="24" spans="1:7" ht="15" x14ac:dyDescent="0.25">
      <c r="A24" s="64">
        <v>13</v>
      </c>
      <c r="B24" s="65" t="s">
        <v>48</v>
      </c>
      <c r="C24" s="66">
        <v>0.20338505791313632</v>
      </c>
      <c r="D24" s="67">
        <v>0.19556363438395086</v>
      </c>
      <c r="E24" s="67">
        <v>0.18968679165280927</v>
      </c>
      <c r="F24" s="67">
        <v>0.14639560451698508</v>
      </c>
      <c r="G24" s="68">
        <v>0.17314383621091978</v>
      </c>
    </row>
    <row r="25" spans="1:7" ht="15" x14ac:dyDescent="0.25">
      <c r="A25" s="41"/>
      <c r="B25" s="42" t="s">
        <v>49</v>
      </c>
      <c r="C25" s="62"/>
      <c r="D25" s="62"/>
      <c r="E25" s="62"/>
      <c r="F25" s="62"/>
      <c r="G25" s="63"/>
    </row>
    <row r="26" spans="1:7" ht="15" x14ac:dyDescent="0.25">
      <c r="A26" s="64">
        <v>14</v>
      </c>
      <c r="B26" s="65" t="s">
        <v>50</v>
      </c>
      <c r="C26" s="66">
        <v>6.6048174051329664E-2</v>
      </c>
      <c r="D26" s="67">
        <v>7.1731810397726734E-2</v>
      </c>
      <c r="E26" s="67">
        <v>7.289384593086469E-2</v>
      </c>
      <c r="F26" s="67">
        <v>7.2777269111687304E-2</v>
      </c>
      <c r="G26" s="68">
        <v>8.357989394013364E-2</v>
      </c>
    </row>
    <row r="27" spans="1:7" ht="15" customHeight="1" x14ac:dyDescent="0.25">
      <c r="A27" s="64">
        <v>15</v>
      </c>
      <c r="B27" s="65" t="s">
        <v>51</v>
      </c>
      <c r="C27" s="66">
        <f>-'2. RC'!E13/'2. RC'!E12</f>
        <v>5.3588114360708643E-2</v>
      </c>
      <c r="D27" s="67">
        <v>5.4779290588043435E-2</v>
      </c>
      <c r="E27" s="67">
        <v>5.4677214531019688E-2</v>
      </c>
      <c r="F27" s="67">
        <v>5.3963741427641612E-2</v>
      </c>
      <c r="G27" s="68">
        <v>6.7837574701178849E-2</v>
      </c>
    </row>
    <row r="28" spans="1:7" ht="15" x14ac:dyDescent="0.25">
      <c r="A28" s="64">
        <v>16</v>
      </c>
      <c r="B28" s="65" t="s">
        <v>52</v>
      </c>
      <c r="C28" s="66">
        <f>'2. RC'!D12/'2. RC'!E12</f>
        <v>0.61951596488861727</v>
      </c>
      <c r="D28" s="67">
        <v>0.63200081160158073</v>
      </c>
      <c r="E28" s="67">
        <v>0.61322293379588433</v>
      </c>
      <c r="F28" s="67">
        <v>0.60906466379004665</v>
      </c>
      <c r="G28" s="68">
        <v>0.59247359557113433</v>
      </c>
    </row>
    <row r="29" spans="1:7" ht="15" customHeight="1" x14ac:dyDescent="0.25">
      <c r="A29" s="64">
        <v>17</v>
      </c>
      <c r="B29" s="65" t="s">
        <v>53</v>
      </c>
      <c r="C29" s="66">
        <f>'2. RC'!D20/'2. RC'!E20</f>
        <v>0.60265463022071764</v>
      </c>
      <c r="D29" s="67">
        <v>0.61064170449843569</v>
      </c>
      <c r="E29" s="67">
        <v>0.60332776039229008</v>
      </c>
      <c r="F29" s="67">
        <v>0.59237605022710837</v>
      </c>
      <c r="G29" s="68">
        <v>0.57824609957243633</v>
      </c>
    </row>
    <row r="30" spans="1:7" ht="15" x14ac:dyDescent="0.25">
      <c r="A30" s="64">
        <v>18</v>
      </c>
      <c r="B30" s="65" t="s">
        <v>54</v>
      </c>
      <c r="C30" s="66">
        <v>4.1432872819423094E-2</v>
      </c>
      <c r="D30" s="67">
        <v>6.2110272296294129E-2</v>
      </c>
      <c r="E30" s="67">
        <v>7.6100377495003273E-3</v>
      </c>
      <c r="F30" s="67">
        <v>0.17853816962819949</v>
      </c>
      <c r="G30" s="68">
        <v>0.1199585379078497</v>
      </c>
    </row>
    <row r="31" spans="1:7" ht="15" customHeight="1" x14ac:dyDescent="0.25">
      <c r="A31" s="41"/>
      <c r="B31" s="42" t="s">
        <v>55</v>
      </c>
      <c r="C31" s="62"/>
      <c r="D31" s="62"/>
      <c r="E31" s="62"/>
      <c r="F31" s="62"/>
      <c r="G31" s="63"/>
    </row>
    <row r="32" spans="1:7" ht="15" customHeight="1" x14ac:dyDescent="0.25">
      <c r="A32" s="64">
        <v>19</v>
      </c>
      <c r="B32" s="65" t="s">
        <v>56</v>
      </c>
      <c r="C32" s="66">
        <v>0.2565089112805527</v>
      </c>
      <c r="D32" s="69">
        <v>0.20561885131614835</v>
      </c>
      <c r="E32" s="66">
        <v>0.21002217714485491</v>
      </c>
      <c r="F32" s="66">
        <v>0.22443361438561152</v>
      </c>
      <c r="G32" s="70">
        <v>0.22193499831760022</v>
      </c>
    </row>
    <row r="33" spans="1:7" ht="15" customHeight="1" x14ac:dyDescent="0.25">
      <c r="A33" s="64">
        <v>20</v>
      </c>
      <c r="B33" s="65" t="s">
        <v>57</v>
      </c>
      <c r="C33" s="66">
        <f>'2. RC'!D31/'2. RC'!E31</f>
        <v>0.68673931725124704</v>
      </c>
      <c r="D33" s="69">
        <v>0.64107227678722867</v>
      </c>
      <c r="E33" s="66">
        <v>0.67879205773521678</v>
      </c>
      <c r="F33" s="66">
        <v>0.65163661836705256</v>
      </c>
      <c r="G33" s="70">
        <v>0.63706106432366538</v>
      </c>
    </row>
    <row r="34" spans="1:7" ht="15" x14ac:dyDescent="0.25">
      <c r="A34" s="64">
        <v>21</v>
      </c>
      <c r="B34" s="71" t="s">
        <v>58</v>
      </c>
      <c r="C34" s="66">
        <f>('2. RC'!E23+'2. RC'!E24)/'2. RC'!E20</f>
        <v>0.35868073898671504</v>
      </c>
      <c r="D34" s="66">
        <v>0.40162022029654859</v>
      </c>
      <c r="E34" s="66">
        <v>0.41131175259801867</v>
      </c>
      <c r="F34" s="66">
        <v>0.4375335542983817</v>
      </c>
      <c r="G34" s="70">
        <v>0.41823592464080278</v>
      </c>
    </row>
    <row r="35" spans="1:7" ht="15" x14ac:dyDescent="0.25">
      <c r="A35" s="72"/>
      <c r="B35" s="42" t="s">
        <v>59</v>
      </c>
      <c r="C35" s="43"/>
      <c r="D35" s="43"/>
      <c r="E35" s="43"/>
      <c r="F35" s="43"/>
      <c r="G35" s="44"/>
    </row>
    <row r="36" spans="1:7" ht="15" customHeight="1" x14ac:dyDescent="0.25">
      <c r="A36" s="64">
        <v>22</v>
      </c>
      <c r="B36" s="73" t="s">
        <v>60</v>
      </c>
      <c r="C36" s="74">
        <f>'14. LCR'!H23</f>
        <v>227311185.48313966</v>
      </c>
      <c r="D36" s="74">
        <v>175731209.26347753</v>
      </c>
      <c r="E36" s="74">
        <v>182406152.37841693</v>
      </c>
      <c r="F36" s="74">
        <v>178068288.89281896</v>
      </c>
      <c r="G36" s="75">
        <v>174272851.6386371</v>
      </c>
    </row>
    <row r="37" spans="1:7" ht="15" x14ac:dyDescent="0.25">
      <c r="A37" s="64">
        <v>23</v>
      </c>
      <c r="B37" s="76" t="s">
        <v>61</v>
      </c>
      <c r="C37" s="74">
        <f>'14. LCR'!$H$24</f>
        <v>171809199.87072283</v>
      </c>
      <c r="D37" s="77">
        <v>157540760.34728163</v>
      </c>
      <c r="E37" s="77">
        <v>158849134.94813639</v>
      </c>
      <c r="F37" s="77">
        <v>146477087.64507362</v>
      </c>
      <c r="G37" s="78">
        <v>143725543.21857831</v>
      </c>
    </row>
    <row r="38" spans="1:7" thickBot="1" x14ac:dyDescent="0.3">
      <c r="A38" s="79">
        <v>24</v>
      </c>
      <c r="B38" s="80" t="s">
        <v>62</v>
      </c>
      <c r="C38" s="81">
        <f>C36/C37</f>
        <v>1.3230443169177151</v>
      </c>
      <c r="D38" s="81">
        <v>1.1154650318818888</v>
      </c>
      <c r="E38" s="81">
        <v>1.1482980529794626</v>
      </c>
      <c r="F38" s="81">
        <v>1.2156733299087259</v>
      </c>
      <c r="G38" s="82">
        <v>1.2125391752640819</v>
      </c>
    </row>
    <row r="39" spans="1:7" x14ac:dyDescent="0.3">
      <c r="A39" s="83"/>
    </row>
    <row r="40" spans="1:7" ht="65.25" x14ac:dyDescent="0.3">
      <c r="B40" s="85" t="s">
        <v>63</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24" activePane="bottomRight" state="frozen"/>
      <selection activeCell="C12" sqref="C12"/>
      <selection pane="topRight" activeCell="C12" sqref="C12"/>
      <selection pane="bottomLeft" activeCell="C12" sqref="C12"/>
      <selection pane="bottomRight" activeCell="E43" sqref="E42:H43"/>
    </sheetView>
  </sheetViews>
  <sheetFormatPr defaultRowHeight="15" x14ac:dyDescent="0.25"/>
  <cols>
    <col min="1" max="1" width="9.5703125" style="25" bestFit="1" customWidth="1"/>
    <col min="2" max="2" width="55.140625" style="25" bestFit="1" customWidth="1"/>
    <col min="3" max="3" width="14.42578125" style="25" bestFit="1" customWidth="1"/>
    <col min="4" max="4" width="14.7109375" style="25" bestFit="1" customWidth="1"/>
    <col min="5" max="6" width="14.42578125" style="25" bestFit="1" customWidth="1"/>
    <col min="7" max="7" width="14" style="25" bestFit="1" customWidth="1"/>
    <col min="8" max="8" width="14.5703125" style="25" customWidth="1"/>
  </cols>
  <sheetData>
    <row r="1" spans="1:8" ht="15.75" x14ac:dyDescent="0.3">
      <c r="A1" s="26" t="s">
        <v>29</v>
      </c>
      <c r="B1" s="25" t="str">
        <f>'1. key ratios'!B1</f>
        <v>სს ტერაბანკი</v>
      </c>
    </row>
    <row r="2" spans="1:8" ht="15.75" x14ac:dyDescent="0.3">
      <c r="A2" s="26" t="s">
        <v>31</v>
      </c>
      <c r="B2" s="86">
        <f>'1. key ratios'!B2</f>
        <v>43738</v>
      </c>
    </row>
    <row r="3" spans="1:8" ht="15.75" x14ac:dyDescent="0.3">
      <c r="A3" s="26"/>
    </row>
    <row r="4" spans="1:8" ht="16.5" thickBot="1" x14ac:dyDescent="0.35">
      <c r="A4" s="87" t="s">
        <v>64</v>
      </c>
      <c r="B4" s="88" t="s">
        <v>65</v>
      </c>
      <c r="C4" s="87"/>
      <c r="D4" s="89"/>
      <c r="E4" s="89"/>
      <c r="F4" s="87"/>
      <c r="G4" s="89"/>
      <c r="H4" s="90" t="s">
        <v>66</v>
      </c>
    </row>
    <row r="5" spans="1:8" ht="15.75" x14ac:dyDescent="0.3">
      <c r="A5" s="91"/>
      <c r="B5" s="92"/>
      <c r="C5" s="93" t="s">
        <v>67</v>
      </c>
      <c r="D5" s="94"/>
      <c r="E5" s="95"/>
      <c r="F5" s="93" t="s">
        <v>68</v>
      </c>
      <c r="G5" s="94"/>
      <c r="H5" s="96"/>
    </row>
    <row r="6" spans="1:8" ht="15.75" x14ac:dyDescent="0.3">
      <c r="A6" s="97" t="s">
        <v>33</v>
      </c>
      <c r="B6" s="98" t="s">
        <v>69</v>
      </c>
      <c r="C6" s="99" t="s">
        <v>70</v>
      </c>
      <c r="D6" s="99" t="s">
        <v>71</v>
      </c>
      <c r="E6" s="99" t="s">
        <v>72</v>
      </c>
      <c r="F6" s="99" t="s">
        <v>70</v>
      </c>
      <c r="G6" s="99" t="s">
        <v>71</v>
      </c>
      <c r="H6" s="100" t="s">
        <v>72</v>
      </c>
    </row>
    <row r="7" spans="1:8" ht="15.75" x14ac:dyDescent="0.3">
      <c r="A7" s="97">
        <v>1</v>
      </c>
      <c r="B7" s="101" t="s">
        <v>73</v>
      </c>
      <c r="C7" s="102">
        <v>18658941.010000009</v>
      </c>
      <c r="D7" s="102">
        <v>15964788.880000006</v>
      </c>
      <c r="E7" s="103">
        <f>C7+D7</f>
        <v>34623729.890000015</v>
      </c>
      <c r="F7" s="102">
        <v>13370314.779999999</v>
      </c>
      <c r="G7" s="102">
        <v>20824287.150000002</v>
      </c>
      <c r="H7" s="104">
        <f>F7+G7</f>
        <v>34194601.93</v>
      </c>
    </row>
    <row r="8" spans="1:8" ht="15.75" x14ac:dyDescent="0.3">
      <c r="A8" s="97">
        <v>2</v>
      </c>
      <c r="B8" s="101" t="s">
        <v>74</v>
      </c>
      <c r="C8" s="102">
        <v>17663295.48</v>
      </c>
      <c r="D8" s="102">
        <v>148922438.25999999</v>
      </c>
      <c r="E8" s="103">
        <f t="shared" ref="E8:E20" si="0">C8+D8</f>
        <v>166585733.73999998</v>
      </c>
      <c r="F8" s="102">
        <v>10379664.380000001</v>
      </c>
      <c r="G8" s="102">
        <v>105034495.19</v>
      </c>
      <c r="H8" s="104">
        <f t="shared" ref="H8:H40" si="1">F8+G8</f>
        <v>115414159.56999999</v>
      </c>
    </row>
    <row r="9" spans="1:8" ht="15.75" x14ac:dyDescent="0.3">
      <c r="A9" s="97">
        <v>3</v>
      </c>
      <c r="B9" s="101" t="s">
        <v>75</v>
      </c>
      <c r="C9" s="102">
        <v>44396.159999999996</v>
      </c>
      <c r="D9" s="102">
        <v>19927004.869999997</v>
      </c>
      <c r="E9" s="103">
        <f t="shared" si="0"/>
        <v>19971401.029999997</v>
      </c>
      <c r="F9" s="102">
        <v>799168.4</v>
      </c>
      <c r="G9" s="102">
        <v>24870048.060000002</v>
      </c>
      <c r="H9" s="104">
        <f t="shared" si="1"/>
        <v>25669216.460000001</v>
      </c>
    </row>
    <row r="10" spans="1:8" ht="15.75" x14ac:dyDescent="0.3">
      <c r="A10" s="97">
        <v>4</v>
      </c>
      <c r="B10" s="101" t="s">
        <v>76</v>
      </c>
      <c r="C10" s="102">
        <v>0</v>
      </c>
      <c r="D10" s="102">
        <v>0</v>
      </c>
      <c r="E10" s="103">
        <f t="shared" si="0"/>
        <v>0</v>
      </c>
      <c r="F10" s="102">
        <v>0</v>
      </c>
      <c r="G10" s="102">
        <v>0</v>
      </c>
      <c r="H10" s="104">
        <f t="shared" si="1"/>
        <v>0</v>
      </c>
    </row>
    <row r="11" spans="1:8" ht="15.75" x14ac:dyDescent="0.3">
      <c r="A11" s="97">
        <v>5</v>
      </c>
      <c r="B11" s="101" t="s">
        <v>77</v>
      </c>
      <c r="C11" s="102">
        <v>52962059.619999997</v>
      </c>
      <c r="D11" s="102">
        <v>0</v>
      </c>
      <c r="E11" s="103">
        <f t="shared" si="0"/>
        <v>52962059.619999997</v>
      </c>
      <c r="F11" s="102">
        <v>50372343.509999998</v>
      </c>
      <c r="G11" s="102">
        <v>0</v>
      </c>
      <c r="H11" s="104">
        <f t="shared" si="1"/>
        <v>50372343.509999998</v>
      </c>
    </row>
    <row r="12" spans="1:8" ht="15.75" x14ac:dyDescent="0.3">
      <c r="A12" s="97">
        <v>6.1</v>
      </c>
      <c r="B12" s="105" t="s">
        <v>78</v>
      </c>
      <c r="C12" s="102">
        <v>276084596.02000123</v>
      </c>
      <c r="D12" s="102">
        <v>449529544.23999768</v>
      </c>
      <c r="E12" s="103">
        <f t="shared" si="0"/>
        <v>725614140.25999892</v>
      </c>
      <c r="F12" s="102">
        <v>269828923.22999758</v>
      </c>
      <c r="G12" s="102">
        <v>392285041.15999967</v>
      </c>
      <c r="H12" s="104">
        <f t="shared" si="1"/>
        <v>662113964.38999724</v>
      </c>
    </row>
    <row r="13" spans="1:8" ht="15.75" x14ac:dyDescent="0.3">
      <c r="A13" s="97">
        <v>6.2</v>
      </c>
      <c r="B13" s="105" t="s">
        <v>79</v>
      </c>
      <c r="C13" s="106">
        <v>-17611471.49000011</v>
      </c>
      <c r="D13" s="106">
        <v>-21272822.039999999</v>
      </c>
      <c r="E13" s="107">
        <f t="shared" si="0"/>
        <v>-38884293.530000106</v>
      </c>
      <c r="F13" s="106">
        <v>-18113536.429997757</v>
      </c>
      <c r="G13" s="106">
        <v>-26802669.090002351</v>
      </c>
      <c r="H13" s="107">
        <f t="shared" si="1"/>
        <v>-44916205.520000108</v>
      </c>
    </row>
    <row r="14" spans="1:8" ht="15.75" x14ac:dyDescent="0.3">
      <c r="A14" s="97">
        <v>6</v>
      </c>
      <c r="B14" s="101" t="s">
        <v>80</v>
      </c>
      <c r="C14" s="103">
        <f>C12+C13</f>
        <v>258473124.53000113</v>
      </c>
      <c r="D14" s="103">
        <f>D12+D13</f>
        <v>428256722.19999766</v>
      </c>
      <c r="E14" s="103">
        <f t="shared" si="0"/>
        <v>686729846.72999883</v>
      </c>
      <c r="F14" s="103">
        <f>F12+F13</f>
        <v>251715386.79999983</v>
      </c>
      <c r="G14" s="103">
        <f>G12+G13</f>
        <v>365482372.06999731</v>
      </c>
      <c r="H14" s="104">
        <f t="shared" si="1"/>
        <v>617197758.86999714</v>
      </c>
    </row>
    <row r="15" spans="1:8" ht="15.75" x14ac:dyDescent="0.3">
      <c r="A15" s="97">
        <v>7</v>
      </c>
      <c r="B15" s="101" t="s">
        <v>81</v>
      </c>
      <c r="C15" s="102">
        <v>2885509.7299999949</v>
      </c>
      <c r="D15" s="102">
        <v>2206340.4600000014</v>
      </c>
      <c r="E15" s="103">
        <f t="shared" si="0"/>
        <v>5091850.1899999958</v>
      </c>
      <c r="F15" s="102">
        <v>2953321.2199999955</v>
      </c>
      <c r="G15" s="102">
        <v>2675831.6900000041</v>
      </c>
      <c r="H15" s="104">
        <f t="shared" si="1"/>
        <v>5629152.9100000001</v>
      </c>
    </row>
    <row r="16" spans="1:8" ht="15.75" x14ac:dyDescent="0.3">
      <c r="A16" s="97">
        <v>8</v>
      </c>
      <c r="B16" s="101" t="s">
        <v>82</v>
      </c>
      <c r="C16" s="102">
        <v>1639651.5700000026</v>
      </c>
      <c r="D16" s="102">
        <v>0</v>
      </c>
      <c r="E16" s="103">
        <f t="shared" si="0"/>
        <v>1639651.5700000026</v>
      </c>
      <c r="F16" s="102">
        <v>1103541.3300000024</v>
      </c>
      <c r="G16" s="102">
        <v>0</v>
      </c>
      <c r="H16" s="104">
        <f t="shared" si="1"/>
        <v>1103541.3300000024</v>
      </c>
    </row>
    <row r="17" spans="1:8" ht="15.75" x14ac:dyDescent="0.3">
      <c r="A17" s="97">
        <v>9</v>
      </c>
      <c r="B17" s="101" t="s">
        <v>83</v>
      </c>
      <c r="C17" s="102">
        <v>0</v>
      </c>
      <c r="D17" s="102">
        <v>0</v>
      </c>
      <c r="E17" s="103">
        <f t="shared" si="0"/>
        <v>0</v>
      </c>
      <c r="F17" s="102">
        <v>0</v>
      </c>
      <c r="G17" s="102">
        <v>0</v>
      </c>
      <c r="H17" s="104">
        <f t="shared" si="1"/>
        <v>0</v>
      </c>
    </row>
    <row r="18" spans="1:8" ht="15.75" x14ac:dyDescent="0.3">
      <c r="A18" s="97">
        <v>10</v>
      </c>
      <c r="B18" s="101" t="s">
        <v>84</v>
      </c>
      <c r="C18" s="102">
        <v>47474796.749999993</v>
      </c>
      <c r="D18" s="102">
        <v>0</v>
      </c>
      <c r="E18" s="103">
        <f t="shared" si="0"/>
        <v>47474796.749999993</v>
      </c>
      <c r="F18" s="102">
        <v>45133526.599999987</v>
      </c>
      <c r="G18" s="102">
        <v>0</v>
      </c>
      <c r="H18" s="104">
        <f t="shared" si="1"/>
        <v>45133526.599999987</v>
      </c>
    </row>
    <row r="19" spans="1:8" ht="15.75" x14ac:dyDescent="0.3">
      <c r="A19" s="97">
        <v>11</v>
      </c>
      <c r="B19" s="101" t="s">
        <v>85</v>
      </c>
      <c r="C19" s="102">
        <v>6494103.7369999997</v>
      </c>
      <c r="D19" s="102">
        <v>952592.71</v>
      </c>
      <c r="E19" s="103">
        <f t="shared" si="0"/>
        <v>7446696.4469999997</v>
      </c>
      <c r="F19" s="102">
        <v>3180076.2418</v>
      </c>
      <c r="G19" s="102">
        <v>751356.2100000002</v>
      </c>
      <c r="H19" s="104">
        <f t="shared" si="1"/>
        <v>3931432.4517999999</v>
      </c>
    </row>
    <row r="20" spans="1:8" ht="15.75" x14ac:dyDescent="0.3">
      <c r="A20" s="97">
        <v>12</v>
      </c>
      <c r="B20" s="108" t="s">
        <v>86</v>
      </c>
      <c r="C20" s="103">
        <f>SUM(C7:C11)+SUM(C14:C19)</f>
        <v>406295878.58700109</v>
      </c>
      <c r="D20" s="103">
        <f>SUM(D7:D11)+SUM(D14:D19)</f>
        <v>616229887.37999761</v>
      </c>
      <c r="E20" s="103">
        <f t="shared" si="0"/>
        <v>1022525765.9669987</v>
      </c>
      <c r="F20" s="103">
        <f>SUM(F7:F11)+SUM(F14:F19)</f>
        <v>379007343.26179981</v>
      </c>
      <c r="G20" s="103">
        <f>SUM(G7:G11)+SUM(G14:G19)</f>
        <v>519638390.36999726</v>
      </c>
      <c r="H20" s="104">
        <f t="shared" si="1"/>
        <v>898645733.63179708</v>
      </c>
    </row>
    <row r="21" spans="1:8" ht="15.75" x14ac:dyDescent="0.3">
      <c r="A21" s="97"/>
      <c r="B21" s="98" t="s">
        <v>87</v>
      </c>
      <c r="C21" s="109"/>
      <c r="D21" s="109"/>
      <c r="E21" s="109"/>
      <c r="F21" s="109"/>
      <c r="G21" s="109"/>
      <c r="H21" s="110"/>
    </row>
    <row r="22" spans="1:8" ht="15.75" x14ac:dyDescent="0.3">
      <c r="A22" s="97">
        <v>13</v>
      </c>
      <c r="B22" s="101" t="s">
        <v>88</v>
      </c>
      <c r="C22" s="102">
        <v>9882.86</v>
      </c>
      <c r="D22" s="102">
        <v>5119217.58</v>
      </c>
      <c r="E22" s="103">
        <f>C22+D22</f>
        <v>5129100.4400000004</v>
      </c>
      <c r="F22" s="102">
        <v>4007.87</v>
      </c>
      <c r="G22" s="102">
        <v>237338.97000000003</v>
      </c>
      <c r="H22" s="104">
        <f t="shared" si="1"/>
        <v>241346.84000000003</v>
      </c>
    </row>
    <row r="23" spans="1:8" ht="15.75" x14ac:dyDescent="0.3">
      <c r="A23" s="97">
        <v>14</v>
      </c>
      <c r="B23" s="101" t="s">
        <v>89</v>
      </c>
      <c r="C23" s="102">
        <v>63459790.19999969</v>
      </c>
      <c r="D23" s="102">
        <v>135484892.7500003</v>
      </c>
      <c r="E23" s="103">
        <f t="shared" ref="E23:E40" si="2">C23+D23</f>
        <v>198944682.94999999</v>
      </c>
      <c r="F23" s="102">
        <v>66360854.770001709</v>
      </c>
      <c r="G23" s="102">
        <v>133304672.50000541</v>
      </c>
      <c r="H23" s="104">
        <f t="shared" si="1"/>
        <v>199665527.27000713</v>
      </c>
    </row>
    <row r="24" spans="1:8" ht="15.75" x14ac:dyDescent="0.3">
      <c r="A24" s="97">
        <v>15</v>
      </c>
      <c r="B24" s="101" t="s">
        <v>90</v>
      </c>
      <c r="C24" s="102">
        <v>65098270.939999968</v>
      </c>
      <c r="D24" s="102">
        <v>102717343.47999999</v>
      </c>
      <c r="E24" s="103">
        <f t="shared" si="2"/>
        <v>167815614.41999996</v>
      </c>
      <c r="F24" s="102">
        <v>70427756.959999993</v>
      </c>
      <c r="G24" s="102">
        <v>105752645.10000008</v>
      </c>
      <c r="H24" s="104">
        <f t="shared" si="1"/>
        <v>176180402.06000006</v>
      </c>
    </row>
    <row r="25" spans="1:8" ht="15.75" x14ac:dyDescent="0.3">
      <c r="A25" s="97">
        <v>16</v>
      </c>
      <c r="B25" s="101" t="s">
        <v>91</v>
      </c>
      <c r="C25" s="102">
        <v>99645510.869999975</v>
      </c>
      <c r="D25" s="102">
        <v>221804179.66999978</v>
      </c>
      <c r="E25" s="103">
        <f t="shared" si="2"/>
        <v>321449690.53999972</v>
      </c>
      <c r="F25" s="102">
        <v>77194343.379999995</v>
      </c>
      <c r="G25" s="102">
        <v>174921476.30999982</v>
      </c>
      <c r="H25" s="104">
        <f t="shared" si="1"/>
        <v>252115819.68999982</v>
      </c>
    </row>
    <row r="26" spans="1:8" ht="15.75" x14ac:dyDescent="0.3">
      <c r="A26" s="97">
        <v>17</v>
      </c>
      <c r="B26" s="101" t="s">
        <v>92</v>
      </c>
      <c r="C26" s="102">
        <v>0</v>
      </c>
      <c r="D26" s="102">
        <v>0</v>
      </c>
      <c r="E26" s="103">
        <f t="shared" si="2"/>
        <v>0</v>
      </c>
      <c r="F26" s="102">
        <v>0</v>
      </c>
      <c r="G26" s="102">
        <v>0</v>
      </c>
      <c r="H26" s="104">
        <f t="shared" si="1"/>
        <v>0</v>
      </c>
    </row>
    <row r="27" spans="1:8" ht="15.75" x14ac:dyDescent="0.3">
      <c r="A27" s="97">
        <v>18</v>
      </c>
      <c r="B27" s="101" t="s">
        <v>93</v>
      </c>
      <c r="C27" s="102">
        <v>39949500</v>
      </c>
      <c r="D27" s="102">
        <v>70516200</v>
      </c>
      <c r="E27" s="103">
        <f t="shared" si="2"/>
        <v>110465700</v>
      </c>
      <c r="F27" s="102">
        <v>56055000</v>
      </c>
      <c r="G27" s="102">
        <v>16462054.5</v>
      </c>
      <c r="H27" s="104">
        <f t="shared" si="1"/>
        <v>72517054.5</v>
      </c>
    </row>
    <row r="28" spans="1:8" ht="15.75" x14ac:dyDescent="0.3">
      <c r="A28" s="97">
        <v>19</v>
      </c>
      <c r="B28" s="101" t="s">
        <v>94</v>
      </c>
      <c r="C28" s="102">
        <v>2588449.6599999988</v>
      </c>
      <c r="D28" s="102">
        <v>2276910.5500000007</v>
      </c>
      <c r="E28" s="103">
        <f t="shared" si="2"/>
        <v>4865360.209999999</v>
      </c>
      <c r="F28" s="102">
        <v>2383087.4699999997</v>
      </c>
      <c r="G28" s="102">
        <v>1763574.3200000008</v>
      </c>
      <c r="H28" s="104">
        <f t="shared" si="1"/>
        <v>4146661.7900000005</v>
      </c>
    </row>
    <row r="29" spans="1:8" ht="15.75" x14ac:dyDescent="0.3">
      <c r="A29" s="97">
        <v>20</v>
      </c>
      <c r="B29" s="101" t="s">
        <v>95</v>
      </c>
      <c r="C29" s="102">
        <v>5883277.6900000013</v>
      </c>
      <c r="D29" s="102">
        <v>13452282.139999997</v>
      </c>
      <c r="E29" s="103">
        <f t="shared" si="2"/>
        <v>19335559.829999998</v>
      </c>
      <c r="F29" s="102">
        <v>6315857.8400000017</v>
      </c>
      <c r="G29" s="102">
        <v>19168493.960000001</v>
      </c>
      <c r="H29" s="104">
        <f t="shared" si="1"/>
        <v>25484351.800000004</v>
      </c>
    </row>
    <row r="30" spans="1:8" ht="15.75" x14ac:dyDescent="0.3">
      <c r="A30" s="97">
        <v>21</v>
      </c>
      <c r="B30" s="101" t="s">
        <v>96</v>
      </c>
      <c r="C30" s="102">
        <v>0</v>
      </c>
      <c r="D30" s="102">
        <v>55075691.396998994</v>
      </c>
      <c r="E30" s="103">
        <f t="shared" si="2"/>
        <v>55075691.396998994</v>
      </c>
      <c r="F30" s="102">
        <v>0</v>
      </c>
      <c r="G30" s="102">
        <v>37659321.810000002</v>
      </c>
      <c r="H30" s="104">
        <f t="shared" si="1"/>
        <v>37659321.810000002</v>
      </c>
    </row>
    <row r="31" spans="1:8" ht="15.75" x14ac:dyDescent="0.3">
      <c r="A31" s="97">
        <v>22</v>
      </c>
      <c r="B31" s="108" t="s">
        <v>97</v>
      </c>
      <c r="C31" s="103">
        <f>SUM(C22:C30)</f>
        <v>276634682.21999967</v>
      </c>
      <c r="D31" s="103">
        <f>SUM(D22:D30)</f>
        <v>606446717.56699908</v>
      </c>
      <c r="E31" s="103">
        <f>C31+D31</f>
        <v>883081399.78699875</v>
      </c>
      <c r="F31" s="103">
        <f>SUM(F22:F30)</f>
        <v>278740908.29000169</v>
      </c>
      <c r="G31" s="103">
        <f>SUM(G22:G30)</f>
        <v>489269577.47000527</v>
      </c>
      <c r="H31" s="104">
        <f t="shared" si="1"/>
        <v>768010485.7600069</v>
      </c>
    </row>
    <row r="32" spans="1:8" ht="15.75" x14ac:dyDescent="0.3">
      <c r="A32" s="97"/>
      <c r="B32" s="98" t="s">
        <v>98</v>
      </c>
      <c r="C32" s="109"/>
      <c r="D32" s="109"/>
      <c r="E32" s="102"/>
      <c r="F32" s="109"/>
      <c r="G32" s="109"/>
      <c r="H32" s="110"/>
    </row>
    <row r="33" spans="1:8" ht="15.75" x14ac:dyDescent="0.3">
      <c r="A33" s="97">
        <v>23</v>
      </c>
      <c r="B33" s="101" t="s">
        <v>99</v>
      </c>
      <c r="C33" s="102">
        <v>121372000</v>
      </c>
      <c r="D33" s="109"/>
      <c r="E33" s="103">
        <f t="shared" si="2"/>
        <v>121372000</v>
      </c>
      <c r="F33" s="102">
        <v>121372000.00000001</v>
      </c>
      <c r="G33" s="109"/>
      <c r="H33" s="104">
        <f t="shared" si="1"/>
        <v>121372000.00000001</v>
      </c>
    </row>
    <row r="34" spans="1:8" ht="15.75" x14ac:dyDescent="0.3">
      <c r="A34" s="97">
        <v>24</v>
      </c>
      <c r="B34" s="101" t="s">
        <v>100</v>
      </c>
      <c r="C34" s="102">
        <v>0</v>
      </c>
      <c r="D34" s="109"/>
      <c r="E34" s="103">
        <f t="shared" si="2"/>
        <v>0</v>
      </c>
      <c r="F34" s="102">
        <v>0</v>
      </c>
      <c r="G34" s="109"/>
      <c r="H34" s="104">
        <f t="shared" si="1"/>
        <v>0</v>
      </c>
    </row>
    <row r="35" spans="1:8" ht="15.75" x14ac:dyDescent="0.3">
      <c r="A35" s="97">
        <v>25</v>
      </c>
      <c r="B35" s="105" t="s">
        <v>101</v>
      </c>
      <c r="C35" s="102">
        <v>0</v>
      </c>
      <c r="D35" s="109"/>
      <c r="E35" s="103">
        <f t="shared" si="2"/>
        <v>0</v>
      </c>
      <c r="F35" s="102">
        <v>0</v>
      </c>
      <c r="G35" s="109"/>
      <c r="H35" s="104">
        <f t="shared" si="1"/>
        <v>0</v>
      </c>
    </row>
    <row r="36" spans="1:8" ht="15.75" x14ac:dyDescent="0.3">
      <c r="A36" s="97">
        <v>26</v>
      </c>
      <c r="B36" s="101" t="s">
        <v>102</v>
      </c>
      <c r="C36" s="102">
        <v>0</v>
      </c>
      <c r="D36" s="109"/>
      <c r="E36" s="103">
        <f t="shared" si="2"/>
        <v>0</v>
      </c>
      <c r="F36" s="102">
        <v>0</v>
      </c>
      <c r="G36" s="109"/>
      <c r="H36" s="104">
        <f t="shared" si="1"/>
        <v>0</v>
      </c>
    </row>
    <row r="37" spans="1:8" ht="15.75" x14ac:dyDescent="0.3">
      <c r="A37" s="97">
        <v>27</v>
      </c>
      <c r="B37" s="101" t="s">
        <v>103</v>
      </c>
      <c r="C37" s="102">
        <v>0</v>
      </c>
      <c r="D37" s="109"/>
      <c r="E37" s="103">
        <f t="shared" si="2"/>
        <v>0</v>
      </c>
      <c r="F37" s="102">
        <v>0</v>
      </c>
      <c r="G37" s="109"/>
      <c r="H37" s="104">
        <f t="shared" si="1"/>
        <v>0</v>
      </c>
    </row>
    <row r="38" spans="1:8" ht="15.75" x14ac:dyDescent="0.3">
      <c r="A38" s="97">
        <v>28</v>
      </c>
      <c r="B38" s="101" t="s">
        <v>104</v>
      </c>
      <c r="C38" s="102">
        <v>18072366.18</v>
      </c>
      <c r="D38" s="109"/>
      <c r="E38" s="103">
        <f t="shared" si="2"/>
        <v>18072366.18</v>
      </c>
      <c r="F38" s="102">
        <v>9263248.4300000258</v>
      </c>
      <c r="G38" s="109"/>
      <c r="H38" s="104">
        <f t="shared" si="1"/>
        <v>9263248.4300000258</v>
      </c>
    </row>
    <row r="39" spans="1:8" ht="15.75" x14ac:dyDescent="0.3">
      <c r="A39" s="97">
        <v>29</v>
      </c>
      <c r="B39" s="101" t="s">
        <v>105</v>
      </c>
      <c r="C39" s="102">
        <v>0</v>
      </c>
      <c r="D39" s="109"/>
      <c r="E39" s="103">
        <f t="shared" si="2"/>
        <v>0</v>
      </c>
      <c r="F39" s="102">
        <v>0</v>
      </c>
      <c r="G39" s="109"/>
      <c r="H39" s="104">
        <f t="shared" si="1"/>
        <v>0</v>
      </c>
    </row>
    <row r="40" spans="1:8" ht="15.75" x14ac:dyDescent="0.3">
      <c r="A40" s="97">
        <v>30</v>
      </c>
      <c r="B40" s="108" t="s">
        <v>106</v>
      </c>
      <c r="C40" s="102">
        <v>139444366.18000001</v>
      </c>
      <c r="D40" s="109"/>
      <c r="E40" s="103">
        <f t="shared" si="2"/>
        <v>139444366.18000001</v>
      </c>
      <c r="F40" s="102">
        <v>130635248.43000004</v>
      </c>
      <c r="G40" s="109"/>
      <c r="H40" s="104">
        <f t="shared" si="1"/>
        <v>130635248.43000004</v>
      </c>
    </row>
    <row r="41" spans="1:8" ht="16.5" thickBot="1" x14ac:dyDescent="0.35">
      <c r="A41" s="111">
        <v>31</v>
      </c>
      <c r="B41" s="112" t="s">
        <v>107</v>
      </c>
      <c r="C41" s="113">
        <f>C31+C40</f>
        <v>416079048.39999968</v>
      </c>
      <c r="D41" s="113">
        <f>D31+D40</f>
        <v>606446717.56699908</v>
      </c>
      <c r="E41" s="113">
        <f>C41+D41</f>
        <v>1022525765.9669988</v>
      </c>
      <c r="F41" s="113">
        <f>F31+F40</f>
        <v>409376156.7200017</v>
      </c>
      <c r="G41" s="113">
        <f>G31+G40</f>
        <v>489269577.47000527</v>
      </c>
      <c r="H41" s="114">
        <f>F41+G41</f>
        <v>898645734.19000697</v>
      </c>
    </row>
    <row r="42" spans="1:8" x14ac:dyDescent="0.25">
      <c r="C42" s="115"/>
      <c r="D42" s="115"/>
      <c r="E42" s="115"/>
      <c r="F42" s="115"/>
      <c r="G42" s="115"/>
      <c r="H42" s="115"/>
    </row>
    <row r="43" spans="1:8" x14ac:dyDescent="0.25">
      <c r="B43" s="116"/>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55" activePane="bottomRight" state="frozen"/>
      <selection activeCell="C12" sqref="C12"/>
      <selection pane="topRight" activeCell="C12" sqref="C12"/>
      <selection pane="bottomLeft" activeCell="C12" sqref="C12"/>
      <selection pane="bottomRight" activeCell="C12" sqref="C12"/>
    </sheetView>
  </sheetViews>
  <sheetFormatPr defaultColWidth="9.140625" defaultRowHeight="15" x14ac:dyDescent="0.25"/>
  <cols>
    <col min="1" max="1" width="9.5703125" style="25" bestFit="1" customWidth="1"/>
    <col min="2" max="2" width="89.140625" style="25" customWidth="1"/>
    <col min="3" max="8" width="12.7109375" style="25" customWidth="1"/>
    <col min="9" max="9" width="8.85546875" customWidth="1"/>
    <col min="10" max="10" width="12.5703125" style="136" bestFit="1" customWidth="1"/>
    <col min="11" max="16384" width="9.140625" style="136"/>
  </cols>
  <sheetData>
    <row r="1" spans="1:8" ht="15.75" x14ac:dyDescent="0.3">
      <c r="A1" s="26" t="s">
        <v>29</v>
      </c>
      <c r="B1" s="25" t="str">
        <f>'1. key ratios'!B1</f>
        <v>სს ტერაბანკი</v>
      </c>
      <c r="C1" s="27"/>
      <c r="F1" s="27"/>
    </row>
    <row r="2" spans="1:8" ht="15.75" x14ac:dyDescent="0.3">
      <c r="A2" s="26" t="s">
        <v>31</v>
      </c>
      <c r="B2" s="86">
        <f>'1. key ratios'!B2</f>
        <v>43738</v>
      </c>
      <c r="C2" s="29"/>
      <c r="D2" s="30"/>
      <c r="E2" s="30"/>
      <c r="F2" s="29"/>
      <c r="G2" s="30"/>
      <c r="H2" s="30"/>
    </row>
    <row r="3" spans="1:8" ht="15.75" x14ac:dyDescent="0.3">
      <c r="A3" s="26"/>
      <c r="B3" s="27"/>
      <c r="C3" s="29"/>
      <c r="D3" s="30"/>
      <c r="E3" s="30"/>
      <c r="F3" s="29"/>
      <c r="G3" s="30"/>
      <c r="H3" s="30"/>
    </row>
    <row r="4" spans="1:8" ht="16.5" thickBot="1" x14ac:dyDescent="0.35">
      <c r="A4" s="117" t="s">
        <v>108</v>
      </c>
      <c r="B4" s="118" t="s">
        <v>109</v>
      </c>
      <c r="C4" s="119"/>
      <c r="D4" s="119"/>
      <c r="E4" s="119"/>
      <c r="F4" s="119"/>
      <c r="G4" s="119"/>
      <c r="H4" s="120" t="s">
        <v>66</v>
      </c>
    </row>
    <row r="5" spans="1:8" ht="15.75" x14ac:dyDescent="0.3">
      <c r="A5" s="121"/>
      <c r="B5" s="122"/>
      <c r="C5" s="93" t="s">
        <v>67</v>
      </c>
      <c r="D5" s="94"/>
      <c r="E5" s="95"/>
      <c r="F5" s="93" t="s">
        <v>68</v>
      </c>
      <c r="G5" s="94"/>
      <c r="H5" s="96"/>
    </row>
    <row r="6" spans="1:8" x14ac:dyDescent="0.25">
      <c r="A6" s="123" t="s">
        <v>33</v>
      </c>
      <c r="B6" s="124"/>
      <c r="C6" s="125" t="s">
        <v>70</v>
      </c>
      <c r="D6" s="125" t="s">
        <v>110</v>
      </c>
      <c r="E6" s="125" t="s">
        <v>72</v>
      </c>
      <c r="F6" s="125" t="s">
        <v>70</v>
      </c>
      <c r="G6" s="125" t="s">
        <v>110</v>
      </c>
      <c r="H6" s="126" t="s">
        <v>72</v>
      </c>
    </row>
    <row r="7" spans="1:8" x14ac:dyDescent="0.25">
      <c r="A7" s="127"/>
      <c r="B7" s="128" t="s">
        <v>111</v>
      </c>
      <c r="C7" s="129"/>
      <c r="D7" s="129"/>
      <c r="E7" s="129"/>
      <c r="F7" s="129"/>
      <c r="G7" s="129"/>
      <c r="H7" s="130"/>
    </row>
    <row r="8" spans="1:8" ht="15.75" x14ac:dyDescent="0.3">
      <c r="A8" s="127">
        <v>1</v>
      </c>
      <c r="B8" s="131" t="s">
        <v>112</v>
      </c>
      <c r="C8" s="132">
        <v>635770.36</v>
      </c>
      <c r="D8" s="133">
        <v>260971.87999999998</v>
      </c>
      <c r="E8" s="103">
        <f>C8+D8</f>
        <v>896742.24</v>
      </c>
      <c r="F8" s="132">
        <v>542794.96</v>
      </c>
      <c r="G8" s="133">
        <v>312419.05999999994</v>
      </c>
      <c r="H8" s="104">
        <f>F8+G8</f>
        <v>855214.0199999999</v>
      </c>
    </row>
    <row r="9" spans="1:8" ht="15.75" x14ac:dyDescent="0.3">
      <c r="A9" s="127">
        <v>2</v>
      </c>
      <c r="B9" s="131" t="s">
        <v>113</v>
      </c>
      <c r="C9" s="134">
        <f>SUM(C10:C18)</f>
        <v>24738650.429999996</v>
      </c>
      <c r="D9" s="134">
        <f>SUM(D10:D18)</f>
        <v>26585490.189999998</v>
      </c>
      <c r="E9" s="103">
        <f>C9+D9</f>
        <v>51324140.61999999</v>
      </c>
      <c r="F9" s="134">
        <f>SUM(F10:F18)</f>
        <v>24015895.190000001</v>
      </c>
      <c r="G9" s="134">
        <f>SUM(G10:G18)</f>
        <v>24189484.530000001</v>
      </c>
      <c r="H9" s="104">
        <f t="shared" ref="H9:H67" si="0">F9+G9</f>
        <v>48205379.719999999</v>
      </c>
    </row>
    <row r="10" spans="1:8" ht="15.75" x14ac:dyDescent="0.3">
      <c r="A10" s="127">
        <v>2.1</v>
      </c>
      <c r="B10" s="135" t="s">
        <v>114</v>
      </c>
      <c r="C10" s="132">
        <v>0</v>
      </c>
      <c r="D10" s="132">
        <v>0</v>
      </c>
      <c r="E10" s="103">
        <f t="shared" ref="E10:E67" si="1">C10+D10</f>
        <v>0</v>
      </c>
      <c r="F10" s="132">
        <v>0</v>
      </c>
      <c r="G10" s="132">
        <v>0</v>
      </c>
      <c r="H10" s="104">
        <f t="shared" si="0"/>
        <v>0</v>
      </c>
    </row>
    <row r="11" spans="1:8" ht="15.75" x14ac:dyDescent="0.3">
      <c r="A11" s="127">
        <v>2.2000000000000002</v>
      </c>
      <c r="B11" s="135" t="s">
        <v>115</v>
      </c>
      <c r="C11" s="132">
        <v>4205407.7</v>
      </c>
      <c r="D11" s="132">
        <v>10254409.249999998</v>
      </c>
      <c r="E11" s="103">
        <f t="shared" si="1"/>
        <v>14459816.949999999</v>
      </c>
      <c r="F11" s="132">
        <v>4891770.43</v>
      </c>
      <c r="G11" s="132">
        <v>9728375.5099999998</v>
      </c>
      <c r="H11" s="104">
        <f t="shared" si="0"/>
        <v>14620145.939999999</v>
      </c>
    </row>
    <row r="12" spans="1:8" ht="15.75" x14ac:dyDescent="0.3">
      <c r="A12" s="127">
        <v>2.2999999999999998</v>
      </c>
      <c r="B12" s="135" t="s">
        <v>116</v>
      </c>
      <c r="C12" s="132">
        <v>0</v>
      </c>
      <c r="D12" s="132">
        <v>181892.02</v>
      </c>
      <c r="E12" s="103">
        <f t="shared" si="1"/>
        <v>181892.02</v>
      </c>
      <c r="F12" s="132">
        <v>0</v>
      </c>
      <c r="G12" s="132">
        <v>192123.17</v>
      </c>
      <c r="H12" s="104">
        <f t="shared" si="0"/>
        <v>192123.17</v>
      </c>
    </row>
    <row r="13" spans="1:8" ht="15.75" x14ac:dyDescent="0.3">
      <c r="A13" s="127">
        <v>2.4</v>
      </c>
      <c r="B13" s="135" t="s">
        <v>117</v>
      </c>
      <c r="C13" s="132">
        <v>684449.46000000008</v>
      </c>
      <c r="D13" s="132">
        <v>213717.08000000002</v>
      </c>
      <c r="E13" s="103">
        <f t="shared" si="1"/>
        <v>898166.54</v>
      </c>
      <c r="F13" s="132">
        <v>645301.62999999989</v>
      </c>
      <c r="G13" s="132">
        <v>235501.34999999998</v>
      </c>
      <c r="H13" s="104">
        <f t="shared" si="0"/>
        <v>880802.97999999986</v>
      </c>
    </row>
    <row r="14" spans="1:8" ht="15.75" x14ac:dyDescent="0.3">
      <c r="A14" s="127">
        <v>2.5</v>
      </c>
      <c r="B14" s="135" t="s">
        <v>118</v>
      </c>
      <c r="C14" s="132">
        <v>274307.75000000006</v>
      </c>
      <c r="D14" s="132">
        <v>2774028.3100000005</v>
      </c>
      <c r="E14" s="103">
        <f t="shared" si="1"/>
        <v>3048336.0600000005</v>
      </c>
      <c r="F14" s="132">
        <v>413677.19999999995</v>
      </c>
      <c r="G14" s="132">
        <v>2468907.6999999997</v>
      </c>
      <c r="H14" s="104">
        <f t="shared" si="0"/>
        <v>2882584.8999999994</v>
      </c>
    </row>
    <row r="15" spans="1:8" ht="15.75" x14ac:dyDescent="0.3">
      <c r="A15" s="127">
        <v>2.6</v>
      </c>
      <c r="B15" s="135" t="s">
        <v>119</v>
      </c>
      <c r="C15" s="132">
        <v>11687.24</v>
      </c>
      <c r="D15" s="132">
        <v>12410.050000000001</v>
      </c>
      <c r="E15" s="103">
        <f t="shared" si="1"/>
        <v>24097.29</v>
      </c>
      <c r="F15" s="132">
        <v>2080.67</v>
      </c>
      <c r="G15" s="132">
        <v>35121.9</v>
      </c>
      <c r="H15" s="104">
        <f t="shared" si="0"/>
        <v>37202.57</v>
      </c>
    </row>
    <row r="16" spans="1:8" ht="15.75" x14ac:dyDescent="0.3">
      <c r="A16" s="127">
        <v>2.7</v>
      </c>
      <c r="B16" s="135" t="s">
        <v>120</v>
      </c>
      <c r="C16" s="132">
        <v>151.06</v>
      </c>
      <c r="D16" s="132">
        <v>353686.12000000005</v>
      </c>
      <c r="E16" s="103">
        <f t="shared" si="1"/>
        <v>353837.18000000005</v>
      </c>
      <c r="F16" s="132">
        <v>4174.7900000000009</v>
      </c>
      <c r="G16" s="132">
        <v>654322.63</v>
      </c>
      <c r="H16" s="104">
        <f t="shared" si="0"/>
        <v>658497.42000000004</v>
      </c>
    </row>
    <row r="17" spans="1:10" ht="15.75" x14ac:dyDescent="0.3">
      <c r="A17" s="127">
        <v>2.8</v>
      </c>
      <c r="B17" s="135" t="s">
        <v>121</v>
      </c>
      <c r="C17" s="132">
        <v>16540990.729999997</v>
      </c>
      <c r="D17" s="132">
        <v>11179313.459999999</v>
      </c>
      <c r="E17" s="103">
        <f t="shared" si="1"/>
        <v>27720304.189999998</v>
      </c>
      <c r="F17" s="132">
        <v>13186692.220000001</v>
      </c>
      <c r="G17" s="132">
        <v>8338176.4499999993</v>
      </c>
      <c r="H17" s="104">
        <f t="shared" si="0"/>
        <v>21524868.670000002</v>
      </c>
    </row>
    <row r="18" spans="1:10" ht="15.75" x14ac:dyDescent="0.3">
      <c r="A18" s="127">
        <v>2.9</v>
      </c>
      <c r="B18" s="135" t="s">
        <v>122</v>
      </c>
      <c r="C18" s="132">
        <v>3021656.4899999998</v>
      </c>
      <c r="D18" s="132">
        <v>1616033.9</v>
      </c>
      <c r="E18" s="103">
        <f t="shared" si="1"/>
        <v>4637690.3899999997</v>
      </c>
      <c r="F18" s="132">
        <v>4872198.25</v>
      </c>
      <c r="G18" s="132">
        <v>2536955.8200000003</v>
      </c>
      <c r="H18" s="104">
        <f t="shared" si="0"/>
        <v>7409154.0700000003</v>
      </c>
    </row>
    <row r="19" spans="1:10" ht="15.75" x14ac:dyDescent="0.3">
      <c r="A19" s="127">
        <v>3</v>
      </c>
      <c r="B19" s="131" t="s">
        <v>123</v>
      </c>
      <c r="C19" s="132">
        <v>1212013.7299999997</v>
      </c>
      <c r="D19" s="132">
        <v>1472957.0399999998</v>
      </c>
      <c r="E19" s="103">
        <f t="shared" si="1"/>
        <v>2684970.7699999996</v>
      </c>
      <c r="F19" s="132">
        <v>895559.7100000002</v>
      </c>
      <c r="G19" s="132">
        <v>1141973.8000000003</v>
      </c>
      <c r="H19" s="104">
        <f t="shared" si="0"/>
        <v>2037533.5100000005</v>
      </c>
    </row>
    <row r="20" spans="1:10" ht="15.75" x14ac:dyDescent="0.3">
      <c r="A20" s="127">
        <v>4</v>
      </c>
      <c r="B20" s="131" t="s">
        <v>124</v>
      </c>
      <c r="C20" s="132">
        <v>3251362.19</v>
      </c>
      <c r="D20" s="132">
        <v>0</v>
      </c>
      <c r="E20" s="103">
        <f t="shared" si="1"/>
        <v>3251362.19</v>
      </c>
      <c r="F20" s="132">
        <v>3054424.06</v>
      </c>
      <c r="G20" s="132">
        <v>0</v>
      </c>
      <c r="H20" s="104">
        <f t="shared" si="0"/>
        <v>3054424.06</v>
      </c>
    </row>
    <row r="21" spans="1:10" ht="15.75" x14ac:dyDescent="0.3">
      <c r="A21" s="127">
        <v>5</v>
      </c>
      <c r="B21" s="131" t="s">
        <v>125</v>
      </c>
      <c r="C21" s="132">
        <v>552832.87999999989</v>
      </c>
      <c r="D21" s="132">
        <v>297640.71999999997</v>
      </c>
      <c r="E21" s="103">
        <f t="shared" si="1"/>
        <v>850473.59999999986</v>
      </c>
      <c r="F21" s="132">
        <v>994270.69</v>
      </c>
      <c r="G21" s="132">
        <v>419474.12</v>
      </c>
      <c r="H21" s="104">
        <f>F21+G21</f>
        <v>1413744.81</v>
      </c>
    </row>
    <row r="22" spans="1:10" ht="15.75" x14ac:dyDescent="0.3">
      <c r="A22" s="127">
        <v>6</v>
      </c>
      <c r="B22" s="137" t="s">
        <v>126</v>
      </c>
      <c r="C22" s="134">
        <f>C8+C9+C19+C20+C21</f>
        <v>30390629.589999996</v>
      </c>
      <c r="D22" s="134">
        <f>D8+D9+D19+D20+D21</f>
        <v>28617059.829999994</v>
      </c>
      <c r="E22" s="103">
        <f>C22+D22</f>
        <v>59007689.419999987</v>
      </c>
      <c r="F22" s="134">
        <f>F8+F9+F19+F20+F21</f>
        <v>29502944.610000003</v>
      </c>
      <c r="G22" s="134">
        <f>G8+G9+G19+G20+G21</f>
        <v>26063351.510000002</v>
      </c>
      <c r="H22" s="104">
        <f>F22+G22</f>
        <v>55566296.120000005</v>
      </c>
      <c r="J22" s="138"/>
    </row>
    <row r="23" spans="1:10" ht="15.75" x14ac:dyDescent="0.3">
      <c r="A23" s="127"/>
      <c r="B23" s="128" t="s">
        <v>127</v>
      </c>
      <c r="C23" s="132"/>
      <c r="D23" s="132"/>
      <c r="E23" s="102"/>
      <c r="F23" s="132"/>
      <c r="G23" s="132"/>
      <c r="H23" s="110"/>
    </row>
    <row r="24" spans="1:10" ht="15.75" x14ac:dyDescent="0.3">
      <c r="A24" s="127">
        <v>7</v>
      </c>
      <c r="B24" s="131" t="s">
        <v>128</v>
      </c>
      <c r="C24" s="132">
        <v>3951273.88</v>
      </c>
      <c r="D24" s="132">
        <v>2368618.73</v>
      </c>
      <c r="E24" s="103">
        <f t="shared" si="1"/>
        <v>6319892.6099999994</v>
      </c>
      <c r="F24" s="132">
        <v>5172081.4800000004</v>
      </c>
      <c r="G24" s="132">
        <v>2568657.06</v>
      </c>
      <c r="H24" s="104">
        <f t="shared" si="0"/>
        <v>7740738.540000001</v>
      </c>
    </row>
    <row r="25" spans="1:10" ht="15.75" x14ac:dyDescent="0.3">
      <c r="A25" s="127">
        <v>8</v>
      </c>
      <c r="B25" s="131" t="s">
        <v>129</v>
      </c>
      <c r="C25" s="132">
        <v>7357835.7600000016</v>
      </c>
      <c r="D25" s="132">
        <v>6340921.3500000006</v>
      </c>
      <c r="E25" s="103">
        <f t="shared" si="1"/>
        <v>13698757.110000003</v>
      </c>
      <c r="F25" s="132">
        <v>5964445.9499999993</v>
      </c>
      <c r="G25" s="132">
        <v>5176614.1100000003</v>
      </c>
      <c r="H25" s="104">
        <f t="shared" si="0"/>
        <v>11141060.059999999</v>
      </c>
    </row>
    <row r="26" spans="1:10" ht="15.75" x14ac:dyDescent="0.3">
      <c r="A26" s="127">
        <v>9</v>
      </c>
      <c r="B26" s="131" t="s">
        <v>130</v>
      </c>
      <c r="C26" s="132">
        <v>6368.49</v>
      </c>
      <c r="D26" s="132">
        <v>36936.480000000003</v>
      </c>
      <c r="E26" s="103">
        <f t="shared" si="1"/>
        <v>43304.97</v>
      </c>
      <c r="F26" s="132">
        <v>135887.66</v>
      </c>
      <c r="G26" s="132">
        <v>70777.899999999994</v>
      </c>
      <c r="H26" s="104">
        <f t="shared" si="0"/>
        <v>206665.56</v>
      </c>
      <c r="J26" s="139"/>
    </row>
    <row r="27" spans="1:10" ht="15.75" x14ac:dyDescent="0.3">
      <c r="A27" s="127">
        <v>10</v>
      </c>
      <c r="B27" s="131" t="s">
        <v>131</v>
      </c>
      <c r="C27" s="132">
        <v>0</v>
      </c>
      <c r="D27" s="132">
        <v>0</v>
      </c>
      <c r="E27" s="103">
        <f t="shared" si="1"/>
        <v>0</v>
      </c>
      <c r="F27" s="132">
        <v>0</v>
      </c>
      <c r="G27" s="132">
        <v>0</v>
      </c>
      <c r="H27" s="104">
        <f t="shared" si="0"/>
        <v>0</v>
      </c>
    </row>
    <row r="28" spans="1:10" ht="15.75" x14ac:dyDescent="0.3">
      <c r="A28" s="127">
        <v>11</v>
      </c>
      <c r="B28" s="131" t="s">
        <v>132</v>
      </c>
      <c r="C28" s="132">
        <v>3726787.91</v>
      </c>
      <c r="D28" s="132">
        <v>3759129.8699999996</v>
      </c>
      <c r="E28" s="103">
        <f t="shared" si="1"/>
        <v>7485917.7799999993</v>
      </c>
      <c r="F28" s="132">
        <v>4206628.2300000004</v>
      </c>
      <c r="G28" s="132">
        <v>2464082.77</v>
      </c>
      <c r="H28" s="104">
        <f t="shared" si="0"/>
        <v>6670711</v>
      </c>
    </row>
    <row r="29" spans="1:10" ht="15.75" x14ac:dyDescent="0.3">
      <c r="A29" s="127">
        <v>12</v>
      </c>
      <c r="B29" s="131" t="s">
        <v>133</v>
      </c>
      <c r="C29" s="132">
        <v>0</v>
      </c>
      <c r="D29" s="132">
        <v>0</v>
      </c>
      <c r="E29" s="103">
        <f t="shared" si="1"/>
        <v>0</v>
      </c>
      <c r="F29" s="132">
        <v>0</v>
      </c>
      <c r="G29" s="132">
        <v>0</v>
      </c>
      <c r="H29" s="104">
        <f t="shared" si="0"/>
        <v>0</v>
      </c>
    </row>
    <row r="30" spans="1:10" ht="15.75" x14ac:dyDescent="0.3">
      <c r="A30" s="127">
        <v>13</v>
      </c>
      <c r="B30" s="140" t="s">
        <v>134</v>
      </c>
      <c r="C30" s="134">
        <f>SUM(C24:C29)</f>
        <v>15042266.040000001</v>
      </c>
      <c r="D30" s="134">
        <f>SUM(D24:D29)</f>
        <v>12505606.43</v>
      </c>
      <c r="E30" s="103">
        <f t="shared" si="1"/>
        <v>27547872.469999999</v>
      </c>
      <c r="F30" s="134">
        <f>SUM(F24:F29)</f>
        <v>15479043.32</v>
      </c>
      <c r="G30" s="134">
        <f>SUM(G24:G29)</f>
        <v>10280131.84</v>
      </c>
      <c r="H30" s="104">
        <f t="shared" si="0"/>
        <v>25759175.16</v>
      </c>
    </row>
    <row r="31" spans="1:10" ht="15.75" x14ac:dyDescent="0.3">
      <c r="A31" s="127">
        <v>14</v>
      </c>
      <c r="B31" s="140" t="s">
        <v>135</v>
      </c>
      <c r="C31" s="134">
        <f>C22-C30</f>
        <v>15348363.549999995</v>
      </c>
      <c r="D31" s="134">
        <f>D22-D30</f>
        <v>16111453.399999995</v>
      </c>
      <c r="E31" s="103">
        <f t="shared" si="1"/>
        <v>31459816.949999988</v>
      </c>
      <c r="F31" s="134">
        <f>F22-F30</f>
        <v>14023901.290000003</v>
      </c>
      <c r="G31" s="134">
        <f>G22-G30</f>
        <v>15783219.670000002</v>
      </c>
      <c r="H31" s="104">
        <f t="shared" si="0"/>
        <v>29807120.960000005</v>
      </c>
    </row>
    <row r="32" spans="1:10" x14ac:dyDescent="0.25">
      <c r="A32" s="127"/>
      <c r="B32" s="128"/>
      <c r="C32" s="141"/>
      <c r="D32" s="141"/>
      <c r="E32" s="141"/>
      <c r="F32" s="141"/>
      <c r="G32" s="141"/>
      <c r="H32" s="142"/>
    </row>
    <row r="33" spans="1:8" ht="15.75" x14ac:dyDescent="0.3">
      <c r="A33" s="127"/>
      <c r="B33" s="128" t="s">
        <v>136</v>
      </c>
      <c r="C33" s="132"/>
      <c r="D33" s="132"/>
      <c r="E33" s="102"/>
      <c r="F33" s="132"/>
      <c r="G33" s="132"/>
      <c r="H33" s="110"/>
    </row>
    <row r="34" spans="1:8" ht="15.75" x14ac:dyDescent="0.3">
      <c r="A34" s="127">
        <v>15</v>
      </c>
      <c r="B34" s="143" t="s">
        <v>137</v>
      </c>
      <c r="C34" s="134">
        <f>C35-C36</f>
        <v>2570209.1399999987</v>
      </c>
      <c r="D34" s="134">
        <f>D35-D36</f>
        <v>721650.51000000047</v>
      </c>
      <c r="E34" s="103">
        <f t="shared" si="1"/>
        <v>3291859.6499999994</v>
      </c>
      <c r="F34" s="134">
        <f>F35-F36</f>
        <v>2617234.4900000002</v>
      </c>
      <c r="G34" s="134">
        <f>G35-G36</f>
        <v>926103.55000000075</v>
      </c>
      <c r="H34" s="104">
        <f t="shared" si="0"/>
        <v>3543338.040000001</v>
      </c>
    </row>
    <row r="35" spans="1:8" ht="15.75" x14ac:dyDescent="0.3">
      <c r="A35" s="127">
        <v>15.1</v>
      </c>
      <c r="B35" s="135" t="s">
        <v>138</v>
      </c>
      <c r="C35" s="132">
        <v>4047514.6499999985</v>
      </c>
      <c r="D35" s="132">
        <v>2735286.3400000003</v>
      </c>
      <c r="E35" s="103">
        <f t="shared" si="1"/>
        <v>6782800.9899999984</v>
      </c>
      <c r="F35" s="132">
        <v>3895007.24</v>
      </c>
      <c r="G35" s="132">
        <v>2828797.5100000007</v>
      </c>
      <c r="H35" s="104">
        <f t="shared" si="0"/>
        <v>6723804.7500000009</v>
      </c>
    </row>
    <row r="36" spans="1:8" ht="15.75" x14ac:dyDescent="0.3">
      <c r="A36" s="127">
        <v>15.2</v>
      </c>
      <c r="B36" s="135" t="s">
        <v>139</v>
      </c>
      <c r="C36" s="132">
        <v>1477305.5099999998</v>
      </c>
      <c r="D36" s="132">
        <v>2013635.8299999998</v>
      </c>
      <c r="E36" s="103">
        <f t="shared" si="1"/>
        <v>3490941.34</v>
      </c>
      <c r="F36" s="132">
        <v>1277772.7500000002</v>
      </c>
      <c r="G36" s="132">
        <v>1902693.96</v>
      </c>
      <c r="H36" s="104">
        <f t="shared" si="0"/>
        <v>3180466.71</v>
      </c>
    </row>
    <row r="37" spans="1:8" ht="15.75" x14ac:dyDescent="0.3">
      <c r="A37" s="127">
        <v>16</v>
      </c>
      <c r="B37" s="131" t="s">
        <v>140</v>
      </c>
      <c r="C37" s="132">
        <v>0</v>
      </c>
      <c r="D37" s="132">
        <v>0</v>
      </c>
      <c r="E37" s="103">
        <f t="shared" si="1"/>
        <v>0</v>
      </c>
      <c r="F37" s="132">
        <v>0</v>
      </c>
      <c r="G37" s="132">
        <v>0</v>
      </c>
      <c r="H37" s="104">
        <f t="shared" si="0"/>
        <v>0</v>
      </c>
    </row>
    <row r="38" spans="1:8" ht="15.75" x14ac:dyDescent="0.3">
      <c r="A38" s="127">
        <v>17</v>
      </c>
      <c r="B38" s="131" t="s">
        <v>141</v>
      </c>
      <c r="C38" s="132">
        <v>0</v>
      </c>
      <c r="D38" s="132">
        <v>0</v>
      </c>
      <c r="E38" s="103">
        <f t="shared" si="1"/>
        <v>0</v>
      </c>
      <c r="F38" s="132">
        <v>0</v>
      </c>
      <c r="G38" s="132">
        <v>0</v>
      </c>
      <c r="H38" s="104">
        <f t="shared" si="0"/>
        <v>0</v>
      </c>
    </row>
    <row r="39" spans="1:8" ht="15.75" x14ac:dyDescent="0.3">
      <c r="A39" s="127">
        <v>18</v>
      </c>
      <c r="B39" s="131" t="s">
        <v>142</v>
      </c>
      <c r="C39" s="132">
        <v>0</v>
      </c>
      <c r="D39" s="132">
        <v>0</v>
      </c>
      <c r="E39" s="103">
        <f t="shared" si="1"/>
        <v>0</v>
      </c>
      <c r="F39" s="132">
        <v>0</v>
      </c>
      <c r="G39" s="132">
        <v>0</v>
      </c>
      <c r="H39" s="104">
        <f t="shared" si="0"/>
        <v>0</v>
      </c>
    </row>
    <row r="40" spans="1:8" ht="15.75" x14ac:dyDescent="0.3">
      <c r="A40" s="127">
        <v>19</v>
      </c>
      <c r="B40" s="131" t="s">
        <v>143</v>
      </c>
      <c r="C40" s="132">
        <v>615415.28000000189</v>
      </c>
      <c r="D40" s="132">
        <v>0</v>
      </c>
      <c r="E40" s="103">
        <f t="shared" si="1"/>
        <v>615415.28000000189</v>
      </c>
      <c r="F40" s="132">
        <v>6694963.1400000015</v>
      </c>
      <c r="G40" s="132">
        <v>0</v>
      </c>
      <c r="H40" s="104">
        <f t="shared" si="0"/>
        <v>6694963.1400000015</v>
      </c>
    </row>
    <row r="41" spans="1:8" ht="15.75" x14ac:dyDescent="0.3">
      <c r="A41" s="127">
        <v>20</v>
      </c>
      <c r="B41" s="131" t="s">
        <v>144</v>
      </c>
      <c r="C41" s="132">
        <v>3617574.290000001</v>
      </c>
      <c r="D41" s="132">
        <v>0</v>
      </c>
      <c r="E41" s="103">
        <f t="shared" si="1"/>
        <v>3617574.290000001</v>
      </c>
      <c r="F41" s="132">
        <v>-1303684.9499999993</v>
      </c>
      <c r="G41" s="132">
        <v>0</v>
      </c>
      <c r="H41" s="104">
        <f t="shared" si="0"/>
        <v>-1303684.9499999993</v>
      </c>
    </row>
    <row r="42" spans="1:8" ht="15.75" x14ac:dyDescent="0.3">
      <c r="A42" s="127">
        <v>21</v>
      </c>
      <c r="B42" s="131" t="s">
        <v>145</v>
      </c>
      <c r="C42" s="132">
        <v>996861.55999999994</v>
      </c>
      <c r="D42" s="132">
        <v>0</v>
      </c>
      <c r="E42" s="103">
        <f t="shared" si="1"/>
        <v>996861.55999999994</v>
      </c>
      <c r="F42" s="132">
        <v>397114.55000000005</v>
      </c>
      <c r="G42" s="132">
        <v>0</v>
      </c>
      <c r="H42" s="104">
        <f t="shared" si="0"/>
        <v>397114.55000000005</v>
      </c>
    </row>
    <row r="43" spans="1:8" ht="15.75" x14ac:dyDescent="0.3">
      <c r="A43" s="127">
        <v>22</v>
      </c>
      <c r="B43" s="131" t="s">
        <v>146</v>
      </c>
      <c r="C43" s="132">
        <v>10230</v>
      </c>
      <c r="D43" s="132">
        <v>6792.74</v>
      </c>
      <c r="E43" s="103">
        <f t="shared" si="1"/>
        <v>17022.739999999998</v>
      </c>
      <c r="F43" s="132">
        <v>34834.39</v>
      </c>
      <c r="G43" s="132">
        <v>598547.52</v>
      </c>
      <c r="H43" s="104">
        <f t="shared" si="0"/>
        <v>633381.91</v>
      </c>
    </row>
    <row r="44" spans="1:8" ht="15.75" x14ac:dyDescent="0.3">
      <c r="A44" s="127">
        <v>23</v>
      </c>
      <c r="B44" s="131" t="s">
        <v>147</v>
      </c>
      <c r="C44" s="132">
        <v>147750.63999999998</v>
      </c>
      <c r="D44" s="132">
        <v>120436.54</v>
      </c>
      <c r="E44" s="103">
        <f t="shared" si="1"/>
        <v>268187.18</v>
      </c>
      <c r="F44" s="132">
        <v>143089.78999999998</v>
      </c>
      <c r="G44" s="132">
        <v>76943.83</v>
      </c>
      <c r="H44" s="104">
        <f t="shared" si="0"/>
        <v>220033.62</v>
      </c>
    </row>
    <row r="45" spans="1:8" ht="15.75" x14ac:dyDescent="0.3">
      <c r="A45" s="127">
        <v>24</v>
      </c>
      <c r="B45" s="140" t="s">
        <v>148</v>
      </c>
      <c r="C45" s="134">
        <f>C34+C37+C38+C39+C40+C41+C42+C43+C44</f>
        <v>7958040.9100000011</v>
      </c>
      <c r="D45" s="134">
        <f>D34+D37+D38+D39+D40+D41+D42+D43+D44</f>
        <v>848879.7900000005</v>
      </c>
      <c r="E45" s="103">
        <f t="shared" si="1"/>
        <v>8806920.7000000011</v>
      </c>
      <c r="F45" s="134">
        <f>F34+F37+F38+F39+F40+F41+F42+F43+F44</f>
        <v>8583551.4100000039</v>
      </c>
      <c r="G45" s="134">
        <f>G34+G37+G38+G39+G40+G41+G42+G43+G44</f>
        <v>1601594.9000000008</v>
      </c>
      <c r="H45" s="104">
        <f t="shared" si="0"/>
        <v>10185146.310000004</v>
      </c>
    </row>
    <row r="46" spans="1:8" x14ac:dyDescent="0.25">
      <c r="A46" s="127"/>
      <c r="B46" s="128" t="s">
        <v>149</v>
      </c>
      <c r="C46" s="132"/>
      <c r="D46" s="132"/>
      <c r="E46" s="132"/>
      <c r="F46" s="132"/>
      <c r="G46" s="132"/>
      <c r="H46" s="144"/>
    </row>
    <row r="47" spans="1:8" ht="15.75" x14ac:dyDescent="0.3">
      <c r="A47" s="127">
        <v>25</v>
      </c>
      <c r="B47" s="131" t="s">
        <v>150</v>
      </c>
      <c r="C47" s="132">
        <v>460981.55000000005</v>
      </c>
      <c r="D47" s="132">
        <v>416906.20999999996</v>
      </c>
      <c r="E47" s="103">
        <f t="shared" si="1"/>
        <v>877887.76</v>
      </c>
      <c r="F47" s="132">
        <v>511137.14999999997</v>
      </c>
      <c r="G47" s="132">
        <v>473732.58999999997</v>
      </c>
      <c r="H47" s="104">
        <f t="shared" si="0"/>
        <v>984869.74</v>
      </c>
    </row>
    <row r="48" spans="1:8" ht="15.75" x14ac:dyDescent="0.3">
      <c r="A48" s="127">
        <v>26</v>
      </c>
      <c r="B48" s="131" t="s">
        <v>151</v>
      </c>
      <c r="C48" s="132">
        <v>1220505.05</v>
      </c>
      <c r="D48" s="132">
        <v>20620.259999999998</v>
      </c>
      <c r="E48" s="103">
        <f t="shared" si="1"/>
        <v>1241125.31</v>
      </c>
      <c r="F48" s="132">
        <v>1267805.17</v>
      </c>
      <c r="G48" s="132">
        <v>42200.81</v>
      </c>
      <c r="H48" s="104">
        <f t="shared" si="0"/>
        <v>1310005.98</v>
      </c>
    </row>
    <row r="49" spans="1:9" ht="15.75" x14ac:dyDescent="0.3">
      <c r="A49" s="127">
        <v>27</v>
      </c>
      <c r="B49" s="131" t="s">
        <v>152</v>
      </c>
      <c r="C49" s="132">
        <v>9854186.410000002</v>
      </c>
      <c r="D49" s="132">
        <v>0</v>
      </c>
      <c r="E49" s="103">
        <f t="shared" si="1"/>
        <v>9854186.410000002</v>
      </c>
      <c r="F49" s="132">
        <v>8432323.2899999972</v>
      </c>
      <c r="G49" s="132">
        <v>0</v>
      </c>
      <c r="H49" s="104">
        <f t="shared" si="0"/>
        <v>8432323.2899999972</v>
      </c>
    </row>
    <row r="50" spans="1:9" ht="15.75" x14ac:dyDescent="0.3">
      <c r="A50" s="127">
        <v>28</v>
      </c>
      <c r="B50" s="131" t="s">
        <v>153</v>
      </c>
      <c r="C50" s="132">
        <v>0</v>
      </c>
      <c r="D50" s="132">
        <v>0</v>
      </c>
      <c r="E50" s="103">
        <f t="shared" si="1"/>
        <v>0</v>
      </c>
      <c r="F50" s="132">
        <v>7117.2</v>
      </c>
      <c r="G50" s="132">
        <v>0</v>
      </c>
      <c r="H50" s="104">
        <f t="shared" si="0"/>
        <v>7117.2</v>
      </c>
    </row>
    <row r="51" spans="1:9" ht="15.75" x14ac:dyDescent="0.3">
      <c r="A51" s="127">
        <v>29</v>
      </c>
      <c r="B51" s="131" t="s">
        <v>154</v>
      </c>
      <c r="C51" s="132">
        <v>3362073.0900000003</v>
      </c>
      <c r="D51" s="132">
        <v>0</v>
      </c>
      <c r="E51" s="103">
        <f t="shared" si="1"/>
        <v>3362073.0900000003</v>
      </c>
      <c r="F51" s="132">
        <v>2372747.62</v>
      </c>
      <c r="G51" s="132">
        <v>0</v>
      </c>
      <c r="H51" s="104">
        <f t="shared" si="0"/>
        <v>2372747.62</v>
      </c>
    </row>
    <row r="52" spans="1:9" ht="15.75" x14ac:dyDescent="0.3">
      <c r="A52" s="127">
        <v>30</v>
      </c>
      <c r="B52" s="131" t="s">
        <v>155</v>
      </c>
      <c r="C52" s="132">
        <v>3305632.9499999969</v>
      </c>
      <c r="D52" s="132">
        <v>7319.64</v>
      </c>
      <c r="E52" s="103">
        <f t="shared" si="1"/>
        <v>3312952.5899999971</v>
      </c>
      <c r="F52" s="132">
        <v>3952176.45</v>
      </c>
      <c r="G52" s="132">
        <v>279.93</v>
      </c>
      <c r="H52" s="104">
        <f t="shared" si="0"/>
        <v>3952456.3800000004</v>
      </c>
    </row>
    <row r="53" spans="1:9" ht="15.75" x14ac:dyDescent="0.3">
      <c r="A53" s="127">
        <v>31</v>
      </c>
      <c r="B53" s="140" t="s">
        <v>156</v>
      </c>
      <c r="C53" s="134">
        <f>C47+C48+C49+C50+C51+C52</f>
        <v>18203379.049999997</v>
      </c>
      <c r="D53" s="134">
        <f>D47+D48+D49+D50+D51+D52</f>
        <v>444846.11</v>
      </c>
      <c r="E53" s="103">
        <f t="shared" si="1"/>
        <v>18648225.159999996</v>
      </c>
      <c r="F53" s="134">
        <f>F47+F48+F49+F50+F51+F52</f>
        <v>16543306.879999995</v>
      </c>
      <c r="G53" s="134">
        <f>G47+G48+G49+G50+G51+G52</f>
        <v>516213.32999999996</v>
      </c>
      <c r="H53" s="104">
        <f t="shared" si="0"/>
        <v>17059520.209999993</v>
      </c>
    </row>
    <row r="54" spans="1:9" ht="15.75" x14ac:dyDescent="0.3">
      <c r="A54" s="127">
        <v>32</v>
      </c>
      <c r="B54" s="140" t="s">
        <v>157</v>
      </c>
      <c r="C54" s="134">
        <f>C45-C53</f>
        <v>-10245338.139999997</v>
      </c>
      <c r="D54" s="134">
        <f>D45-D53</f>
        <v>404033.68000000052</v>
      </c>
      <c r="E54" s="103">
        <f t="shared" si="1"/>
        <v>-9841304.4599999972</v>
      </c>
      <c r="F54" s="134">
        <f>F45-F53</f>
        <v>-7959755.4699999914</v>
      </c>
      <c r="G54" s="134">
        <f>G45-G53</f>
        <v>1085381.5700000008</v>
      </c>
      <c r="H54" s="104">
        <f t="shared" si="0"/>
        <v>-6874373.8999999911</v>
      </c>
    </row>
    <row r="55" spans="1:9" x14ac:dyDescent="0.25">
      <c r="A55" s="127"/>
      <c r="B55" s="128"/>
      <c r="C55" s="141"/>
      <c r="D55" s="141"/>
      <c r="E55" s="141"/>
      <c r="F55" s="141"/>
      <c r="G55" s="141"/>
      <c r="H55" s="142"/>
    </row>
    <row r="56" spans="1:9" ht="15.75" x14ac:dyDescent="0.3">
      <c r="A56" s="127">
        <v>33</v>
      </c>
      <c r="B56" s="140" t="s">
        <v>158</v>
      </c>
      <c r="C56" s="134">
        <f>C31+C54</f>
        <v>5103025.4099999983</v>
      </c>
      <c r="D56" s="134">
        <f>D31+D54</f>
        <v>16515487.079999994</v>
      </c>
      <c r="E56" s="103">
        <f t="shared" si="1"/>
        <v>21618512.489999995</v>
      </c>
      <c r="F56" s="134">
        <f>F31+F54</f>
        <v>6064145.8200000115</v>
      </c>
      <c r="G56" s="134">
        <f>G31+G54</f>
        <v>16868601.240000002</v>
      </c>
      <c r="H56" s="104">
        <f t="shared" si="0"/>
        <v>22932747.060000014</v>
      </c>
    </row>
    <row r="57" spans="1:9" x14ac:dyDescent="0.25">
      <c r="A57" s="127"/>
      <c r="B57" s="128"/>
      <c r="C57" s="132"/>
      <c r="D57" s="141"/>
      <c r="E57" s="141"/>
      <c r="F57" s="132"/>
      <c r="G57" s="141"/>
      <c r="H57" s="142"/>
    </row>
    <row r="58" spans="1:9" ht="15.75" x14ac:dyDescent="0.3">
      <c r="A58" s="127">
        <v>34</v>
      </c>
      <c r="B58" s="131" t="s">
        <v>159</v>
      </c>
      <c r="C58" s="132">
        <v>1857946.1199999962</v>
      </c>
      <c r="D58" s="132" t="s">
        <v>502</v>
      </c>
      <c r="E58" s="103">
        <f>C58</f>
        <v>1857946.1199999962</v>
      </c>
      <c r="F58" s="132">
        <v>3010385.5700000003</v>
      </c>
      <c r="G58" s="132" t="s">
        <v>502</v>
      </c>
      <c r="H58" s="104">
        <f>F58</f>
        <v>3010385.5700000003</v>
      </c>
    </row>
    <row r="59" spans="1:9" s="146" customFormat="1" ht="15.75" x14ac:dyDescent="0.3">
      <c r="A59" s="127">
        <v>35</v>
      </c>
      <c r="B59" s="143" t="s">
        <v>160</v>
      </c>
      <c r="C59" s="132">
        <v>0</v>
      </c>
      <c r="D59" s="132" t="s">
        <v>502</v>
      </c>
      <c r="E59" s="103">
        <f>C59</f>
        <v>0</v>
      </c>
      <c r="F59" s="132">
        <v>0</v>
      </c>
      <c r="G59" s="132" t="s">
        <v>502</v>
      </c>
      <c r="H59" s="104">
        <f>F59</f>
        <v>0</v>
      </c>
      <c r="I59" s="145"/>
    </row>
    <row r="60" spans="1:9" ht="15.75" x14ac:dyDescent="0.3">
      <c r="A60" s="127">
        <v>36</v>
      </c>
      <c r="B60" s="131" t="s">
        <v>161</v>
      </c>
      <c r="C60" s="132">
        <v>-599786.21</v>
      </c>
      <c r="D60" s="132" t="s">
        <v>502</v>
      </c>
      <c r="E60" s="103">
        <f>C60</f>
        <v>-599786.21</v>
      </c>
      <c r="F60" s="132">
        <v>4075526.6699999995</v>
      </c>
      <c r="G60" s="132" t="s">
        <v>502</v>
      </c>
      <c r="H60" s="104">
        <f>F60</f>
        <v>4075526.6699999995</v>
      </c>
    </row>
    <row r="61" spans="1:9" ht="15.75" x14ac:dyDescent="0.3">
      <c r="A61" s="127">
        <v>37</v>
      </c>
      <c r="B61" s="140" t="s">
        <v>162</v>
      </c>
      <c r="C61" s="134">
        <f>C58+C59+C60</f>
        <v>1258159.9099999962</v>
      </c>
      <c r="D61" s="134">
        <v>0</v>
      </c>
      <c r="E61" s="103">
        <f t="shared" si="1"/>
        <v>1258159.9099999962</v>
      </c>
      <c r="F61" s="134">
        <f>F58+F59+F60</f>
        <v>7085912.2400000002</v>
      </c>
      <c r="G61" s="134">
        <v>0</v>
      </c>
      <c r="H61" s="104">
        <f t="shared" si="0"/>
        <v>7085912.2400000002</v>
      </c>
    </row>
    <row r="62" spans="1:9" x14ac:dyDescent="0.25">
      <c r="A62" s="127"/>
      <c r="B62" s="147"/>
      <c r="C62" s="132"/>
      <c r="D62" s="132"/>
      <c r="E62" s="132"/>
      <c r="F62" s="132"/>
      <c r="G62" s="132"/>
      <c r="H62" s="144"/>
    </row>
    <row r="63" spans="1:9" ht="15.75" x14ac:dyDescent="0.3">
      <c r="A63" s="127">
        <v>38</v>
      </c>
      <c r="B63" s="148" t="s">
        <v>163</v>
      </c>
      <c r="C63" s="134">
        <f>C56-C61</f>
        <v>3844865.5000000019</v>
      </c>
      <c r="D63" s="134">
        <f>D56-D61</f>
        <v>16515487.079999994</v>
      </c>
      <c r="E63" s="103">
        <f t="shared" si="1"/>
        <v>20360352.579999998</v>
      </c>
      <c r="F63" s="134">
        <f>F56-F61</f>
        <v>-1021766.4199999887</v>
      </c>
      <c r="G63" s="134">
        <f>G56-G61</f>
        <v>16868601.240000002</v>
      </c>
      <c r="H63" s="104">
        <f t="shared" si="0"/>
        <v>15846834.820000013</v>
      </c>
    </row>
    <row r="64" spans="1:9" ht="15.75" x14ac:dyDescent="0.3">
      <c r="A64" s="123">
        <v>39</v>
      </c>
      <c r="B64" s="131" t="s">
        <v>164</v>
      </c>
      <c r="C64" s="132">
        <v>0</v>
      </c>
      <c r="D64" s="132">
        <v>0</v>
      </c>
      <c r="E64" s="103">
        <f t="shared" si="1"/>
        <v>0</v>
      </c>
      <c r="F64" s="132">
        <v>0</v>
      </c>
      <c r="G64" s="132">
        <v>0</v>
      </c>
      <c r="H64" s="104">
        <f t="shared" si="0"/>
        <v>0</v>
      </c>
    </row>
    <row r="65" spans="1:8" ht="15.75" x14ac:dyDescent="0.3">
      <c r="A65" s="127">
        <v>40</v>
      </c>
      <c r="B65" s="140" t="s">
        <v>165</v>
      </c>
      <c r="C65" s="134">
        <f>C63-C64</f>
        <v>3844865.5000000019</v>
      </c>
      <c r="D65" s="134">
        <f>D63-D64</f>
        <v>16515487.079999994</v>
      </c>
      <c r="E65" s="103">
        <f t="shared" si="1"/>
        <v>20360352.579999998</v>
      </c>
      <c r="F65" s="134">
        <f>F63-F64</f>
        <v>-1021766.4199999887</v>
      </c>
      <c r="G65" s="134">
        <f>G63-G64</f>
        <v>16868601.240000002</v>
      </c>
      <c r="H65" s="104">
        <f t="shared" si="0"/>
        <v>15846834.820000013</v>
      </c>
    </row>
    <row r="66" spans="1:8" ht="15.75" x14ac:dyDescent="0.3">
      <c r="A66" s="123">
        <v>41</v>
      </c>
      <c r="B66" s="131" t="s">
        <v>166</v>
      </c>
      <c r="C66" s="132">
        <v>0</v>
      </c>
      <c r="D66" s="132">
        <v>0</v>
      </c>
      <c r="E66" s="103">
        <f t="shared" si="1"/>
        <v>0</v>
      </c>
      <c r="F66" s="132">
        <v>0</v>
      </c>
      <c r="G66" s="132">
        <v>0</v>
      </c>
      <c r="H66" s="104">
        <f t="shared" si="0"/>
        <v>0</v>
      </c>
    </row>
    <row r="67" spans="1:8" ht="16.5" thickBot="1" x14ac:dyDescent="0.35">
      <c r="A67" s="149">
        <v>42</v>
      </c>
      <c r="B67" s="150" t="s">
        <v>167</v>
      </c>
      <c r="C67" s="151">
        <f>C65+C66</f>
        <v>3844865.5000000019</v>
      </c>
      <c r="D67" s="151">
        <f>D65+D66</f>
        <v>16515487.079999994</v>
      </c>
      <c r="E67" s="113">
        <f t="shared" si="1"/>
        <v>20360352.579999998</v>
      </c>
      <c r="F67" s="151">
        <f>F65+F66</f>
        <v>-1021766.4199999887</v>
      </c>
      <c r="G67" s="151">
        <f>G65+G66</f>
        <v>16868601.240000002</v>
      </c>
      <c r="H67" s="114">
        <f t="shared" si="0"/>
        <v>15846834.820000013</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topLeftCell="A46" zoomScaleNormal="100" workbookViewId="0">
      <selection activeCell="C12" sqref="C12"/>
    </sheetView>
  </sheetViews>
  <sheetFormatPr defaultRowHeight="15" x14ac:dyDescent="0.25"/>
  <cols>
    <col min="1" max="1" width="9.5703125" bestFit="1" customWidth="1"/>
    <col min="2" max="2" width="72.28515625" customWidth="1"/>
    <col min="3" max="3" width="14" style="175" bestFit="1" customWidth="1"/>
    <col min="4" max="4" width="14.140625" style="175" customWidth="1"/>
    <col min="5" max="5" width="14.85546875" style="175" customWidth="1"/>
    <col min="6" max="6" width="12.7109375" style="175" customWidth="1"/>
    <col min="7" max="7" width="13.5703125" style="175" bestFit="1" customWidth="1"/>
    <col min="8" max="8" width="14.140625" style="175" customWidth="1"/>
    <col min="9" max="9" width="14.85546875" style="175" customWidth="1"/>
    <col min="10" max="10" width="11.5703125" style="175" bestFit="1" customWidth="1"/>
    <col min="11" max="11" width="11.42578125" customWidth="1"/>
    <col min="12" max="12" width="11.5703125" bestFit="1" customWidth="1"/>
  </cols>
  <sheetData>
    <row r="1" spans="1:10" x14ac:dyDescent="0.25">
      <c r="A1" s="25" t="s">
        <v>29</v>
      </c>
      <c r="B1" s="25" t="str">
        <f>'1. key ratios'!B1</f>
        <v>სს ტერაბანკი</v>
      </c>
      <c r="C1"/>
      <c r="D1"/>
      <c r="E1"/>
      <c r="F1"/>
      <c r="G1"/>
      <c r="H1"/>
      <c r="I1"/>
      <c r="J1"/>
    </row>
    <row r="2" spans="1:10" x14ac:dyDescent="0.25">
      <c r="A2" s="25" t="s">
        <v>31</v>
      </c>
      <c r="B2" s="86">
        <f>'1. key ratios'!B2</f>
        <v>43738</v>
      </c>
      <c r="C2"/>
      <c r="D2"/>
      <c r="E2"/>
      <c r="F2"/>
      <c r="G2"/>
      <c r="H2"/>
      <c r="I2"/>
      <c r="J2"/>
    </row>
    <row r="3" spans="1:10" x14ac:dyDescent="0.25">
      <c r="A3" s="25"/>
      <c r="C3"/>
      <c r="D3"/>
      <c r="E3"/>
      <c r="F3" s="152"/>
      <c r="G3"/>
      <c r="H3"/>
      <c r="I3"/>
      <c r="J3"/>
    </row>
    <row r="4" spans="1:10" ht="16.5" thickBot="1" x14ac:dyDescent="0.35">
      <c r="A4" s="25" t="s">
        <v>168</v>
      </c>
      <c r="B4" s="25"/>
      <c r="C4" s="153"/>
      <c r="D4" s="153"/>
      <c r="E4" s="153"/>
      <c r="F4" s="154"/>
      <c r="G4" s="154"/>
      <c r="H4" s="155" t="s">
        <v>66</v>
      </c>
      <c r="I4"/>
      <c r="J4"/>
    </row>
    <row r="5" spans="1:10" ht="15.75" x14ac:dyDescent="0.3">
      <c r="A5" s="156" t="s">
        <v>33</v>
      </c>
      <c r="B5" s="157" t="s">
        <v>169</v>
      </c>
      <c r="C5" s="158" t="s">
        <v>67</v>
      </c>
      <c r="D5" s="158"/>
      <c r="E5" s="158"/>
      <c r="F5" s="158" t="s">
        <v>68</v>
      </c>
      <c r="G5" s="158"/>
      <c r="H5" s="159"/>
      <c r="I5"/>
      <c r="J5"/>
    </row>
    <row r="6" spans="1:10" x14ac:dyDescent="0.25">
      <c r="A6" s="160"/>
      <c r="B6" s="161"/>
      <c r="C6" s="99" t="s">
        <v>70</v>
      </c>
      <c r="D6" s="99" t="s">
        <v>71</v>
      </c>
      <c r="E6" s="99" t="s">
        <v>72</v>
      </c>
      <c r="F6" s="99" t="s">
        <v>70</v>
      </c>
      <c r="G6" s="99" t="s">
        <v>71</v>
      </c>
      <c r="H6" s="100" t="s">
        <v>72</v>
      </c>
      <c r="I6"/>
      <c r="J6"/>
    </row>
    <row r="7" spans="1:10" s="24" customFormat="1" ht="15.75" x14ac:dyDescent="0.3">
      <c r="A7" s="162">
        <v>1</v>
      </c>
      <c r="B7" s="163" t="s">
        <v>170</v>
      </c>
      <c r="C7" s="102">
        <f>SUM(C8:C11)</f>
        <v>30811270.209999986</v>
      </c>
      <c r="D7" s="102">
        <f>SUM(D8:D11)</f>
        <v>28554141.390000001</v>
      </c>
      <c r="E7" s="103">
        <f>C7+D7</f>
        <v>59365411.599999987</v>
      </c>
      <c r="F7" s="102">
        <v>46461232.230000027</v>
      </c>
      <c r="G7" s="102">
        <v>29036935.449999999</v>
      </c>
      <c r="H7" s="104">
        <f t="shared" ref="H7:H53" si="0">F7+G7</f>
        <v>75498167.680000022</v>
      </c>
      <c r="I7" s="164"/>
      <c r="J7" s="164"/>
    </row>
    <row r="8" spans="1:10" s="24" customFormat="1" ht="15.75" x14ac:dyDescent="0.3">
      <c r="A8" s="162">
        <v>1.1000000000000001</v>
      </c>
      <c r="B8" s="165" t="s">
        <v>171</v>
      </c>
      <c r="C8" s="102">
        <v>20896390.27</v>
      </c>
      <c r="D8" s="102">
        <v>20481802.870000001</v>
      </c>
      <c r="E8" s="103">
        <f t="shared" ref="E8:E53" si="1">C8+D8</f>
        <v>41378193.140000001</v>
      </c>
      <c r="F8" s="102">
        <v>34052293.670000002</v>
      </c>
      <c r="G8" s="102">
        <v>21759914.509999998</v>
      </c>
      <c r="H8" s="104">
        <f t="shared" si="0"/>
        <v>55812208.18</v>
      </c>
      <c r="I8" s="164"/>
      <c r="J8" s="164"/>
    </row>
    <row r="9" spans="1:10" s="24" customFormat="1" ht="15.75" x14ac:dyDescent="0.3">
      <c r="A9" s="162">
        <v>1.2</v>
      </c>
      <c r="B9" s="165" t="s">
        <v>172</v>
      </c>
      <c r="C9" s="102">
        <v>2176900</v>
      </c>
      <c r="D9" s="102">
        <v>1975034.27</v>
      </c>
      <c r="E9" s="103">
        <f t="shared" si="1"/>
        <v>4151934.27</v>
      </c>
      <c r="F9" s="102">
        <v>1979000</v>
      </c>
      <c r="G9" s="102">
        <v>724265.98</v>
      </c>
      <c r="H9" s="104">
        <f t="shared" si="0"/>
        <v>2703265.98</v>
      </c>
      <c r="I9" s="164"/>
      <c r="J9" s="164"/>
    </row>
    <row r="10" spans="1:10" s="24" customFormat="1" ht="15.75" x14ac:dyDescent="0.3">
      <c r="A10" s="162">
        <v>1.3</v>
      </c>
      <c r="B10" s="165" t="s">
        <v>173</v>
      </c>
      <c r="C10" s="102">
        <v>7737979.9399999846</v>
      </c>
      <c r="D10" s="102">
        <v>6097304.2500000009</v>
      </c>
      <c r="E10" s="103">
        <f t="shared" si="1"/>
        <v>13835284.189999986</v>
      </c>
      <c r="F10" s="102">
        <v>10429938.560000023</v>
      </c>
      <c r="G10" s="102">
        <v>3450143.02</v>
      </c>
      <c r="H10" s="104">
        <f t="shared" si="0"/>
        <v>13880081.580000022</v>
      </c>
      <c r="I10" s="164"/>
      <c r="J10" s="164"/>
    </row>
    <row r="11" spans="1:10" s="24" customFormat="1" ht="15.75" x14ac:dyDescent="0.3">
      <c r="A11" s="162">
        <v>1.4</v>
      </c>
      <c r="B11" s="165" t="s">
        <v>174</v>
      </c>
      <c r="C11" s="102">
        <v>0</v>
      </c>
      <c r="D11" s="102">
        <v>0</v>
      </c>
      <c r="E11" s="103">
        <f t="shared" si="1"/>
        <v>0</v>
      </c>
      <c r="F11" s="102">
        <v>0</v>
      </c>
      <c r="G11" s="102">
        <v>3102611.94</v>
      </c>
      <c r="H11" s="104">
        <f t="shared" si="0"/>
        <v>3102611.94</v>
      </c>
      <c r="I11" s="164"/>
      <c r="J11" s="164"/>
    </row>
    <row r="12" spans="1:10" s="24" customFormat="1" ht="29.25" customHeight="1" x14ac:dyDescent="0.3">
      <c r="A12" s="162">
        <v>2</v>
      </c>
      <c r="B12" s="163" t="s">
        <v>175</v>
      </c>
      <c r="C12" s="102">
        <v>0</v>
      </c>
      <c r="D12" s="102">
        <v>0</v>
      </c>
      <c r="E12" s="103">
        <f t="shared" si="1"/>
        <v>0</v>
      </c>
      <c r="F12" s="102">
        <v>0</v>
      </c>
      <c r="G12" s="102">
        <v>0</v>
      </c>
      <c r="H12" s="104">
        <f t="shared" si="0"/>
        <v>0</v>
      </c>
      <c r="I12" s="164"/>
      <c r="J12" s="164"/>
    </row>
    <row r="13" spans="1:10" s="24" customFormat="1" ht="25.5" x14ac:dyDescent="0.3">
      <c r="A13" s="162">
        <v>3</v>
      </c>
      <c r="B13" s="163" t="s">
        <v>176</v>
      </c>
      <c r="C13" s="102">
        <v>15021000</v>
      </c>
      <c r="D13" s="102">
        <v>0</v>
      </c>
      <c r="E13" s="103">
        <f t="shared" si="1"/>
        <v>15021000</v>
      </c>
      <c r="F13" s="102">
        <v>26418000</v>
      </c>
      <c r="G13" s="102">
        <v>0</v>
      </c>
      <c r="H13" s="104">
        <f t="shared" si="0"/>
        <v>26418000</v>
      </c>
      <c r="I13" s="164"/>
      <c r="J13" s="164"/>
    </row>
    <row r="14" spans="1:10" s="24" customFormat="1" ht="15.75" x14ac:dyDescent="0.3">
      <c r="A14" s="162">
        <v>3.1</v>
      </c>
      <c r="B14" s="165" t="s">
        <v>177</v>
      </c>
      <c r="C14" s="102">
        <f>C13</f>
        <v>15021000</v>
      </c>
      <c r="D14" s="102">
        <f>D13</f>
        <v>0</v>
      </c>
      <c r="E14" s="103">
        <f t="shared" si="1"/>
        <v>15021000</v>
      </c>
      <c r="F14" s="102">
        <v>26418000</v>
      </c>
      <c r="G14" s="102">
        <v>0</v>
      </c>
      <c r="H14" s="104">
        <f t="shared" si="0"/>
        <v>26418000</v>
      </c>
      <c r="I14" s="164"/>
      <c r="J14" s="164"/>
    </row>
    <row r="15" spans="1:10" s="24" customFormat="1" ht="15.75" x14ac:dyDescent="0.3">
      <c r="A15" s="162">
        <v>3.2</v>
      </c>
      <c r="B15" s="165" t="s">
        <v>178</v>
      </c>
      <c r="C15" s="102"/>
      <c r="D15" s="102"/>
      <c r="E15" s="103">
        <f t="shared" si="1"/>
        <v>0</v>
      </c>
      <c r="F15" s="102">
        <v>0</v>
      </c>
      <c r="G15" s="102">
        <v>0</v>
      </c>
      <c r="H15" s="104">
        <f t="shared" si="0"/>
        <v>0</v>
      </c>
      <c r="I15" s="164"/>
      <c r="J15" s="164"/>
    </row>
    <row r="16" spans="1:10" s="24" customFormat="1" ht="15.75" x14ac:dyDescent="0.3">
      <c r="A16" s="162">
        <v>4</v>
      </c>
      <c r="B16" s="163" t="s">
        <v>179</v>
      </c>
      <c r="C16" s="102">
        <v>163659514.09999993</v>
      </c>
      <c r="D16" s="102">
        <v>375103194.49000013</v>
      </c>
      <c r="E16" s="103">
        <f t="shared" si="1"/>
        <v>538762708.59000003</v>
      </c>
      <c r="F16" s="102">
        <v>186779637.77000004</v>
      </c>
      <c r="G16" s="102">
        <v>332689722.74000013</v>
      </c>
      <c r="H16" s="104">
        <f t="shared" si="0"/>
        <v>519469360.51000017</v>
      </c>
      <c r="J16" s="164"/>
    </row>
    <row r="17" spans="1:10" s="24" customFormat="1" ht="15.75" x14ac:dyDescent="0.3">
      <c r="A17" s="162">
        <v>4.0999999999999996</v>
      </c>
      <c r="B17" s="165" t="s">
        <v>180</v>
      </c>
      <c r="C17" s="102">
        <v>163659514.09999993</v>
      </c>
      <c r="D17" s="102">
        <v>375103194.49000013</v>
      </c>
      <c r="E17" s="103">
        <f t="shared" si="1"/>
        <v>538762708.59000003</v>
      </c>
      <c r="F17" s="102">
        <v>186779637.77000004</v>
      </c>
      <c r="G17" s="102">
        <v>332689722.74000013</v>
      </c>
      <c r="H17" s="104">
        <f t="shared" si="0"/>
        <v>519469360.51000017</v>
      </c>
      <c r="J17" s="164"/>
    </row>
    <row r="18" spans="1:10" s="24" customFormat="1" ht="15.75" x14ac:dyDescent="0.3">
      <c r="A18" s="162">
        <v>4.2</v>
      </c>
      <c r="B18" s="165" t="s">
        <v>181</v>
      </c>
      <c r="C18" s="102">
        <v>0</v>
      </c>
      <c r="D18" s="102">
        <v>0</v>
      </c>
      <c r="E18" s="103">
        <f t="shared" si="1"/>
        <v>0</v>
      </c>
      <c r="F18" s="102">
        <v>0</v>
      </c>
      <c r="G18" s="102">
        <v>0</v>
      </c>
      <c r="H18" s="104">
        <f t="shared" si="0"/>
        <v>0</v>
      </c>
      <c r="I18" s="164"/>
      <c r="J18" s="164"/>
    </row>
    <row r="19" spans="1:10" s="24" customFormat="1" ht="25.5" x14ac:dyDescent="0.3">
      <c r="A19" s="162">
        <v>5</v>
      </c>
      <c r="B19" s="163" t="s">
        <v>182</v>
      </c>
      <c r="C19" s="102">
        <v>622123575.25999951</v>
      </c>
      <c r="D19" s="102">
        <v>857117465.62999952</v>
      </c>
      <c r="E19" s="103">
        <f t="shared" si="1"/>
        <v>1479241040.8899989</v>
      </c>
      <c r="F19" s="102">
        <v>520900894.59000003</v>
      </c>
      <c r="G19" s="102">
        <v>684083762.78999972</v>
      </c>
      <c r="H19" s="104">
        <f t="shared" si="0"/>
        <v>1204984657.3799996</v>
      </c>
      <c r="I19" s="164"/>
      <c r="J19" s="164"/>
    </row>
    <row r="20" spans="1:10" s="24" customFormat="1" ht="15.75" x14ac:dyDescent="0.3">
      <c r="A20" s="162">
        <v>5.0999999999999996</v>
      </c>
      <c r="B20" s="165" t="s">
        <v>183</v>
      </c>
      <c r="C20" s="102">
        <v>13939223.280000001</v>
      </c>
      <c r="D20" s="102">
        <v>33099411.690000001</v>
      </c>
      <c r="E20" s="103">
        <f t="shared" si="1"/>
        <v>47038634.969999999</v>
      </c>
      <c r="F20" s="102">
        <v>20839231.809999991</v>
      </c>
      <c r="G20" s="102">
        <v>30524006.240000002</v>
      </c>
      <c r="H20" s="104">
        <f t="shared" si="0"/>
        <v>51363238.049999997</v>
      </c>
      <c r="I20" s="164"/>
      <c r="J20" s="164"/>
    </row>
    <row r="21" spans="1:10" s="24" customFormat="1" ht="15.75" x14ac:dyDescent="0.3">
      <c r="A21" s="162">
        <v>5.2</v>
      </c>
      <c r="B21" s="165" t="s">
        <v>184</v>
      </c>
      <c r="C21" s="102">
        <v>51871188.039999999</v>
      </c>
      <c r="D21" s="102">
        <v>17748709.240000006</v>
      </c>
      <c r="E21" s="103">
        <f t="shared" si="1"/>
        <v>69619897.280000001</v>
      </c>
      <c r="F21" s="102">
        <v>68425892.739999995</v>
      </c>
      <c r="G21" s="102">
        <v>29957219.680000003</v>
      </c>
      <c r="H21" s="104">
        <f t="shared" si="0"/>
        <v>98383112.420000002</v>
      </c>
      <c r="I21" s="164"/>
      <c r="J21" s="164"/>
    </row>
    <row r="22" spans="1:10" s="24" customFormat="1" ht="15.75" x14ac:dyDescent="0.3">
      <c r="A22" s="162">
        <v>5.3</v>
      </c>
      <c r="B22" s="165" t="s">
        <v>185</v>
      </c>
      <c r="C22" s="102">
        <v>502969529.55999953</v>
      </c>
      <c r="D22" s="102">
        <v>778976106.56999946</v>
      </c>
      <c r="E22" s="103">
        <f t="shared" si="1"/>
        <v>1281945636.1299989</v>
      </c>
      <c r="F22" s="102">
        <v>373034191.42000002</v>
      </c>
      <c r="G22" s="102">
        <v>580198170.49999976</v>
      </c>
      <c r="H22" s="104">
        <f t="shared" si="0"/>
        <v>953232361.91999984</v>
      </c>
      <c r="I22" s="164"/>
      <c r="J22" s="164"/>
    </row>
    <row r="23" spans="1:10" s="24" customFormat="1" ht="15.75" x14ac:dyDescent="0.3">
      <c r="A23" s="162" t="s">
        <v>186</v>
      </c>
      <c r="B23" s="166" t="s">
        <v>187</v>
      </c>
      <c r="C23" s="102">
        <v>317649571.59999967</v>
      </c>
      <c r="D23" s="102">
        <v>334665308.88999945</v>
      </c>
      <c r="E23" s="103">
        <f t="shared" si="1"/>
        <v>652314880.48999906</v>
      </c>
      <c r="F23" s="102">
        <v>243196061.10000005</v>
      </c>
      <c r="G23" s="102">
        <v>262447566.86000007</v>
      </c>
      <c r="H23" s="104">
        <f t="shared" si="0"/>
        <v>505643627.96000016</v>
      </c>
      <c r="I23" s="164"/>
      <c r="J23" s="164"/>
    </row>
    <row r="24" spans="1:10" s="24" customFormat="1" ht="15.75" x14ac:dyDescent="0.3">
      <c r="A24" s="162" t="s">
        <v>188</v>
      </c>
      <c r="B24" s="166" t="s">
        <v>189</v>
      </c>
      <c r="C24" s="102">
        <v>100867396.78999987</v>
      </c>
      <c r="D24" s="102">
        <v>312746405.93999994</v>
      </c>
      <c r="E24" s="103">
        <f t="shared" si="1"/>
        <v>413613802.72999978</v>
      </c>
      <c r="F24" s="102">
        <v>77867223.999999985</v>
      </c>
      <c r="G24" s="102">
        <v>248975592.31999978</v>
      </c>
      <c r="H24" s="104">
        <f t="shared" si="0"/>
        <v>326842816.31999975</v>
      </c>
      <c r="I24" s="164"/>
      <c r="J24" s="164"/>
    </row>
    <row r="25" spans="1:10" s="24" customFormat="1" ht="15.75" x14ac:dyDescent="0.3">
      <c r="A25" s="162" t="s">
        <v>190</v>
      </c>
      <c r="B25" s="167" t="s">
        <v>191</v>
      </c>
      <c r="C25" s="102">
        <v>13103981.199999999</v>
      </c>
      <c r="D25" s="102">
        <v>15412729.849999996</v>
      </c>
      <c r="E25" s="103">
        <f t="shared" si="1"/>
        <v>28516711.049999997</v>
      </c>
      <c r="F25" s="102">
        <v>8435964.9200000018</v>
      </c>
      <c r="G25" s="102">
        <v>11940204.52</v>
      </c>
      <c r="H25" s="104">
        <f t="shared" si="0"/>
        <v>20376169.440000001</v>
      </c>
      <c r="I25" s="164"/>
      <c r="J25" s="164"/>
    </row>
    <row r="26" spans="1:10" s="24" customFormat="1" ht="15.75" x14ac:dyDescent="0.3">
      <c r="A26" s="162" t="s">
        <v>192</v>
      </c>
      <c r="B26" s="166" t="s">
        <v>193</v>
      </c>
      <c r="C26" s="102">
        <v>44088932.059999987</v>
      </c>
      <c r="D26" s="102">
        <v>62263190.429999992</v>
      </c>
      <c r="E26" s="103">
        <f t="shared" si="1"/>
        <v>106352122.48999998</v>
      </c>
      <c r="F26" s="102">
        <v>29292644.37999998</v>
      </c>
      <c r="G26" s="102">
        <v>43042026.249999963</v>
      </c>
      <c r="H26" s="104">
        <f t="shared" si="0"/>
        <v>72334670.629999936</v>
      </c>
      <c r="I26" s="164"/>
      <c r="J26" s="164"/>
    </row>
    <row r="27" spans="1:10" s="24" customFormat="1" ht="15.75" x14ac:dyDescent="0.3">
      <c r="A27" s="162" t="s">
        <v>194</v>
      </c>
      <c r="B27" s="166" t="s">
        <v>195</v>
      </c>
      <c r="C27" s="102">
        <v>27259647.910000011</v>
      </c>
      <c r="D27" s="102">
        <v>53888471.460000016</v>
      </c>
      <c r="E27" s="103">
        <f t="shared" si="1"/>
        <v>81148119.370000035</v>
      </c>
      <c r="F27" s="102">
        <v>14242297.019999994</v>
      </c>
      <c r="G27" s="102">
        <v>13792780.550000001</v>
      </c>
      <c r="H27" s="104">
        <f t="shared" si="0"/>
        <v>28035077.569999993</v>
      </c>
      <c r="I27" s="164"/>
      <c r="J27" s="164"/>
    </row>
    <row r="28" spans="1:10" s="24" customFormat="1" ht="15.75" x14ac:dyDescent="0.3">
      <c r="A28" s="162">
        <v>5.4</v>
      </c>
      <c r="B28" s="165" t="s">
        <v>196</v>
      </c>
      <c r="C28" s="102">
        <v>15160813.300000003</v>
      </c>
      <c r="D28" s="102">
        <v>14702039.08</v>
      </c>
      <c r="E28" s="103">
        <f t="shared" si="1"/>
        <v>29862852.380000003</v>
      </c>
      <c r="F28" s="102">
        <v>9563579.5299999993</v>
      </c>
      <c r="G28" s="102">
        <v>13827662.150000002</v>
      </c>
      <c r="H28" s="104">
        <f t="shared" si="0"/>
        <v>23391241.68</v>
      </c>
      <c r="I28" s="164"/>
      <c r="J28" s="164"/>
    </row>
    <row r="29" spans="1:10" s="24" customFormat="1" ht="15.75" x14ac:dyDescent="0.3">
      <c r="A29" s="162">
        <v>5.5</v>
      </c>
      <c r="B29" s="165" t="s">
        <v>197</v>
      </c>
      <c r="C29" s="102">
        <v>0</v>
      </c>
      <c r="D29" s="102">
        <v>0</v>
      </c>
      <c r="E29" s="103">
        <f t="shared" si="1"/>
        <v>0</v>
      </c>
      <c r="F29" s="102">
        <v>0</v>
      </c>
      <c r="G29" s="102">
        <v>0</v>
      </c>
      <c r="H29" s="104">
        <f t="shared" si="0"/>
        <v>0</v>
      </c>
      <c r="I29" s="164"/>
      <c r="J29" s="164"/>
    </row>
    <row r="30" spans="1:10" s="24" customFormat="1" ht="15.75" x14ac:dyDescent="0.3">
      <c r="A30" s="162">
        <v>5.6</v>
      </c>
      <c r="B30" s="165" t="s">
        <v>198</v>
      </c>
      <c r="C30" s="102">
        <v>0</v>
      </c>
      <c r="D30" s="102">
        <v>0</v>
      </c>
      <c r="E30" s="103">
        <f t="shared" si="1"/>
        <v>0</v>
      </c>
      <c r="F30" s="102">
        <v>0</v>
      </c>
      <c r="G30" s="102">
        <v>0</v>
      </c>
      <c r="H30" s="104">
        <f t="shared" si="0"/>
        <v>0</v>
      </c>
      <c r="I30" s="164"/>
      <c r="J30" s="164"/>
    </row>
    <row r="31" spans="1:10" s="24" customFormat="1" ht="15.75" x14ac:dyDescent="0.3">
      <c r="A31" s="162">
        <v>5.7</v>
      </c>
      <c r="B31" s="165" t="s">
        <v>199</v>
      </c>
      <c r="C31" s="102">
        <v>38182821.080000028</v>
      </c>
      <c r="D31" s="102">
        <v>12591199.049999997</v>
      </c>
      <c r="E31" s="103">
        <f t="shared" si="1"/>
        <v>50774020.130000025</v>
      </c>
      <c r="F31" s="102">
        <v>49037999.090000004</v>
      </c>
      <c r="G31" s="102">
        <v>29576704.220000006</v>
      </c>
      <c r="H31" s="104">
        <f t="shared" si="0"/>
        <v>78614703.310000002</v>
      </c>
      <c r="I31" s="164"/>
      <c r="J31" s="164"/>
    </row>
    <row r="32" spans="1:10" s="24" customFormat="1" ht="15.75" x14ac:dyDescent="0.3">
      <c r="A32" s="162">
        <v>6</v>
      </c>
      <c r="B32" s="163" t="s">
        <v>200</v>
      </c>
      <c r="C32" s="102">
        <f>SUM(C33:C39)</f>
        <v>22642088.5</v>
      </c>
      <c r="D32" s="102">
        <f>SUM(D33:D39)</f>
        <v>22542265.600000001</v>
      </c>
      <c r="E32" s="103">
        <f t="shared" si="1"/>
        <v>45184354.100000001</v>
      </c>
      <c r="F32" s="102">
        <v>36708034.200000003</v>
      </c>
      <c r="G32" s="102">
        <v>37531915.200000003</v>
      </c>
      <c r="H32" s="104">
        <f t="shared" si="0"/>
        <v>74239949.400000006</v>
      </c>
      <c r="I32" s="164"/>
      <c r="J32" s="164"/>
    </row>
    <row r="33" spans="1:12" s="24" customFormat="1" ht="25.5" x14ac:dyDescent="0.3">
      <c r="A33" s="162">
        <v>6.1</v>
      </c>
      <c r="B33" s="165" t="s">
        <v>201</v>
      </c>
      <c r="C33" s="102">
        <v>22642088.5</v>
      </c>
      <c r="D33" s="102">
        <v>0</v>
      </c>
      <c r="E33" s="103">
        <f t="shared" si="1"/>
        <v>22642088.5</v>
      </c>
      <c r="F33" s="102">
        <v>36708034.200000003</v>
      </c>
      <c r="G33" s="102">
        <v>0</v>
      </c>
      <c r="H33" s="104">
        <f t="shared" si="0"/>
        <v>36708034.200000003</v>
      </c>
      <c r="I33" s="164"/>
      <c r="J33" s="164"/>
    </row>
    <row r="34" spans="1:12" s="24" customFormat="1" ht="25.5" x14ac:dyDescent="0.3">
      <c r="A34" s="162">
        <v>6.2</v>
      </c>
      <c r="B34" s="165" t="s">
        <v>202</v>
      </c>
      <c r="C34" s="102">
        <v>0</v>
      </c>
      <c r="D34" s="102">
        <v>22542265.600000001</v>
      </c>
      <c r="E34" s="103">
        <f t="shared" si="1"/>
        <v>22542265.600000001</v>
      </c>
      <c r="F34" s="102">
        <v>0</v>
      </c>
      <c r="G34" s="102">
        <v>37531915.200000003</v>
      </c>
      <c r="H34" s="104">
        <f t="shared" si="0"/>
        <v>37531915.200000003</v>
      </c>
      <c r="I34" s="164"/>
      <c r="J34" s="164"/>
    </row>
    <row r="35" spans="1:12" s="24" customFormat="1" ht="25.5" x14ac:dyDescent="0.3">
      <c r="A35" s="162">
        <v>6.3</v>
      </c>
      <c r="B35" s="165" t="s">
        <v>203</v>
      </c>
      <c r="C35" s="102">
        <v>0</v>
      </c>
      <c r="D35" s="102">
        <v>0</v>
      </c>
      <c r="E35" s="103">
        <f t="shared" si="1"/>
        <v>0</v>
      </c>
      <c r="F35" s="102">
        <v>0</v>
      </c>
      <c r="G35" s="102">
        <v>0</v>
      </c>
      <c r="H35" s="104">
        <f t="shared" si="0"/>
        <v>0</v>
      </c>
      <c r="I35" s="168"/>
      <c r="J35" s="164"/>
    </row>
    <row r="36" spans="1:12" s="24" customFormat="1" ht="15.75" x14ac:dyDescent="0.3">
      <c r="A36" s="162">
        <v>6.4</v>
      </c>
      <c r="B36" s="165" t="s">
        <v>204</v>
      </c>
      <c r="C36" s="102"/>
      <c r="D36" s="102"/>
      <c r="E36" s="103">
        <f t="shared" si="1"/>
        <v>0</v>
      </c>
      <c r="F36" s="102">
        <v>0</v>
      </c>
      <c r="G36" s="102">
        <v>0</v>
      </c>
      <c r="H36" s="104">
        <f t="shared" si="0"/>
        <v>0</v>
      </c>
      <c r="I36" s="164"/>
      <c r="J36" s="164"/>
    </row>
    <row r="37" spans="1:12" s="24" customFormat="1" ht="15.75" x14ac:dyDescent="0.3">
      <c r="A37" s="162">
        <v>6.5</v>
      </c>
      <c r="B37" s="165" t="s">
        <v>205</v>
      </c>
      <c r="C37" s="102"/>
      <c r="D37" s="102"/>
      <c r="E37" s="103">
        <f t="shared" si="1"/>
        <v>0</v>
      </c>
      <c r="F37" s="102">
        <v>0</v>
      </c>
      <c r="G37" s="102">
        <v>0</v>
      </c>
      <c r="H37" s="104">
        <f t="shared" si="0"/>
        <v>0</v>
      </c>
      <c r="I37" s="164"/>
      <c r="J37" s="164"/>
    </row>
    <row r="38" spans="1:12" s="24" customFormat="1" ht="25.5" x14ac:dyDescent="0.3">
      <c r="A38" s="162">
        <v>6.6</v>
      </c>
      <c r="B38" s="165" t="s">
        <v>206</v>
      </c>
      <c r="C38" s="102"/>
      <c r="D38" s="102"/>
      <c r="E38" s="103">
        <f t="shared" si="1"/>
        <v>0</v>
      </c>
      <c r="F38" s="102">
        <v>0</v>
      </c>
      <c r="G38" s="102">
        <v>0</v>
      </c>
      <c r="H38" s="104">
        <f t="shared" si="0"/>
        <v>0</v>
      </c>
      <c r="I38" s="164"/>
      <c r="J38" s="168"/>
      <c r="K38" s="169"/>
      <c r="L38" s="169"/>
    </row>
    <row r="39" spans="1:12" s="24" customFormat="1" ht="25.5" x14ac:dyDescent="0.3">
      <c r="A39" s="162">
        <v>6.7</v>
      </c>
      <c r="B39" s="165" t="s">
        <v>207</v>
      </c>
      <c r="C39" s="102"/>
      <c r="D39" s="102"/>
      <c r="E39" s="103">
        <f t="shared" si="1"/>
        <v>0</v>
      </c>
      <c r="F39" s="102">
        <v>0</v>
      </c>
      <c r="G39" s="102">
        <v>0</v>
      </c>
      <c r="H39" s="104">
        <f t="shared" si="0"/>
        <v>0</v>
      </c>
      <c r="I39" s="164"/>
      <c r="J39" s="164"/>
    </row>
    <row r="40" spans="1:12" s="24" customFormat="1" ht="15.75" x14ac:dyDescent="0.3">
      <c r="A40" s="162">
        <v>7</v>
      </c>
      <c r="B40" s="163" t="s">
        <v>208</v>
      </c>
      <c r="C40" s="102"/>
      <c r="D40" s="102"/>
      <c r="E40" s="103">
        <f>C40+D40</f>
        <v>0</v>
      </c>
      <c r="F40" s="102">
        <v>0</v>
      </c>
      <c r="G40" s="102">
        <v>0</v>
      </c>
      <c r="H40" s="104">
        <f t="shared" si="0"/>
        <v>0</v>
      </c>
      <c r="I40" s="164"/>
      <c r="J40" s="164"/>
    </row>
    <row r="41" spans="1:12" s="24" customFormat="1" ht="25.5" x14ac:dyDescent="0.3">
      <c r="A41" s="162">
        <v>7.1</v>
      </c>
      <c r="B41" s="165" t="s">
        <v>209</v>
      </c>
      <c r="C41" s="102">
        <v>1252867.6500000006</v>
      </c>
      <c r="D41" s="102">
        <v>14122.345300000001</v>
      </c>
      <c r="E41" s="103">
        <f t="shared" si="1"/>
        <v>1266989.9953000005</v>
      </c>
      <c r="F41" s="102">
        <v>601775.70000000019</v>
      </c>
      <c r="G41" s="102">
        <v>74217.47</v>
      </c>
      <c r="H41" s="104">
        <f t="shared" si="0"/>
        <v>675993.17000000016</v>
      </c>
      <c r="I41" s="164"/>
      <c r="J41" s="164"/>
    </row>
    <row r="42" spans="1:12" s="24" customFormat="1" ht="25.5" x14ac:dyDescent="0.3">
      <c r="A42" s="162">
        <v>7.2</v>
      </c>
      <c r="B42" s="165" t="s">
        <v>210</v>
      </c>
      <c r="C42" s="102">
        <v>999296.26000000071</v>
      </c>
      <c r="D42" s="102">
        <v>1132247.8729000003</v>
      </c>
      <c r="E42" s="103">
        <f>C42+D42</f>
        <v>2131544.132900001</v>
      </c>
      <c r="F42" s="102">
        <v>1883001.4900000016</v>
      </c>
      <c r="G42" s="102">
        <v>7591348.6399999978</v>
      </c>
      <c r="H42" s="104">
        <f t="shared" si="0"/>
        <v>9474350.129999999</v>
      </c>
      <c r="I42" s="170"/>
      <c r="J42" s="164"/>
    </row>
    <row r="43" spans="1:12" s="24" customFormat="1" ht="25.5" x14ac:dyDescent="0.3">
      <c r="A43" s="162">
        <v>7.3</v>
      </c>
      <c r="B43" s="165" t="s">
        <v>211</v>
      </c>
      <c r="C43" s="102">
        <v>6199777.3766000057</v>
      </c>
      <c r="D43" s="102">
        <v>15283751.5798</v>
      </c>
      <c r="E43" s="103">
        <f>C43+D43</f>
        <v>21483528.956400007</v>
      </c>
      <c r="F43" s="102">
        <v>6902071.0499999998</v>
      </c>
      <c r="G43" s="102">
        <v>6726725.620000002</v>
      </c>
      <c r="H43" s="104">
        <f t="shared" si="0"/>
        <v>13628796.670000002</v>
      </c>
      <c r="I43" s="164"/>
      <c r="J43" s="164"/>
      <c r="K43" s="164"/>
      <c r="L43" s="164"/>
    </row>
    <row r="44" spans="1:12" s="24" customFormat="1" ht="25.5" x14ac:dyDescent="0.3">
      <c r="A44" s="162">
        <v>7.4</v>
      </c>
      <c r="B44" s="165" t="s">
        <v>212</v>
      </c>
      <c r="C44" s="102">
        <v>42691613.589999951</v>
      </c>
      <c r="D44" s="102">
        <v>75943013.245099992</v>
      </c>
      <c r="E44" s="103">
        <f t="shared" si="1"/>
        <v>118634626.83509994</v>
      </c>
      <c r="F44" s="102">
        <v>46934596.299999945</v>
      </c>
      <c r="G44" s="102">
        <v>69139639.879999995</v>
      </c>
      <c r="H44" s="104">
        <f t="shared" si="0"/>
        <v>116074236.17999995</v>
      </c>
      <c r="I44" s="170"/>
      <c r="J44" s="164"/>
    </row>
    <row r="45" spans="1:12" s="24" customFormat="1" ht="15.75" x14ac:dyDescent="0.3">
      <c r="A45" s="162">
        <v>8</v>
      </c>
      <c r="B45" s="163" t="s">
        <v>213</v>
      </c>
      <c r="C45" s="102"/>
      <c r="D45" s="102"/>
      <c r="E45" s="103">
        <f t="shared" si="1"/>
        <v>0</v>
      </c>
      <c r="F45" s="102">
        <v>0</v>
      </c>
      <c r="G45" s="102">
        <v>0</v>
      </c>
      <c r="H45" s="104">
        <f t="shared" si="0"/>
        <v>0</v>
      </c>
      <c r="I45" s="164"/>
      <c r="J45" s="164"/>
    </row>
    <row r="46" spans="1:12" s="24" customFormat="1" ht="15.75" x14ac:dyDescent="0.3">
      <c r="A46" s="162">
        <v>8.1</v>
      </c>
      <c r="B46" s="165" t="s">
        <v>214</v>
      </c>
      <c r="C46" s="102"/>
      <c r="D46" s="102"/>
      <c r="E46" s="103">
        <f t="shared" si="1"/>
        <v>0</v>
      </c>
      <c r="F46" s="102">
        <v>0</v>
      </c>
      <c r="G46" s="102">
        <v>0</v>
      </c>
      <c r="H46" s="104">
        <f t="shared" si="0"/>
        <v>0</v>
      </c>
      <c r="I46" s="164"/>
      <c r="J46" s="164"/>
    </row>
    <row r="47" spans="1:12" s="24" customFormat="1" ht="15.75" x14ac:dyDescent="0.3">
      <c r="A47" s="162">
        <v>8.1999999999999993</v>
      </c>
      <c r="B47" s="165" t="s">
        <v>215</v>
      </c>
      <c r="C47" s="102"/>
      <c r="D47" s="102"/>
      <c r="E47" s="103">
        <f t="shared" si="1"/>
        <v>0</v>
      </c>
      <c r="F47" s="102">
        <v>0</v>
      </c>
      <c r="G47" s="102">
        <v>0</v>
      </c>
      <c r="H47" s="104">
        <f t="shared" si="0"/>
        <v>0</v>
      </c>
      <c r="I47" s="164"/>
      <c r="J47" s="164"/>
    </row>
    <row r="48" spans="1:12" s="24" customFormat="1" ht="15.75" x14ac:dyDescent="0.3">
      <c r="A48" s="162">
        <v>8.3000000000000007</v>
      </c>
      <c r="B48" s="165" t="s">
        <v>216</v>
      </c>
      <c r="C48" s="102"/>
      <c r="D48" s="102"/>
      <c r="E48" s="103">
        <f t="shared" si="1"/>
        <v>0</v>
      </c>
      <c r="F48" s="102">
        <v>0</v>
      </c>
      <c r="G48" s="102">
        <v>0</v>
      </c>
      <c r="H48" s="104">
        <f t="shared" si="0"/>
        <v>0</v>
      </c>
      <c r="I48" s="164"/>
      <c r="J48" s="164"/>
    </row>
    <row r="49" spans="1:10" s="24" customFormat="1" ht="15.75" x14ac:dyDescent="0.3">
      <c r="A49" s="162">
        <v>8.4</v>
      </c>
      <c r="B49" s="165" t="s">
        <v>217</v>
      </c>
      <c r="C49" s="102"/>
      <c r="D49" s="102"/>
      <c r="E49" s="103">
        <f t="shared" si="1"/>
        <v>0</v>
      </c>
      <c r="F49" s="102">
        <v>0</v>
      </c>
      <c r="G49" s="102">
        <v>0</v>
      </c>
      <c r="H49" s="104">
        <f t="shared" si="0"/>
        <v>0</v>
      </c>
      <c r="I49" s="164"/>
      <c r="J49" s="164"/>
    </row>
    <row r="50" spans="1:10" s="24" customFormat="1" ht="15.75" x14ac:dyDescent="0.3">
      <c r="A50" s="162">
        <v>8.5</v>
      </c>
      <c r="B50" s="165" t="s">
        <v>218</v>
      </c>
      <c r="C50" s="102"/>
      <c r="D50" s="102"/>
      <c r="E50" s="103">
        <f t="shared" si="1"/>
        <v>0</v>
      </c>
      <c r="F50" s="102">
        <v>0</v>
      </c>
      <c r="G50" s="102">
        <v>0</v>
      </c>
      <c r="H50" s="104">
        <f t="shared" si="0"/>
        <v>0</v>
      </c>
      <c r="I50" s="164"/>
      <c r="J50" s="164"/>
    </row>
    <row r="51" spans="1:10" s="24" customFormat="1" ht="15.75" x14ac:dyDescent="0.3">
      <c r="A51" s="162">
        <v>8.6</v>
      </c>
      <c r="B51" s="165" t="s">
        <v>219</v>
      </c>
      <c r="C51" s="102"/>
      <c r="D51" s="102"/>
      <c r="E51" s="103">
        <f t="shared" si="1"/>
        <v>0</v>
      </c>
      <c r="F51" s="102">
        <v>0</v>
      </c>
      <c r="G51" s="102">
        <v>0</v>
      </c>
      <c r="H51" s="104">
        <f t="shared" si="0"/>
        <v>0</v>
      </c>
      <c r="I51" s="164"/>
      <c r="J51" s="164"/>
    </row>
    <row r="52" spans="1:10" s="24" customFormat="1" ht="15.75" x14ac:dyDescent="0.3">
      <c r="A52" s="162">
        <v>8.6999999999999993</v>
      </c>
      <c r="B52" s="165" t="s">
        <v>220</v>
      </c>
      <c r="C52" s="102"/>
      <c r="D52" s="102"/>
      <c r="E52" s="103">
        <f t="shared" si="1"/>
        <v>0</v>
      </c>
      <c r="F52" s="102">
        <v>0</v>
      </c>
      <c r="G52" s="102">
        <v>0</v>
      </c>
      <c r="H52" s="104">
        <f t="shared" si="0"/>
        <v>0</v>
      </c>
      <c r="I52" s="164"/>
      <c r="J52" s="164"/>
    </row>
    <row r="53" spans="1:10" s="24" customFormat="1" ht="26.25" thickBot="1" x14ac:dyDescent="0.35">
      <c r="A53" s="171">
        <v>9</v>
      </c>
      <c r="B53" s="172" t="s">
        <v>221</v>
      </c>
      <c r="C53" s="173"/>
      <c r="D53" s="173"/>
      <c r="E53" s="113">
        <f t="shared" si="1"/>
        <v>0</v>
      </c>
      <c r="F53" s="173">
        <v>0</v>
      </c>
      <c r="G53" s="173">
        <v>0</v>
      </c>
      <c r="H53" s="114">
        <f t="shared" si="0"/>
        <v>0</v>
      </c>
      <c r="I53" s="164"/>
      <c r="J53" s="164"/>
    </row>
    <row r="54" spans="1:10" x14ac:dyDescent="0.25">
      <c r="B54" s="174"/>
    </row>
  </sheetData>
  <mergeCells count="4">
    <mergeCell ref="A5:A6"/>
    <mergeCell ref="B5:B6"/>
    <mergeCell ref="C5:E5"/>
    <mergeCell ref="F5:H5"/>
  </mergeCell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5" activePane="bottomRight" state="frozen"/>
      <selection activeCell="P24" sqref="P24:Q24"/>
      <selection pane="topRight" activeCell="P24" sqref="P24:Q24"/>
      <selection pane="bottomLeft" activeCell="P24" sqref="P24:Q24"/>
      <selection pane="bottomRight" activeCell="B4" sqref="B4"/>
    </sheetView>
  </sheetViews>
  <sheetFormatPr defaultColWidth="9.140625" defaultRowHeight="12.75" x14ac:dyDescent="0.2"/>
  <cols>
    <col min="1" max="1" width="9.5703125" style="25" bestFit="1" customWidth="1"/>
    <col min="2" max="2" width="93.5703125" style="25" customWidth="1"/>
    <col min="3" max="4" width="12.7109375" style="25" customWidth="1"/>
    <col min="5" max="11" width="9.7109375" style="136" customWidth="1"/>
    <col min="12" max="16384" width="9.140625" style="136"/>
  </cols>
  <sheetData>
    <row r="1" spans="1:8" ht="15" x14ac:dyDescent="0.3">
      <c r="A1" s="26" t="s">
        <v>29</v>
      </c>
      <c r="B1" s="25" t="str">
        <f>'1. key ratios'!B1</f>
        <v>სს ტერაბანკი</v>
      </c>
      <c r="C1" s="27"/>
    </row>
    <row r="2" spans="1:8" ht="15" x14ac:dyDescent="0.3">
      <c r="A2" s="26" t="s">
        <v>31</v>
      </c>
      <c r="B2" s="86">
        <f>'1. key ratios'!B2</f>
        <v>43738</v>
      </c>
      <c r="C2" s="29"/>
      <c r="D2" s="30"/>
      <c r="E2" s="176"/>
      <c r="F2" s="176"/>
      <c r="G2" s="176"/>
      <c r="H2" s="176"/>
    </row>
    <row r="3" spans="1:8" ht="15" x14ac:dyDescent="0.3">
      <c r="A3" s="26"/>
      <c r="B3" s="27"/>
      <c r="C3" s="29"/>
      <c r="D3" s="30"/>
      <c r="E3" s="176"/>
      <c r="F3" s="176"/>
      <c r="G3" s="176"/>
      <c r="H3" s="176"/>
    </row>
    <row r="4" spans="1:8" ht="15" customHeight="1" thickBot="1" x14ac:dyDescent="0.35">
      <c r="A4" s="177" t="s">
        <v>222</v>
      </c>
      <c r="B4" s="178" t="s">
        <v>16</v>
      </c>
      <c r="C4" s="177"/>
      <c r="D4" s="179" t="s">
        <v>66</v>
      </c>
    </row>
    <row r="5" spans="1:8" ht="15" customHeight="1" x14ac:dyDescent="0.2">
      <c r="A5" s="180" t="s">
        <v>33</v>
      </c>
      <c r="B5" s="181"/>
      <c r="C5" s="182">
        <f>'1. key ratios'!C5</f>
        <v>43738</v>
      </c>
      <c r="D5" s="183">
        <f>'1. key ratios'!D5</f>
        <v>43646</v>
      </c>
    </row>
    <row r="6" spans="1:8" ht="15" customHeight="1" x14ac:dyDescent="0.2">
      <c r="A6" s="184">
        <v>1</v>
      </c>
      <c r="B6" s="185" t="s">
        <v>223</v>
      </c>
      <c r="C6" s="186">
        <f>C7+C9+C10</f>
        <v>851701780.24924874</v>
      </c>
      <c r="D6" s="187">
        <f>D7+D9+D10</f>
        <v>841740949.00412798</v>
      </c>
    </row>
    <row r="7" spans="1:8" ht="15" customHeight="1" x14ac:dyDescent="0.2">
      <c r="A7" s="184">
        <v>1.1000000000000001</v>
      </c>
      <c r="B7" s="188" t="s">
        <v>224</v>
      </c>
      <c r="C7" s="189">
        <v>830328758.83649874</v>
      </c>
      <c r="D7" s="190">
        <v>818338202.55512047</v>
      </c>
    </row>
    <row r="8" spans="1:8" ht="25.5" x14ac:dyDescent="0.2">
      <c r="A8" s="184" t="s">
        <v>225</v>
      </c>
      <c r="B8" s="191" t="s">
        <v>226</v>
      </c>
      <c r="C8" s="192">
        <v>0</v>
      </c>
      <c r="D8" s="193">
        <v>0</v>
      </c>
    </row>
    <row r="9" spans="1:8" ht="15" customHeight="1" x14ac:dyDescent="0.2">
      <c r="A9" s="184">
        <v>1.2</v>
      </c>
      <c r="B9" s="188" t="s">
        <v>227</v>
      </c>
      <c r="C9" s="189">
        <v>20922176.100749992</v>
      </c>
      <c r="D9" s="190">
        <v>22085811.657007504</v>
      </c>
    </row>
    <row r="10" spans="1:8" ht="15" customHeight="1" x14ac:dyDescent="0.2">
      <c r="A10" s="184">
        <v>1.3</v>
      </c>
      <c r="B10" s="194" t="s">
        <v>27</v>
      </c>
      <c r="C10" s="192">
        <v>450845.31200000003</v>
      </c>
      <c r="D10" s="190">
        <v>1316934.7920000001</v>
      </c>
    </row>
    <row r="11" spans="1:8" ht="15" customHeight="1" x14ac:dyDescent="0.2">
      <c r="A11" s="184">
        <v>2</v>
      </c>
      <c r="B11" s="185" t="s">
        <v>228</v>
      </c>
      <c r="C11" s="189">
        <v>5514430.8000000464</v>
      </c>
      <c r="D11" s="190">
        <v>7192656.3000000585</v>
      </c>
    </row>
    <row r="12" spans="1:8" ht="15" customHeight="1" x14ac:dyDescent="0.2">
      <c r="A12" s="184">
        <v>3</v>
      </c>
      <c r="B12" s="185" t="s">
        <v>229</v>
      </c>
      <c r="C12" s="192">
        <v>83668962.21874997</v>
      </c>
      <c r="D12" s="190">
        <v>83668962.21874997</v>
      </c>
    </row>
    <row r="13" spans="1:8" ht="15" customHeight="1" thickBot="1" x14ac:dyDescent="0.25">
      <c r="A13" s="195">
        <v>4</v>
      </c>
      <c r="B13" s="196" t="s">
        <v>230</v>
      </c>
      <c r="C13" s="197">
        <f>C6+C11+C12</f>
        <v>940885173.26799881</v>
      </c>
      <c r="D13" s="198">
        <f>D6+D11+D12</f>
        <v>932602567.52287805</v>
      </c>
    </row>
    <row r="14" spans="1:8" ht="15" customHeight="1" x14ac:dyDescent="0.2">
      <c r="A14" s="199"/>
      <c r="B14" s="200"/>
      <c r="C14" s="201"/>
      <c r="D14" s="201"/>
    </row>
    <row r="15" spans="1:8" x14ac:dyDescent="0.2">
      <c r="B15" s="202"/>
      <c r="C15" s="203"/>
    </row>
    <row r="16" spans="1:8" x14ac:dyDescent="0.2">
      <c r="B16" s="202"/>
      <c r="C16" s="203"/>
    </row>
    <row r="17" spans="2:3" x14ac:dyDescent="0.2">
      <c r="B17" s="202"/>
      <c r="C17" s="203"/>
    </row>
    <row r="18" spans="2:3" x14ac:dyDescent="0.2">
      <c r="B18" s="202"/>
      <c r="C18" s="203"/>
    </row>
    <row r="19" spans="2:3" x14ac:dyDescent="0.2">
      <c r="B19" s="202"/>
    </row>
    <row r="20" spans="2:3" x14ac:dyDescent="0.2">
      <c r="B20" s="202"/>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2"/>
  <sheetViews>
    <sheetView zoomScaleNormal="100" workbookViewId="0">
      <pane xSplit="1" ySplit="4" topLeftCell="B23" activePane="bottomRight" state="frozen"/>
      <selection activeCell="C12" sqref="C12"/>
      <selection pane="topRight" activeCell="C12" sqref="C12"/>
      <selection pane="bottomLeft" activeCell="C12" sqref="C12"/>
      <selection pane="bottomRight" activeCell="C12" sqref="C12"/>
    </sheetView>
  </sheetViews>
  <sheetFormatPr defaultRowHeight="15.75" x14ac:dyDescent="0.3"/>
  <cols>
    <col min="1" max="1" width="9.5703125" style="25" bestFit="1" customWidth="1"/>
    <col min="2" max="2" width="89.28515625" style="204" customWidth="1"/>
    <col min="3" max="3" width="9.140625" style="204"/>
  </cols>
  <sheetData>
    <row r="1" spans="1:3" x14ac:dyDescent="0.3">
      <c r="A1" s="25" t="s">
        <v>29</v>
      </c>
      <c r="B1" s="204" t="str">
        <f>'1. key ratios'!B1</f>
        <v>სს ტერაბანკი</v>
      </c>
    </row>
    <row r="2" spans="1:3" x14ac:dyDescent="0.3">
      <c r="A2" s="25" t="s">
        <v>31</v>
      </c>
      <c r="B2" s="205">
        <f>'1. key ratios'!B2</f>
        <v>43738</v>
      </c>
    </row>
    <row r="4" spans="1:3" ht="16.5" customHeight="1" thickBot="1" x14ac:dyDescent="0.35">
      <c r="A4" s="206" t="s">
        <v>231</v>
      </c>
      <c r="B4" s="207" t="s">
        <v>17</v>
      </c>
      <c r="C4" s="208"/>
    </row>
    <row r="5" spans="1:3" x14ac:dyDescent="0.3">
      <c r="A5" s="209"/>
      <c r="B5" s="210" t="s">
        <v>232</v>
      </c>
      <c r="C5" s="211"/>
    </row>
    <row r="6" spans="1:3" x14ac:dyDescent="0.3">
      <c r="A6" s="212">
        <v>1</v>
      </c>
      <c r="B6" s="212" t="s">
        <v>233</v>
      </c>
      <c r="C6" s="213"/>
    </row>
    <row r="7" spans="1:3" x14ac:dyDescent="0.3">
      <c r="A7" s="212">
        <v>2</v>
      </c>
      <c r="B7" s="212" t="s">
        <v>234</v>
      </c>
      <c r="C7" s="213"/>
    </row>
    <row r="8" spans="1:3" x14ac:dyDescent="0.3">
      <c r="A8" s="212">
        <v>3</v>
      </c>
      <c r="B8" s="212" t="s">
        <v>235</v>
      </c>
      <c r="C8" s="213"/>
    </row>
    <row r="9" spans="1:3" x14ac:dyDescent="0.3">
      <c r="A9" s="212">
        <v>4</v>
      </c>
      <c r="B9" s="212" t="s">
        <v>236</v>
      </c>
      <c r="C9" s="214"/>
    </row>
    <row r="10" spans="1:3" x14ac:dyDescent="0.3">
      <c r="A10" s="212">
        <v>5</v>
      </c>
      <c r="B10" s="212" t="s">
        <v>237</v>
      </c>
      <c r="C10" s="214"/>
    </row>
    <row r="11" spans="1:3" x14ac:dyDescent="0.3">
      <c r="A11" s="212">
        <v>6</v>
      </c>
      <c r="B11" s="212" t="s">
        <v>238</v>
      </c>
      <c r="C11" s="213"/>
    </row>
    <row r="12" spans="1:3" x14ac:dyDescent="0.3">
      <c r="A12" s="215"/>
    </row>
    <row r="13" spans="1:3" x14ac:dyDescent="0.3">
      <c r="A13" s="215"/>
      <c r="B13" s="216" t="s">
        <v>239</v>
      </c>
      <c r="C13" s="217"/>
    </row>
    <row r="14" spans="1:3" x14ac:dyDescent="0.3">
      <c r="A14" s="212">
        <v>1</v>
      </c>
      <c r="B14" s="212" t="s">
        <v>240</v>
      </c>
      <c r="C14" s="218"/>
    </row>
    <row r="15" spans="1:3" x14ac:dyDescent="0.3">
      <c r="A15" s="212">
        <v>2</v>
      </c>
      <c r="B15" s="212" t="s">
        <v>241</v>
      </c>
      <c r="C15" s="218"/>
    </row>
    <row r="16" spans="1:3" x14ac:dyDescent="0.3">
      <c r="A16" s="212">
        <v>3</v>
      </c>
      <c r="B16" s="212" t="s">
        <v>242</v>
      </c>
      <c r="C16" s="218"/>
    </row>
    <row r="17" spans="1:3" x14ac:dyDescent="0.3">
      <c r="A17" s="212">
        <v>4</v>
      </c>
      <c r="B17" s="212" t="s">
        <v>243</v>
      </c>
      <c r="C17" s="218"/>
    </row>
    <row r="18" spans="1:3" x14ac:dyDescent="0.3">
      <c r="A18" s="212">
        <v>5</v>
      </c>
      <c r="B18" s="212" t="s">
        <v>244</v>
      </c>
      <c r="C18" s="218"/>
    </row>
    <row r="19" spans="1:3" ht="15.75" customHeight="1" x14ac:dyDescent="0.3">
      <c r="A19" s="215"/>
      <c r="B19" s="212"/>
      <c r="C19" s="214"/>
    </row>
    <row r="20" spans="1:3" ht="30" customHeight="1" x14ac:dyDescent="0.25">
      <c r="A20" s="215"/>
      <c r="B20" s="219" t="s">
        <v>245</v>
      </c>
      <c r="C20" s="220"/>
    </row>
    <row r="21" spans="1:3" x14ac:dyDescent="0.3">
      <c r="A21" s="212">
        <v>1</v>
      </c>
      <c r="B21" s="212" t="s">
        <v>4</v>
      </c>
      <c r="C21" s="221">
        <v>0.45</v>
      </c>
    </row>
    <row r="22" spans="1:3" x14ac:dyDescent="0.3">
      <c r="A22" s="212">
        <v>2</v>
      </c>
      <c r="B22" s="212" t="s">
        <v>246</v>
      </c>
      <c r="C22" s="221">
        <v>0.2</v>
      </c>
    </row>
    <row r="23" spans="1:3" x14ac:dyDescent="0.3">
      <c r="A23" s="212">
        <v>3</v>
      </c>
      <c r="B23" s="212" t="s">
        <v>247</v>
      </c>
      <c r="C23" s="221">
        <v>0.15</v>
      </c>
    </row>
    <row r="24" spans="1:3" x14ac:dyDescent="0.3">
      <c r="A24" s="212">
        <v>4</v>
      </c>
      <c r="B24" s="212" t="s">
        <v>248</v>
      </c>
      <c r="C24" s="221">
        <v>0.15</v>
      </c>
    </row>
    <row r="25" spans="1:3" x14ac:dyDescent="0.3">
      <c r="A25" s="212">
        <v>5</v>
      </c>
      <c r="B25" s="212" t="s">
        <v>249</v>
      </c>
      <c r="C25" s="221">
        <v>0.05</v>
      </c>
    </row>
    <row r="26" spans="1:3" ht="15.75" customHeight="1" x14ac:dyDescent="0.3">
      <c r="A26" s="215"/>
      <c r="B26" s="212"/>
      <c r="C26" s="213"/>
    </row>
    <row r="27" spans="1:3" ht="29.25" customHeight="1" x14ac:dyDescent="0.25">
      <c r="A27" s="215"/>
      <c r="B27" s="219" t="s">
        <v>250</v>
      </c>
      <c r="C27" s="220"/>
    </row>
    <row r="28" spans="1:3" x14ac:dyDescent="0.3">
      <c r="A28" s="212">
        <v>1</v>
      </c>
      <c r="B28" s="212" t="s">
        <v>4</v>
      </c>
      <c r="C28" s="221">
        <v>0.45</v>
      </c>
    </row>
    <row r="29" spans="1:3" x14ac:dyDescent="0.3">
      <c r="A29" s="212">
        <v>2</v>
      </c>
      <c r="B29" s="212" t="s">
        <v>246</v>
      </c>
      <c r="C29" s="222">
        <v>0.2</v>
      </c>
    </row>
    <row r="30" spans="1:3" x14ac:dyDescent="0.3">
      <c r="A30" s="212">
        <v>3</v>
      </c>
      <c r="B30" s="212" t="s">
        <v>247</v>
      </c>
      <c r="C30" s="222">
        <v>0.15</v>
      </c>
    </row>
    <row r="31" spans="1:3" x14ac:dyDescent="0.3">
      <c r="A31" s="212">
        <v>4</v>
      </c>
      <c r="B31" s="212" t="s">
        <v>248</v>
      </c>
      <c r="C31" s="222">
        <v>0.15</v>
      </c>
    </row>
    <row r="32" spans="1:3" ht="16.5" thickBot="1" x14ac:dyDescent="0.35">
      <c r="A32" s="223"/>
      <c r="B32" s="224"/>
      <c r="C32" s="225"/>
    </row>
  </sheetData>
  <mergeCells count="4">
    <mergeCell ref="B5:C5"/>
    <mergeCell ref="B13:C13"/>
    <mergeCell ref="B20:C20"/>
    <mergeCell ref="B27:C27"/>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topLeftCell="A13" zoomScaleNormal="100" workbookViewId="0">
      <selection activeCell="B22" sqref="B22"/>
    </sheetView>
  </sheetViews>
  <sheetFormatPr defaultRowHeight="15" x14ac:dyDescent="0.25"/>
  <cols>
    <col min="1" max="1" width="9.5703125" style="25" bestFit="1" customWidth="1"/>
    <col min="2" max="2" width="47.5703125" style="25" customWidth="1"/>
    <col min="3" max="3" width="28" style="25" customWidth="1"/>
    <col min="4" max="4" width="22.42578125" style="25" customWidth="1"/>
    <col min="5" max="5" width="18.85546875" style="25" customWidth="1"/>
    <col min="6" max="6" width="11.140625" bestFit="1" customWidth="1"/>
    <col min="7" max="7" width="16" bestFit="1" customWidth="1"/>
    <col min="11" max="11" width="12" bestFit="1" customWidth="1"/>
  </cols>
  <sheetData>
    <row r="1" spans="1:10" ht="15.75" x14ac:dyDescent="0.3">
      <c r="A1" s="26" t="s">
        <v>29</v>
      </c>
      <c r="B1" s="25" t="str">
        <f>'1. key ratios'!B1</f>
        <v>სს ტერაბანკი</v>
      </c>
    </row>
    <row r="2" spans="1:10" s="226" customFormat="1" ht="15.75" customHeight="1" x14ac:dyDescent="0.3">
      <c r="A2" s="226" t="s">
        <v>31</v>
      </c>
      <c r="B2" s="86">
        <f>'1. key ratios'!B2</f>
        <v>43738</v>
      </c>
    </row>
    <row r="3" spans="1:10" s="226" customFormat="1" ht="15.75" customHeight="1" x14ac:dyDescent="0.3"/>
    <row r="4" spans="1:10" s="226" customFormat="1" ht="15.75" customHeight="1" thickBot="1" x14ac:dyDescent="0.35">
      <c r="A4" s="227" t="s">
        <v>251</v>
      </c>
      <c r="B4" s="228" t="s">
        <v>18</v>
      </c>
      <c r="C4" s="229"/>
      <c r="D4" s="229"/>
      <c r="E4" s="229"/>
    </row>
    <row r="5" spans="1:10" s="234" customFormat="1" ht="17.45" customHeight="1" x14ac:dyDescent="0.25">
      <c r="A5" s="230"/>
      <c r="B5" s="231"/>
      <c r="C5" s="232" t="s">
        <v>252</v>
      </c>
      <c r="D5" s="232" t="s">
        <v>253</v>
      </c>
      <c r="E5" s="233" t="s">
        <v>254</v>
      </c>
    </row>
    <row r="6" spans="1:10" s="239" customFormat="1" ht="14.45" customHeight="1" x14ac:dyDescent="0.25">
      <c r="A6" s="235"/>
      <c r="B6" s="236" t="s">
        <v>255</v>
      </c>
      <c r="C6" s="236" t="s">
        <v>256</v>
      </c>
      <c r="D6" s="237" t="s">
        <v>257</v>
      </c>
      <c r="E6" s="238"/>
      <c r="G6"/>
    </row>
    <row r="7" spans="1:10" s="239" customFormat="1" ht="99.6" customHeight="1" x14ac:dyDescent="0.25">
      <c r="A7" s="235"/>
      <c r="B7" s="236"/>
      <c r="C7" s="236"/>
      <c r="D7" s="240" t="s">
        <v>258</v>
      </c>
      <c r="E7" s="241" t="s">
        <v>259</v>
      </c>
      <c r="G7"/>
    </row>
    <row r="8" spans="1:10" x14ac:dyDescent="0.25">
      <c r="A8" s="235"/>
      <c r="B8" s="242" t="s">
        <v>73</v>
      </c>
      <c r="C8" s="243">
        <f>'2. RC'!E7</f>
        <v>34623729.890000015</v>
      </c>
      <c r="D8" s="244"/>
      <c r="E8" s="245">
        <f>C8-D8</f>
        <v>34623729.890000015</v>
      </c>
      <c r="J8" s="246"/>
    </row>
    <row r="9" spans="1:10" x14ac:dyDescent="0.25">
      <c r="A9" s="235"/>
      <c r="B9" s="242" t="s">
        <v>74</v>
      </c>
      <c r="C9" s="243">
        <f>'2. RC'!E8</f>
        <v>166585733.73999998</v>
      </c>
      <c r="D9" s="244"/>
      <c r="E9" s="245">
        <f t="shared" ref="E9:E20" si="0">C9-D9</f>
        <v>166585733.73999998</v>
      </c>
      <c r="J9" s="246"/>
    </row>
    <row r="10" spans="1:10" x14ac:dyDescent="0.25">
      <c r="A10" s="235"/>
      <c r="B10" s="242" t="s">
        <v>260</v>
      </c>
      <c r="C10" s="243">
        <f>'2. RC'!E9</f>
        <v>19971401.029999997</v>
      </c>
      <c r="D10" s="244"/>
      <c r="E10" s="245">
        <f t="shared" si="0"/>
        <v>19971401.029999997</v>
      </c>
      <c r="J10" s="246"/>
    </row>
    <row r="11" spans="1:10" ht="25.5" x14ac:dyDescent="0.25">
      <c r="A11" s="235"/>
      <c r="B11" s="242" t="s">
        <v>76</v>
      </c>
      <c r="C11" s="243">
        <f>'2. RC'!E10</f>
        <v>0</v>
      </c>
      <c r="D11" s="244"/>
      <c r="E11" s="245">
        <f t="shared" si="0"/>
        <v>0</v>
      </c>
      <c r="J11" s="246"/>
    </row>
    <row r="12" spans="1:10" x14ac:dyDescent="0.25">
      <c r="A12" s="235"/>
      <c r="B12" s="242" t="s">
        <v>77</v>
      </c>
      <c r="C12" s="243">
        <f>'2. RC'!E11</f>
        <v>52962059.619999997</v>
      </c>
      <c r="D12" s="244"/>
      <c r="E12" s="245">
        <f t="shared" si="0"/>
        <v>52962059.619999997</v>
      </c>
      <c r="J12" s="246"/>
    </row>
    <row r="13" spans="1:10" x14ac:dyDescent="0.25">
      <c r="A13" s="235"/>
      <c r="B13" s="242" t="s">
        <v>78</v>
      </c>
      <c r="C13" s="243">
        <f>'2. RC'!E12</f>
        <v>725614140.25999892</v>
      </c>
      <c r="D13" s="244"/>
      <c r="E13" s="245">
        <f t="shared" si="0"/>
        <v>725614140.25999892</v>
      </c>
      <c r="F13" s="56"/>
      <c r="G13" s="175"/>
      <c r="J13" s="246"/>
    </row>
    <row r="14" spans="1:10" x14ac:dyDescent="0.25">
      <c r="A14" s="235"/>
      <c r="B14" s="247" t="s">
        <v>79</v>
      </c>
      <c r="C14" s="248">
        <f>'2. RC'!E13</f>
        <v>-38884293.530000106</v>
      </c>
      <c r="D14" s="244"/>
      <c r="E14" s="245">
        <f t="shared" si="0"/>
        <v>-38884293.530000106</v>
      </c>
      <c r="G14" s="175"/>
      <c r="J14" s="246"/>
    </row>
    <row r="15" spans="1:10" x14ac:dyDescent="0.25">
      <c r="A15" s="235"/>
      <c r="B15" s="242" t="s">
        <v>261</v>
      </c>
      <c r="C15" s="243">
        <f>'2. RC'!E14</f>
        <v>686729846.72999883</v>
      </c>
      <c r="D15" s="244"/>
      <c r="E15" s="245">
        <f t="shared" si="0"/>
        <v>686729846.72999883</v>
      </c>
      <c r="G15" s="175"/>
      <c r="J15" s="246"/>
    </row>
    <row r="16" spans="1:10" ht="25.5" x14ac:dyDescent="0.25">
      <c r="A16" s="235"/>
      <c r="B16" s="242" t="s">
        <v>81</v>
      </c>
      <c r="C16" s="243">
        <f>'2. RC'!E15</f>
        <v>5091850.1899999958</v>
      </c>
      <c r="D16" s="244"/>
      <c r="E16" s="245">
        <f t="shared" si="0"/>
        <v>5091850.1899999958</v>
      </c>
      <c r="G16" s="175"/>
      <c r="J16" s="246"/>
    </row>
    <row r="17" spans="1:11" x14ac:dyDescent="0.25">
      <c r="A17" s="235"/>
      <c r="B17" s="242" t="s">
        <v>82</v>
      </c>
      <c r="C17" s="243">
        <f>'2. RC'!E16</f>
        <v>1639651.5700000026</v>
      </c>
      <c r="D17" s="244"/>
      <c r="E17" s="245">
        <f t="shared" si="0"/>
        <v>1639651.5700000026</v>
      </c>
      <c r="F17" s="249"/>
      <c r="G17" s="175"/>
      <c r="J17" s="246"/>
      <c r="K17" s="250"/>
    </row>
    <row r="18" spans="1:11" x14ac:dyDescent="0.25">
      <c r="A18" s="235"/>
      <c r="B18" s="242" t="s">
        <v>83</v>
      </c>
      <c r="C18" s="243">
        <f>'2. RC'!E17</f>
        <v>0</v>
      </c>
      <c r="D18" s="244"/>
      <c r="E18" s="245">
        <f t="shared" si="0"/>
        <v>0</v>
      </c>
      <c r="G18" s="175"/>
      <c r="J18" s="246"/>
    </row>
    <row r="19" spans="1:11" ht="25.5" x14ac:dyDescent="0.25">
      <c r="A19" s="235"/>
      <c r="B19" s="242" t="s">
        <v>84</v>
      </c>
      <c r="C19" s="243">
        <f>'2. RC'!E18</f>
        <v>47474796.749999993</v>
      </c>
      <c r="D19" s="244">
        <f>'9. Capital'!C15</f>
        <v>23375717</v>
      </c>
      <c r="E19" s="245">
        <f t="shared" si="0"/>
        <v>24099079.749999993</v>
      </c>
      <c r="G19" s="175"/>
      <c r="J19" s="246"/>
    </row>
    <row r="20" spans="1:11" x14ac:dyDescent="0.25">
      <c r="A20" s="235"/>
      <c r="B20" s="242" t="s">
        <v>85</v>
      </c>
      <c r="C20" s="243">
        <f>'2. RC'!E19</f>
        <v>7446696.4469999997</v>
      </c>
      <c r="D20" s="244"/>
      <c r="E20" s="245">
        <f t="shared" si="0"/>
        <v>7446696.4469999997</v>
      </c>
      <c r="G20" s="175"/>
      <c r="J20" s="246"/>
    </row>
    <row r="21" spans="1:11" ht="51.75" thickBot="1" x14ac:dyDescent="0.3">
      <c r="A21" s="251"/>
      <c r="B21" s="252" t="s">
        <v>262</v>
      </c>
      <c r="C21" s="253">
        <f>SUM(C8:C12)+SUM(C15:C20)</f>
        <v>1022525765.9669988</v>
      </c>
      <c r="D21" s="253">
        <f>SUM(D8:D12)+SUM(D15:D20)</f>
        <v>23375717</v>
      </c>
      <c r="E21" s="254">
        <f>SUM(E8:E12)+SUM(E15:E20)</f>
        <v>999150048.96699882</v>
      </c>
      <c r="G21" s="175"/>
    </row>
    <row r="22" spans="1:11" x14ac:dyDescent="0.25">
      <c r="A22"/>
      <c r="C22"/>
      <c r="D22"/>
      <c r="E22" s="250"/>
      <c r="G22" s="175"/>
    </row>
    <row r="23" spans="1:11" x14ac:dyDescent="0.25">
      <c r="A23"/>
      <c r="B23" s="255"/>
      <c r="C23" s="175"/>
      <c r="D23" s="175"/>
      <c r="E23" s="175"/>
      <c r="G23" s="175"/>
    </row>
    <row r="24" spans="1:11" x14ac:dyDescent="0.25">
      <c r="B24" s="256"/>
      <c r="C24" s="257"/>
      <c r="D24" s="257"/>
      <c r="E24" s="257"/>
    </row>
    <row r="25" spans="1:11" s="25" customFormat="1" x14ac:dyDescent="0.25">
      <c r="B25" s="258"/>
      <c r="E25" s="259"/>
      <c r="F25"/>
      <c r="G25"/>
    </row>
    <row r="26" spans="1:11" s="25" customFormat="1" x14ac:dyDescent="0.25">
      <c r="B26" s="260"/>
      <c r="D26" s="115"/>
      <c r="E26" s="259"/>
      <c r="F26"/>
      <c r="G26"/>
    </row>
    <row r="27" spans="1:11" s="25" customFormat="1" x14ac:dyDescent="0.25">
      <c r="B27" s="258"/>
      <c r="D27" s="115"/>
      <c r="F27"/>
      <c r="G27"/>
    </row>
    <row r="28" spans="1:11" s="25" customFormat="1" x14ac:dyDescent="0.25">
      <c r="B28" s="258"/>
      <c r="F28"/>
      <c r="G28"/>
    </row>
    <row r="29" spans="1:11" s="25" customFormat="1" x14ac:dyDescent="0.25">
      <c r="B29" s="258"/>
      <c r="F29"/>
      <c r="G29"/>
    </row>
    <row r="30" spans="1:11" s="25" customFormat="1" x14ac:dyDescent="0.25">
      <c r="B30" s="258"/>
      <c r="F30"/>
      <c r="G30"/>
    </row>
    <row r="31" spans="1:11" s="25" customFormat="1" x14ac:dyDescent="0.25">
      <c r="B31" s="258"/>
      <c r="F31"/>
      <c r="G31"/>
    </row>
    <row r="32" spans="1:11" s="25" customFormat="1" x14ac:dyDescent="0.25">
      <c r="B32" s="260"/>
      <c r="F32"/>
      <c r="G32"/>
    </row>
    <row r="33" spans="2:7" s="25" customFormat="1" x14ac:dyDescent="0.25">
      <c r="B33" s="260"/>
      <c r="F33"/>
      <c r="G33"/>
    </row>
    <row r="34" spans="2:7" s="25" customFormat="1" x14ac:dyDescent="0.25">
      <c r="B34" s="260"/>
      <c r="F34"/>
      <c r="G34"/>
    </row>
    <row r="35" spans="2:7" s="25" customFormat="1" x14ac:dyDescent="0.25">
      <c r="B35" s="260"/>
      <c r="F35"/>
      <c r="G35"/>
    </row>
    <row r="36" spans="2:7" s="25" customFormat="1" x14ac:dyDescent="0.25">
      <c r="B36" s="260"/>
      <c r="F36"/>
      <c r="G36"/>
    </row>
    <row r="37" spans="2:7" s="25" customFormat="1" x14ac:dyDescent="0.25">
      <c r="B37" s="260"/>
      <c r="F37"/>
      <c r="G37"/>
    </row>
  </sheetData>
  <mergeCells count="3">
    <mergeCell ref="B6:B7"/>
    <mergeCell ref="C6:C7"/>
    <mergeCell ref="D6:E6"/>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B15" sqref="B15:C17"/>
    </sheetView>
  </sheetViews>
  <sheetFormatPr defaultRowHeight="15" outlineLevelRow="1" x14ac:dyDescent="0.25"/>
  <cols>
    <col min="1" max="1" width="9.5703125" style="25" bestFit="1" customWidth="1"/>
    <col min="2" max="2" width="114.28515625" style="25" customWidth="1"/>
    <col min="3" max="3" width="18.85546875" style="261"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6" t="s">
        <v>29</v>
      </c>
      <c r="B1" s="25" t="str">
        <f>'1. key ratios'!B1</f>
        <v>სს ტერაბანკი</v>
      </c>
    </row>
    <row r="2" spans="1:6" s="226" customFormat="1" ht="15.75" customHeight="1" x14ac:dyDescent="0.3">
      <c r="A2" s="226" t="s">
        <v>31</v>
      </c>
      <c r="B2" s="86">
        <f>'1. key ratios'!B2</f>
        <v>43738</v>
      </c>
      <c r="C2" s="261"/>
      <c r="D2"/>
      <c r="E2"/>
      <c r="F2"/>
    </row>
    <row r="3" spans="1:6" s="226" customFormat="1" ht="15.75" customHeight="1" x14ac:dyDescent="0.3">
      <c r="C3" s="261"/>
      <c r="D3"/>
      <c r="E3"/>
      <c r="F3"/>
    </row>
    <row r="4" spans="1:6" s="226" customFormat="1" ht="26.25" thickBot="1" x14ac:dyDescent="0.35">
      <c r="A4" s="226" t="s">
        <v>263</v>
      </c>
      <c r="B4" s="262" t="s">
        <v>19</v>
      </c>
      <c r="C4" s="263" t="s">
        <v>66</v>
      </c>
      <c r="D4"/>
      <c r="E4"/>
      <c r="F4"/>
    </row>
    <row r="5" spans="1:6" ht="26.25" x14ac:dyDescent="0.25">
      <c r="A5" s="264">
        <v>1</v>
      </c>
      <c r="B5" s="265" t="s">
        <v>264</v>
      </c>
      <c r="C5" s="266">
        <f>'7. LI1'!E21</f>
        <v>999150048.96699882</v>
      </c>
    </row>
    <row r="6" spans="1:6" s="17" customFormat="1" x14ac:dyDescent="0.25">
      <c r="A6" s="267">
        <v>2.1</v>
      </c>
      <c r="B6" s="268" t="s">
        <v>265</v>
      </c>
      <c r="C6" s="269">
        <v>55200190.029999986</v>
      </c>
      <c r="D6" s="270"/>
    </row>
    <row r="7" spans="1:6" s="275" customFormat="1" ht="25.5" outlineLevel="1" x14ac:dyDescent="0.25">
      <c r="A7" s="271">
        <v>2.2000000000000002</v>
      </c>
      <c r="B7" s="272" t="s">
        <v>266</v>
      </c>
      <c r="C7" s="273">
        <v>22542265.600000001</v>
      </c>
      <c r="D7" s="274"/>
    </row>
    <row r="8" spans="1:6" s="275" customFormat="1" ht="26.25" x14ac:dyDescent="0.25">
      <c r="A8" s="271">
        <v>3</v>
      </c>
      <c r="B8" s="276" t="s">
        <v>267</v>
      </c>
      <c r="C8" s="277">
        <f>SUM(C5:C7)</f>
        <v>1076892504.5969987</v>
      </c>
      <c r="D8" s="274"/>
    </row>
    <row r="9" spans="1:6" s="17" customFormat="1" x14ac:dyDescent="0.25">
      <c r="A9" s="267">
        <v>4</v>
      </c>
      <c r="B9" s="278" t="s">
        <v>268</v>
      </c>
      <c r="C9" s="279">
        <v>12500780.93000011</v>
      </c>
      <c r="D9" s="270"/>
    </row>
    <row r="10" spans="1:6" s="275" customFormat="1" ht="25.5" outlineLevel="1" x14ac:dyDescent="0.25">
      <c r="A10" s="271">
        <v>5.0999999999999996</v>
      </c>
      <c r="B10" s="272" t="s">
        <v>269</v>
      </c>
      <c r="C10" s="273">
        <v>-26000681.295999996</v>
      </c>
    </row>
    <row r="11" spans="1:6" s="275" customFormat="1" ht="25.5" outlineLevel="1" x14ac:dyDescent="0.25">
      <c r="A11" s="271">
        <v>5.2</v>
      </c>
      <c r="B11" s="272" t="s">
        <v>270</v>
      </c>
      <c r="C11" s="273">
        <f>-(C7-'15. CCR'!E21)</f>
        <v>-22091420.288000003</v>
      </c>
    </row>
    <row r="12" spans="1:6" s="275" customFormat="1" x14ac:dyDescent="0.25">
      <c r="A12" s="271">
        <v>6</v>
      </c>
      <c r="B12" s="280" t="s">
        <v>271</v>
      </c>
      <c r="C12" s="273">
        <v>0</v>
      </c>
    </row>
    <row r="13" spans="1:6" s="275" customFormat="1" ht="15.75" thickBot="1" x14ac:dyDescent="0.3">
      <c r="A13" s="281">
        <v>7</v>
      </c>
      <c r="B13" s="282" t="s">
        <v>272</v>
      </c>
      <c r="C13" s="283">
        <f>SUM(C8:C12)</f>
        <v>1041301183.9429988</v>
      </c>
      <c r="D13" s="274"/>
    </row>
    <row r="14" spans="1:6" x14ac:dyDescent="0.25">
      <c r="C14" s="284"/>
      <c r="D14" s="56"/>
      <c r="E14" s="56"/>
    </row>
    <row r="15" spans="1:6" x14ac:dyDescent="0.25">
      <c r="D15" s="250"/>
    </row>
    <row r="16" spans="1:6" x14ac:dyDescent="0.25">
      <c r="D16" s="250"/>
    </row>
    <row r="17" spans="2:9" s="25" customFormat="1" x14ac:dyDescent="0.25">
      <c r="C17" s="261"/>
      <c r="D17" s="56"/>
      <c r="E17"/>
      <c r="F17"/>
      <c r="G17"/>
      <c r="H17"/>
      <c r="I17"/>
    </row>
    <row r="18" spans="2:9" s="25" customFormat="1" x14ac:dyDescent="0.25">
      <c r="B18" s="285"/>
      <c r="C18" s="261"/>
      <c r="D18"/>
      <c r="E18"/>
      <c r="F18"/>
      <c r="G18"/>
      <c r="H18"/>
      <c r="I18"/>
    </row>
    <row r="19" spans="2:9" s="25" customFormat="1" x14ac:dyDescent="0.25">
      <c r="B19" s="285"/>
      <c r="C19" s="261"/>
      <c r="D19"/>
      <c r="E19"/>
      <c r="F19"/>
      <c r="G19"/>
      <c r="H19"/>
      <c r="I19"/>
    </row>
    <row r="20" spans="2:9" s="25" customFormat="1" x14ac:dyDescent="0.25">
      <c r="B20" s="260"/>
      <c r="C20" s="286"/>
      <c r="D20" s="56"/>
      <c r="E20"/>
      <c r="F20"/>
      <c r="G20"/>
      <c r="H20"/>
      <c r="I20"/>
    </row>
    <row r="21" spans="2:9" s="25" customFormat="1" x14ac:dyDescent="0.25">
      <c r="B21" s="258"/>
      <c r="C21" s="261"/>
      <c r="D21"/>
      <c r="E21"/>
      <c r="F21"/>
      <c r="G21"/>
      <c r="H21"/>
      <c r="I21"/>
    </row>
    <row r="22" spans="2:9" s="25" customFormat="1" x14ac:dyDescent="0.25">
      <c r="B22" s="260"/>
      <c r="C22" s="287"/>
      <c r="D22"/>
      <c r="E22"/>
      <c r="F22"/>
      <c r="G22"/>
      <c r="H22"/>
      <c r="I22"/>
    </row>
    <row r="23" spans="2:9" s="25" customFormat="1" x14ac:dyDescent="0.25">
      <c r="B23" s="258"/>
      <c r="C23" s="287"/>
      <c r="D23"/>
      <c r="E23"/>
      <c r="F23"/>
      <c r="G23"/>
      <c r="H23"/>
      <c r="I23"/>
    </row>
    <row r="24" spans="2:9" s="25" customFormat="1" x14ac:dyDescent="0.25">
      <c r="B24" s="258"/>
      <c r="C24" s="261"/>
      <c r="D24"/>
      <c r="E24"/>
      <c r="F24"/>
      <c r="G24"/>
      <c r="H24"/>
      <c r="I24"/>
    </row>
    <row r="25" spans="2:9" s="25" customFormat="1" x14ac:dyDescent="0.25">
      <c r="B25" s="258"/>
      <c r="C25" s="261"/>
      <c r="D25"/>
      <c r="E25"/>
      <c r="F25"/>
      <c r="G25"/>
      <c r="H25"/>
      <c r="I25"/>
    </row>
    <row r="26" spans="2:9" s="25" customFormat="1" x14ac:dyDescent="0.25">
      <c r="B26" s="258"/>
      <c r="C26" s="261"/>
      <c r="D26"/>
      <c r="E26"/>
      <c r="F26"/>
      <c r="G26"/>
      <c r="H26"/>
      <c r="I26"/>
    </row>
    <row r="27" spans="2:9" s="25" customFormat="1" x14ac:dyDescent="0.25">
      <c r="B27" s="258"/>
      <c r="C27" s="261"/>
      <c r="D27"/>
      <c r="E27"/>
      <c r="F27"/>
      <c r="G27"/>
      <c r="H27"/>
      <c r="I27"/>
    </row>
    <row r="28" spans="2:9" s="25" customFormat="1" x14ac:dyDescent="0.25">
      <c r="B28" s="260"/>
      <c r="C28" s="261"/>
      <c r="D28"/>
      <c r="E28"/>
      <c r="F28"/>
      <c r="G28"/>
      <c r="H28"/>
      <c r="I28"/>
    </row>
    <row r="29" spans="2:9" s="25" customFormat="1" x14ac:dyDescent="0.25">
      <c r="B29" s="260"/>
      <c r="C29" s="261"/>
      <c r="D29"/>
      <c r="E29"/>
      <c r="F29"/>
      <c r="G29"/>
      <c r="H29"/>
      <c r="I29"/>
    </row>
    <row r="30" spans="2:9" s="25" customFormat="1" x14ac:dyDescent="0.25">
      <c r="B30" s="260"/>
      <c r="C30" s="261"/>
      <c r="D30"/>
      <c r="E30"/>
      <c r="F30"/>
      <c r="G30"/>
      <c r="H30"/>
      <c r="I30"/>
    </row>
    <row r="31" spans="2:9" s="25" customFormat="1" x14ac:dyDescent="0.25">
      <c r="B31" s="260"/>
      <c r="C31" s="261"/>
      <c r="D31"/>
      <c r="E31"/>
      <c r="F31"/>
      <c r="G31"/>
      <c r="H31"/>
      <c r="I31"/>
    </row>
    <row r="32" spans="2:9" s="25" customFormat="1" x14ac:dyDescent="0.25">
      <c r="B32" s="260"/>
      <c r="C32" s="261"/>
      <c r="D32"/>
      <c r="E32"/>
      <c r="F32"/>
      <c r="G32"/>
      <c r="H32"/>
      <c r="I32"/>
    </row>
    <row r="33" spans="2:9" s="25" customFormat="1" x14ac:dyDescent="0.25">
      <c r="B33" s="260"/>
      <c r="C33" s="261"/>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KE+J8aR1gzo/DMTMqRZUVikPh5ohPi2Y4uqfPahFWPY=</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mSt8pqTP0j7io/82NQLrSCijFenCFnUM8tmW8ickyEo=</DigestValue>
    </Reference>
  </SignedInfo>
  <SignatureValue>ehZgE7FoAOQvXJKgkCp1v6i25cyUhJi/LMLZJZLD3oDsNFy19ZikKH8sqNQWtyLVO2KEyXBT4kRG
vLPwUgt1IhFD9m715DoMgHO4fri9H/0TKeSg1lnTEe5R0s9PhwWNx0quz7H45a7+4GeocqvDb3xP
uYQ/ryD5luFZbKSDIaAGhWZ47koSUj5S6b2fGoJdTSdmj4zEPUG0XzHc7rY6OC0UVcc9Y3lTj5Va
WBvr6/oF0rHx+iSjgV98spCa0EU5Zd7BSyX8TEURN4Nok6k64PI/isP4optvwA/xuIDXjqgQRJUn
iAp5lVKFoLG86iWKn1B7WcpNutn2F1+42vu/WA==</SignatureValue>
  <KeyInfo>
    <X509Data>
      <X509Certificate>MIIGOjCCBSKgAwIBAgIKeiEa6gACAADZFzANBgkqhkiG9w0BAQsFADBKMRIwEAYKCZImiZPyLGQBGRYCZ2UxEzARBgoJkiaJk/IsZAEZFgNuYmcxHzAdBgNVBAMTFk5CRyBDbGFzcyAyIElOVCBTdWIgQ0EwHhcNMTgxMTAxMDgyNTU1WhcNMjAxMDMxMDgyNTU1WjA4MRUwEwYDVQQKEwxKU0MgVGVyYWJhbmsxHzAdBgNVBAMTFkJLUyAtIE5hdGlhIEJlbmFzaHZpbGkwggEiMA0GCSqGSIb3DQEBAQUAA4IBDwAwggEKAoIBAQDixF5Z+Wyx3zYps6oZXXFu6e/b75YnKibLktXlBIFOahMNNfX+tHAaVyc0+JKP42mjmEt+hcR+Tn1xy5wO+1QF/IS36tJVT4Jhbx+OM0QZlW/U58eTborgo2/sV2q9OUuf9oBzdTvPlXvV+cuvAy9ZZAynvtRlZocyiESTwXxy6/8HzwF3x/5o9nwsl8bqyhbt7PFIu+zLdMy+OJIL4CM9+TiQSqOhFj/4lQ/suqRixifjduGLSuLhRAL94ApsXZz59MR7RRXY4fEZi63hjPeBo3Cr+Jeew78KYqDMXs7eVDTN7nm+gL+P1dwJ2cV4v1rIuoK2wY4YEpwMTChdteg/AgMBAAGjggMyMIIDLjA8BgkrBgEEAYI3FQcELzAtBiUrBgEEAYI3FQjmsmCDjfVEhoGZCYO4oUqDvoRxBIPEkTOEg4hdAgFkAgEjMB0GA1UdJQQWMBQGCCsGAQUFBwMCBggrBgEFBQcDBDALBgNVHQ8EBAMCB4AwJwYJKwYBBAGCNxUKBBowGDAKBggrBgEFBQcDAjAKBggrBgEFBQcDBDAdBgNVHQ4EFgQUNu9ni8m2sKwj6T0hvB07L7owNd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Mf9yJIdfn6Shy6NqDfIvJC/4saMe0Qo4OZsf8kyMrPtLz4kDQXq67Bld/R37Tqy3DjQLOF3uIFimoxgdbvnfxTAjGVcChWEXUMHMS5xUu0egzsRM1YRYFj+bh2n5X455kaYYTKkCOkgcChwtbthHYQTQhR9gRpUXEanJnwfztdY03d1F6KQwhmDtuwRx1xQ2af0rmtbHEfvujcYh9pWQVR/2wsWmJPF3yvMPpHquwH2gxddvODmLw9hKBr3YWkqAphc8t/ck2pfquIb9qmIvxjHx1P5Zcfbm1aCQ3wGpZiYkLFaSJEAfJoCCCo21K0RxT243WDoFP69laozp5eP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Transform>
          <Transform Algorithm="http://www.w3.org/TR/2001/REC-xml-c14n-20010315"/>
        </Transforms>
        <DigestMethod Algorithm="http://www.w3.org/2001/04/xmlenc#sha256"/>
        <DigestValue>m5+fLv7U5NPC9REntkwEIrITOocnJIl/UdOx/cxIQ7o=</DigestValue>
      </Reference>
      <Reference URI="/xl/calcChain.xml?ContentType=application/vnd.openxmlformats-officedocument.spreadsheetml.calcChain+xml">
        <DigestMethod Algorithm="http://www.w3.org/2001/04/xmlenc#sha256"/>
        <DigestValue>czxKv9YNh8wN6DR4yb10DRs/kGTGzeYpp16zbOQZ+yc=</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3+EPGLAN2rilkE1GdVD95lwBv7fKjIl0YTvdq2dwzsw=</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eDMUH53RpcHSa1jnuZTTmADs7l3DA0G7Zk3xJCgNs2U=</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CRe5jvT3AeaEqBu6j+QSFc7Kd5dZdkto5BP4omjbxwo=</DigestValue>
      </Reference>
      <Reference URI="/xl/externalLinks/externalLink3.xml?ContentType=application/vnd.openxmlformats-officedocument.spreadsheetml.externalLink+xml">
        <DigestMethod Algorithm="http://www.w3.org/2001/04/xmlenc#sha256"/>
        <DigestValue>SfYYKZf9sUfkFBlXSm3oG/IKn+cMQ3g6d0tIu0KpFOM=</DigestValue>
      </Reference>
      <Reference URI="/xl/externalLinks/externalLink4.xml?ContentType=application/vnd.openxmlformats-officedocument.spreadsheetml.externalLink+xml">
        <DigestMethod Algorithm="http://www.w3.org/2001/04/xmlenc#sha256"/>
        <DigestValue>6JnUOBSq3qQvivt7ufR97pp2ohiag4WY+ApzR/9Roh4=</DigestValue>
      </Reference>
      <Reference URI="/xl/externalLinks/externalLink5.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JjrlEZe4ByiM1kFsJ4jxGGeCzO8xsdlZsbA9xU7gPdA=</DigestValue>
      </Reference>
      <Reference URI="/xl/printerSettings/printerSettings10.bin?ContentType=application/vnd.openxmlformats-officedocument.spreadsheetml.printerSettings">
        <DigestMethod Algorithm="http://www.w3.org/2001/04/xmlenc#sha256"/>
        <DigestValue>JjrlEZe4ByiM1kFsJ4jxGGeCzO8xsdlZsbA9xU7gPdA=</DigestValue>
      </Reference>
      <Reference URI="/xl/printerSettings/printerSettings11.bin?ContentType=application/vnd.openxmlformats-officedocument.spreadsheetml.printerSettings">
        <DigestMethod Algorithm="http://www.w3.org/2001/04/xmlenc#sha256"/>
        <DigestValue>1n4ISaUJK8Xew19HWS9jWDY0S1ca447iJ77oAZmdoiw=</DigestValue>
      </Reference>
      <Reference URI="/xl/printerSettings/printerSettings12.bin?ContentType=application/vnd.openxmlformats-officedocument.spreadsheetml.printerSettings">
        <DigestMethod Algorithm="http://www.w3.org/2001/04/xmlenc#sha256"/>
        <DigestValue>JjrlEZe4ByiM1kFsJ4jxGGeCzO8xsdlZsbA9xU7gPdA=</DigestValue>
      </Reference>
      <Reference URI="/xl/printerSettings/printerSettings13.bin?ContentType=application/vnd.openxmlformats-officedocument.spreadsheetml.printerSettings">
        <DigestMethod Algorithm="http://www.w3.org/2001/04/xmlenc#sha256"/>
        <DigestValue>wXVARum644vK3BKRqRfTkuAB6U/W/k9bFFtMUhiA1+U=</DigestValue>
      </Reference>
      <Reference URI="/xl/printerSettings/printerSettings14.bin?ContentType=application/vnd.openxmlformats-officedocument.spreadsheetml.printerSettings">
        <DigestMethod Algorithm="http://www.w3.org/2001/04/xmlenc#sha256"/>
        <DigestValue>wXVARum644vK3BKRqRfTkuAB6U/W/k9bFFtMUhiA1+U=</DigestValue>
      </Reference>
      <Reference URI="/xl/printerSettings/printerSettings15.bin?ContentType=application/vnd.openxmlformats-officedocument.spreadsheetml.printerSettings">
        <DigestMethod Algorithm="http://www.w3.org/2001/04/xmlenc#sha256"/>
        <DigestValue>wXVARum644vK3BKRqRfTkuAB6U/W/k9bFFtMUhiA1+U=</DigestValue>
      </Reference>
      <Reference URI="/xl/printerSettings/printerSettings16.bin?ContentType=application/vnd.openxmlformats-officedocument.spreadsheetml.printerSettings">
        <DigestMethod Algorithm="http://www.w3.org/2001/04/xmlenc#sha256"/>
        <DigestValue>JWXKOKhAA7rCucDPuenETbDnkTw7UQsbWsC+gxHYI3M=</DigestValue>
      </Reference>
      <Reference URI="/xl/printerSettings/printerSettings17.bin?ContentType=application/vnd.openxmlformats-officedocument.spreadsheetml.printerSettings">
        <DigestMethod Algorithm="http://www.w3.org/2001/04/xmlenc#sha256"/>
        <DigestValue>wXVARum644vK3BKRqRfTkuAB6U/W/k9bFFtMUhiA1+U=</DigestValue>
      </Reference>
      <Reference URI="/xl/printerSettings/printerSettings2.bin?ContentType=application/vnd.openxmlformats-officedocument.spreadsheetml.printerSettings">
        <DigestMethod Algorithm="http://www.w3.org/2001/04/xmlenc#sha256"/>
        <DigestValue>JjrlEZe4ByiM1kFsJ4jxGGeCzO8xsdlZsbA9xU7gPdA=</DigestValue>
      </Reference>
      <Reference URI="/xl/printerSettings/printerSettings3.bin?ContentType=application/vnd.openxmlformats-officedocument.spreadsheetml.printerSettings">
        <DigestMethod Algorithm="http://www.w3.org/2001/04/xmlenc#sha256"/>
        <DigestValue>JjrlEZe4ByiM1kFsJ4jxGGeCzO8xsdlZsbA9xU7gPdA=</DigestValue>
      </Reference>
      <Reference URI="/xl/printerSettings/printerSettings4.bin?ContentType=application/vnd.openxmlformats-officedocument.spreadsheetml.printerSettings">
        <DigestMethod Algorithm="http://www.w3.org/2001/04/xmlenc#sha256"/>
        <DigestValue>JjrlEZe4ByiM1kFsJ4jxGGeCzO8xsdlZsbA9xU7gPdA=</DigestValue>
      </Reference>
      <Reference URI="/xl/printerSettings/printerSettings5.bin?ContentType=application/vnd.openxmlformats-officedocument.spreadsheetml.printerSettings">
        <DigestMethod Algorithm="http://www.w3.org/2001/04/xmlenc#sha256"/>
        <DigestValue>JjrlEZe4ByiM1kFsJ4jxGGeCzO8xsdlZsbA9xU7gPdA=</DigestValue>
      </Reference>
      <Reference URI="/xl/printerSettings/printerSettings6.bin?ContentType=application/vnd.openxmlformats-officedocument.spreadsheetml.printerSettings">
        <DigestMethod Algorithm="http://www.w3.org/2001/04/xmlenc#sha256"/>
        <DigestValue>JjrlEZe4ByiM1kFsJ4jxGGeCzO8xsdlZsbA9xU7gPdA=</DigestValue>
      </Reference>
      <Reference URI="/xl/printerSettings/printerSettings7.bin?ContentType=application/vnd.openxmlformats-officedocument.spreadsheetml.printerSettings">
        <DigestMethod Algorithm="http://www.w3.org/2001/04/xmlenc#sha256"/>
        <DigestValue>JjrlEZe4ByiM1kFsJ4jxGGeCzO8xsdlZsbA9xU7gPdA=</DigestValue>
      </Reference>
      <Reference URI="/xl/printerSettings/printerSettings8.bin?ContentType=application/vnd.openxmlformats-officedocument.spreadsheetml.printerSettings">
        <DigestMethod Algorithm="http://www.w3.org/2001/04/xmlenc#sha256"/>
        <DigestValue>wXVARum644vK3BKRqRfTkuAB6U/W/k9bFFtMUhiA1+U=</DigestValue>
      </Reference>
      <Reference URI="/xl/printerSettings/printerSettings9.bin?ContentType=application/vnd.openxmlformats-officedocument.spreadsheetml.printerSettings">
        <DigestMethod Algorithm="http://www.w3.org/2001/04/xmlenc#sha256"/>
        <DigestValue>JjrlEZe4ByiM1kFsJ4jxGGeCzO8xsdlZsbA9xU7gPdA=</DigestValue>
      </Reference>
      <Reference URI="/xl/sharedStrings.xml?ContentType=application/vnd.openxmlformats-officedocument.spreadsheetml.sharedStrings+xml">
        <DigestMethod Algorithm="http://www.w3.org/2001/04/xmlenc#sha256"/>
        <DigestValue>mN5uwmOtYvxTIgN0dw0K8vLYsLv056Gwy4JSg/t20fk=</DigestValue>
      </Reference>
      <Reference URI="/xl/styles.xml?ContentType=application/vnd.openxmlformats-officedocument.spreadsheetml.styles+xml">
        <DigestMethod Algorithm="http://www.w3.org/2001/04/xmlenc#sha256"/>
        <DigestValue>wHHMFh2ysj6koH5ttlS1vdSjXbEMZIBXlb9ZX32U+L8=</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6MTbSvf76S+20oj4NqMNDwsvBxx/eB0mOOg/vFFXSMg=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L5D+Y3H0W9B1plwe8K5938pjBN5E0QAyyStzyZ9MAaU=</DigestValue>
      </Reference>
      <Reference URI="/xl/worksheets/sheet10.xml?ContentType=application/vnd.openxmlformats-officedocument.spreadsheetml.worksheet+xml">
        <DigestMethod Algorithm="http://www.w3.org/2001/04/xmlenc#sha256"/>
        <DigestValue>l2eOChcGiFqWlhC/vp5yafUfBEGFdB/W3nmxcGtL8bc=</DigestValue>
      </Reference>
      <Reference URI="/xl/worksheets/sheet11.xml?ContentType=application/vnd.openxmlformats-officedocument.spreadsheetml.worksheet+xml">
        <DigestMethod Algorithm="http://www.w3.org/2001/04/xmlenc#sha256"/>
        <DigestValue>jYgYbNZscb/p+EIow0MftYx3c0KaYRdlkoI6QzYtvvI=</DigestValue>
      </Reference>
      <Reference URI="/xl/worksheets/sheet12.xml?ContentType=application/vnd.openxmlformats-officedocument.spreadsheetml.worksheet+xml">
        <DigestMethod Algorithm="http://www.w3.org/2001/04/xmlenc#sha256"/>
        <DigestValue>RZHDdQxtqq2pXiV8buGwf7teiPSufQfltu8g6KbTFS0=</DigestValue>
      </Reference>
      <Reference URI="/xl/worksheets/sheet13.xml?ContentType=application/vnd.openxmlformats-officedocument.spreadsheetml.worksheet+xml">
        <DigestMethod Algorithm="http://www.w3.org/2001/04/xmlenc#sha256"/>
        <DigestValue>OJ69we4kkkgYvBx5yHh3UmTNn+0fARIoFKaBrBbFDZI=</DigestValue>
      </Reference>
      <Reference URI="/xl/worksheets/sheet14.xml?ContentType=application/vnd.openxmlformats-officedocument.spreadsheetml.worksheet+xml">
        <DigestMethod Algorithm="http://www.w3.org/2001/04/xmlenc#sha256"/>
        <DigestValue>UFV3b6XqUh+OAjXYEhFUjp5g3d8qU1yuvIJFYhT/dVE=</DigestValue>
      </Reference>
      <Reference URI="/xl/worksheets/sheet15.xml?ContentType=application/vnd.openxmlformats-officedocument.spreadsheetml.worksheet+xml">
        <DigestMethod Algorithm="http://www.w3.org/2001/04/xmlenc#sha256"/>
        <DigestValue>JcNq4cm2+p36pZ48wqw2teQ1soZOyMNCu7Cs/dQjoic=</DigestValue>
      </Reference>
      <Reference URI="/xl/worksheets/sheet16.xml?ContentType=application/vnd.openxmlformats-officedocument.spreadsheetml.worksheet+xml">
        <DigestMethod Algorithm="http://www.w3.org/2001/04/xmlenc#sha256"/>
        <DigestValue>mAlC2u9m8Lcku5dXA6mGs0Bn0UxTmJ5Tl/ol+qDbFtA=</DigestValue>
      </Reference>
      <Reference URI="/xl/worksheets/sheet17.xml?ContentType=application/vnd.openxmlformats-officedocument.spreadsheetml.worksheet+xml">
        <DigestMethod Algorithm="http://www.w3.org/2001/04/xmlenc#sha256"/>
        <DigestValue>LUe+8xL2Yi11VOMdEi8OkDKmyql6W9bIXGRQein8yoQ=</DigestValue>
      </Reference>
      <Reference URI="/xl/worksheets/sheet18.xml?ContentType=application/vnd.openxmlformats-officedocument.spreadsheetml.worksheet+xml">
        <DigestMethod Algorithm="http://www.w3.org/2001/04/xmlenc#sha256"/>
        <DigestValue>fkv9/aA7UGAGCyNBf9m0Q6iVDNn/NB77BN8E1R+pvjg=</DigestValue>
      </Reference>
      <Reference URI="/xl/worksheets/sheet2.xml?ContentType=application/vnd.openxmlformats-officedocument.spreadsheetml.worksheet+xml">
        <DigestMethod Algorithm="http://www.w3.org/2001/04/xmlenc#sha256"/>
        <DigestValue>nZLa8/Ge26+D80hzPaL2dvPltg/3CQhJ3p58ijGA4nc=</DigestValue>
      </Reference>
      <Reference URI="/xl/worksheets/sheet3.xml?ContentType=application/vnd.openxmlformats-officedocument.spreadsheetml.worksheet+xml">
        <DigestMethod Algorithm="http://www.w3.org/2001/04/xmlenc#sha256"/>
        <DigestValue>Ewf01svKXrVIOgE9Xt/KkY2SoaRshtBQr4MTVlcFnYs=</DigestValue>
      </Reference>
      <Reference URI="/xl/worksheets/sheet4.xml?ContentType=application/vnd.openxmlformats-officedocument.spreadsheetml.worksheet+xml">
        <DigestMethod Algorithm="http://www.w3.org/2001/04/xmlenc#sha256"/>
        <DigestValue>Fg2Pqhhu6E3o1hP8MA9CcHoa5yhnnKhZ9mj6YZQvtuo=</DigestValue>
      </Reference>
      <Reference URI="/xl/worksheets/sheet5.xml?ContentType=application/vnd.openxmlformats-officedocument.spreadsheetml.worksheet+xml">
        <DigestMethod Algorithm="http://www.w3.org/2001/04/xmlenc#sha256"/>
        <DigestValue>vfA1T8QnjymIwzPdZn6FTkZfj9a33abU8u174NVnYXk=</DigestValue>
      </Reference>
      <Reference URI="/xl/worksheets/sheet6.xml?ContentType=application/vnd.openxmlformats-officedocument.spreadsheetml.worksheet+xml">
        <DigestMethod Algorithm="http://www.w3.org/2001/04/xmlenc#sha256"/>
        <DigestValue>Uj7AIhRsW0767Jl29hgvz0318D7X2rQP7dT8/OagpZ8=</DigestValue>
      </Reference>
      <Reference URI="/xl/worksheets/sheet7.xml?ContentType=application/vnd.openxmlformats-officedocument.spreadsheetml.worksheet+xml">
        <DigestMethod Algorithm="http://www.w3.org/2001/04/xmlenc#sha256"/>
        <DigestValue>tuNyi++cpNS8ZSpbtbpE4lhqPgva4K8J0PYw8ugoJXY=</DigestValue>
      </Reference>
      <Reference URI="/xl/worksheets/sheet8.xml?ContentType=application/vnd.openxmlformats-officedocument.spreadsheetml.worksheet+xml">
        <DigestMethod Algorithm="http://www.w3.org/2001/04/xmlenc#sha256"/>
        <DigestValue>GF9hTinBIHdI8lL6iKYgt7oa3ipozznwF4CCAPr3KB0=</DigestValue>
      </Reference>
      <Reference URI="/xl/worksheets/sheet9.xml?ContentType=application/vnd.openxmlformats-officedocument.spreadsheetml.worksheet+xml">
        <DigestMethod Algorithm="http://www.w3.org/2001/04/xmlenc#sha256"/>
        <DigestValue>DV/R+IqvZgSI2lkWyWm/uJukmb3Wp8eKELyL417m4/k=</DigestValue>
      </Reference>
    </Manifest>
    <SignatureProperties>
      <SignatureProperty Id="idSignatureTime" Target="#idPackageSignature">
        <mdssi:SignatureTime xmlns:mdssi="http://schemas.openxmlformats.org/package/2006/digital-signature">
          <mdssi:Format>YYYY-MM-DDThh:mm:ssTZD</mdssi:Format>
          <mdssi:Value>2019-10-31T05:32:57Z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2019-10-31T05:32:57Z</xd:SigningTime>
          <xd:SigningCertificate>
            <xd:Cert>
              <xd:CertDigest>
                <DigestMethod Algorithm="http://www.w3.org/2001/04/xmlenc#sha256"/>
                <DigestValue>80AFyi1aNvwtlX3l3g+8o+sr+jSPySVr9CY15heSUc0=</DigestValue>
              </xd:CertDigest>
              <xd:IssuerSerial>
                <X509IssuerName>CN=NBG Class 2 INT Sub CA, DC=nbg, DC=ge</X509IssuerName>
                <X509SerialNumber>576739392827127257684247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s1AiwEqXi1QYadeYF4qbURUwbCQut956lCTtRjrnvfQ=</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9lQXTUyOjfShzlSMHQ7nxknkT12CUYYBJFxgYF5ul1w=</DigestValue>
    </Reference>
  </SignedInfo>
  <SignatureValue>I3UXJsoZi7fbdH4DkYHpVhIw6GDoEp27frUinoKWLY1rOI7K2Way1odYycfLEQ6xu+Du52X4S32A
FxtoxzYxNbwZ/wI7v33fShcA1oNUaEMhZZdb1sKDvci+GZD/omugmhn63YlA13vceTvWYnoN962d
FCl0gfXhNgY0G1ATtvzoQ0WOw0Unc9z/FDJdfg/0bzrgpYBYnw5PvVqjZLeIZRkVaB/C0LIFSoJV
b7L8DFxocbHn1hak3OSXT/idUZXZBdoCNkotGDiLv8puqDUbNHLBfdL5JPuvhXJB+rys5Ya+yXQO
ATXf96dd3/0jhqTPwh9FW0J/g92uI+oeBP2m6w==</SignatureValue>
  <KeyInfo>
    <X509Data>
      <X509Certificate>MIIGNzCCBR+gAwIBAgIKciOLlQACAAEQSjANBgkqhkiG9w0BAQsFADBKMRIwEAYKCZImiZPyLGQBGRYCZ2UxEzARBgoJkiaJk/IsZAEZFgNuYmcxHzAdBgNVBAMTFk5CRyBDbGFzcyAyIElOVCBTdWIgQ0EwHhcNMTkwMjI2MTMzODA3WhcNMjEwMjI1MTMzODA3WjA1MRUwEwYDVQQKEwxKU0MgVGVyYWJhbmsxHDAaBgNVBAMTE0JLUyAtIFNvcGhpZSBKdWdlbGkwggEiMA0GCSqGSIb3DQEBAQUAA4IBDwAwggEKAoIBAQDohH+d9PVu7GNwEsMQcCfY8Ku9uM0WhDFo9bTUfeJ4W1DOL+pND5rrR5lWnlesTj4JNLny2wtzOrNJbkMu11LjyXMr+nNHuwyNy9s9PxJmWFnR1nicJjZ9i4kCZijtKb9zkVEkG2TIYPLBwUvbfDTT+GzOfTbax3XwNGZrawZ1V35e8tZmQdDsf/E/nWkToufTsXwt68+Joie1ViQexFJ8ahciAqlipOZVFs7z8noB9u9iKr0RN/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aUU73ZKLJDH9g3mCFejppY/Wm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X3ZE4t4Hhssl6PTbEYkwnOTjqIa+JaqvKsiSy6wtmfsSFAC/xhAFB9qZXQqWP17uHsck5Sav6gZJYPA0Q5771/DomIG1AwRVpO/RSLHVJPivlP46EU8TFntI2PFZ+IvFZLTfNJ5K7ndjBegfVop2ridRYb99Itra/DckTBKRFy8wzrwkf9D58U08W7WhgpwgeTXmF71fp9c14f89Dfs3TuqEzie9vKArX32lD8P6B29CUgcjsQHtTbBalKSrMpezjNgnb3kEjQbDBGlRAnsS8Di5x8I4W7PQBmqvjhJcgyX+Y3SXXl+alOHaIqJ6/VI1H5YVMLNNvxJ46oGWN3w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m5+fLv7U5NPC9REntkwEIrITOocnJIl/UdOx/cxIQ7o=</DigestValue>
      </Reference>
      <Reference URI="/xl/calcChain.xml?ContentType=application/vnd.openxmlformats-officedocument.spreadsheetml.calcChain+xml">
        <DigestMethod Algorithm="http://www.w3.org/2001/04/xmlenc#sha256"/>
        <DigestValue>czxKv9YNh8wN6DR4yb10DRs/kGTGzeYpp16zbOQZ+yc=</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3+EPGLAN2rilkE1GdVD95lwBv7fKjIl0YTvdq2dwzsw=</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eDMUH53RpcHSa1jnuZTTmADs7l3DA0G7Zk3xJCgNs2U=</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CRe5jvT3AeaEqBu6j+QSFc7Kd5dZdkto5BP4omjbxwo=</DigestValue>
      </Reference>
      <Reference URI="/xl/externalLinks/externalLink3.xml?ContentType=application/vnd.openxmlformats-officedocument.spreadsheetml.externalLink+xml">
        <DigestMethod Algorithm="http://www.w3.org/2001/04/xmlenc#sha256"/>
        <DigestValue>SfYYKZf9sUfkFBlXSm3oG/IKn+cMQ3g6d0tIu0KpFOM=</DigestValue>
      </Reference>
      <Reference URI="/xl/externalLinks/externalLink4.xml?ContentType=application/vnd.openxmlformats-officedocument.spreadsheetml.externalLink+xml">
        <DigestMethod Algorithm="http://www.w3.org/2001/04/xmlenc#sha256"/>
        <DigestValue>6JnUOBSq3qQvivt7ufR97pp2ohiag4WY+ApzR/9Roh4=</DigestValue>
      </Reference>
      <Reference URI="/xl/externalLinks/externalLink5.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JjrlEZe4ByiM1kFsJ4jxGGeCzO8xsdlZsbA9xU7gPdA=</DigestValue>
      </Reference>
      <Reference URI="/xl/printerSettings/printerSettings10.bin?ContentType=application/vnd.openxmlformats-officedocument.spreadsheetml.printerSettings">
        <DigestMethod Algorithm="http://www.w3.org/2001/04/xmlenc#sha256"/>
        <DigestValue>JjrlEZe4ByiM1kFsJ4jxGGeCzO8xsdlZsbA9xU7gPdA=</DigestValue>
      </Reference>
      <Reference URI="/xl/printerSettings/printerSettings11.bin?ContentType=application/vnd.openxmlformats-officedocument.spreadsheetml.printerSettings">
        <DigestMethod Algorithm="http://www.w3.org/2001/04/xmlenc#sha256"/>
        <DigestValue>1n4ISaUJK8Xew19HWS9jWDY0S1ca447iJ77oAZmdoiw=</DigestValue>
      </Reference>
      <Reference URI="/xl/printerSettings/printerSettings12.bin?ContentType=application/vnd.openxmlformats-officedocument.spreadsheetml.printerSettings">
        <DigestMethod Algorithm="http://www.w3.org/2001/04/xmlenc#sha256"/>
        <DigestValue>JjrlEZe4ByiM1kFsJ4jxGGeCzO8xsdlZsbA9xU7gPdA=</DigestValue>
      </Reference>
      <Reference URI="/xl/printerSettings/printerSettings13.bin?ContentType=application/vnd.openxmlformats-officedocument.spreadsheetml.printerSettings">
        <DigestMethod Algorithm="http://www.w3.org/2001/04/xmlenc#sha256"/>
        <DigestValue>wXVARum644vK3BKRqRfTkuAB6U/W/k9bFFtMUhiA1+U=</DigestValue>
      </Reference>
      <Reference URI="/xl/printerSettings/printerSettings14.bin?ContentType=application/vnd.openxmlformats-officedocument.spreadsheetml.printerSettings">
        <DigestMethod Algorithm="http://www.w3.org/2001/04/xmlenc#sha256"/>
        <DigestValue>wXVARum644vK3BKRqRfTkuAB6U/W/k9bFFtMUhiA1+U=</DigestValue>
      </Reference>
      <Reference URI="/xl/printerSettings/printerSettings15.bin?ContentType=application/vnd.openxmlformats-officedocument.spreadsheetml.printerSettings">
        <DigestMethod Algorithm="http://www.w3.org/2001/04/xmlenc#sha256"/>
        <DigestValue>wXVARum644vK3BKRqRfTkuAB6U/W/k9bFFtMUhiA1+U=</DigestValue>
      </Reference>
      <Reference URI="/xl/printerSettings/printerSettings16.bin?ContentType=application/vnd.openxmlformats-officedocument.spreadsheetml.printerSettings">
        <DigestMethod Algorithm="http://www.w3.org/2001/04/xmlenc#sha256"/>
        <DigestValue>JWXKOKhAA7rCucDPuenETbDnkTw7UQsbWsC+gxHYI3M=</DigestValue>
      </Reference>
      <Reference URI="/xl/printerSettings/printerSettings17.bin?ContentType=application/vnd.openxmlformats-officedocument.spreadsheetml.printerSettings">
        <DigestMethod Algorithm="http://www.w3.org/2001/04/xmlenc#sha256"/>
        <DigestValue>wXVARum644vK3BKRqRfTkuAB6U/W/k9bFFtMUhiA1+U=</DigestValue>
      </Reference>
      <Reference URI="/xl/printerSettings/printerSettings2.bin?ContentType=application/vnd.openxmlformats-officedocument.spreadsheetml.printerSettings">
        <DigestMethod Algorithm="http://www.w3.org/2001/04/xmlenc#sha256"/>
        <DigestValue>JjrlEZe4ByiM1kFsJ4jxGGeCzO8xsdlZsbA9xU7gPdA=</DigestValue>
      </Reference>
      <Reference URI="/xl/printerSettings/printerSettings3.bin?ContentType=application/vnd.openxmlformats-officedocument.spreadsheetml.printerSettings">
        <DigestMethod Algorithm="http://www.w3.org/2001/04/xmlenc#sha256"/>
        <DigestValue>JjrlEZe4ByiM1kFsJ4jxGGeCzO8xsdlZsbA9xU7gPdA=</DigestValue>
      </Reference>
      <Reference URI="/xl/printerSettings/printerSettings4.bin?ContentType=application/vnd.openxmlformats-officedocument.spreadsheetml.printerSettings">
        <DigestMethod Algorithm="http://www.w3.org/2001/04/xmlenc#sha256"/>
        <DigestValue>JjrlEZe4ByiM1kFsJ4jxGGeCzO8xsdlZsbA9xU7gPdA=</DigestValue>
      </Reference>
      <Reference URI="/xl/printerSettings/printerSettings5.bin?ContentType=application/vnd.openxmlformats-officedocument.spreadsheetml.printerSettings">
        <DigestMethod Algorithm="http://www.w3.org/2001/04/xmlenc#sha256"/>
        <DigestValue>JjrlEZe4ByiM1kFsJ4jxGGeCzO8xsdlZsbA9xU7gPdA=</DigestValue>
      </Reference>
      <Reference URI="/xl/printerSettings/printerSettings6.bin?ContentType=application/vnd.openxmlformats-officedocument.spreadsheetml.printerSettings">
        <DigestMethod Algorithm="http://www.w3.org/2001/04/xmlenc#sha256"/>
        <DigestValue>JjrlEZe4ByiM1kFsJ4jxGGeCzO8xsdlZsbA9xU7gPdA=</DigestValue>
      </Reference>
      <Reference URI="/xl/printerSettings/printerSettings7.bin?ContentType=application/vnd.openxmlformats-officedocument.spreadsheetml.printerSettings">
        <DigestMethod Algorithm="http://www.w3.org/2001/04/xmlenc#sha256"/>
        <DigestValue>JjrlEZe4ByiM1kFsJ4jxGGeCzO8xsdlZsbA9xU7gPdA=</DigestValue>
      </Reference>
      <Reference URI="/xl/printerSettings/printerSettings8.bin?ContentType=application/vnd.openxmlformats-officedocument.spreadsheetml.printerSettings">
        <DigestMethod Algorithm="http://www.w3.org/2001/04/xmlenc#sha256"/>
        <DigestValue>wXVARum644vK3BKRqRfTkuAB6U/W/k9bFFtMUhiA1+U=</DigestValue>
      </Reference>
      <Reference URI="/xl/printerSettings/printerSettings9.bin?ContentType=application/vnd.openxmlformats-officedocument.spreadsheetml.printerSettings">
        <DigestMethod Algorithm="http://www.w3.org/2001/04/xmlenc#sha256"/>
        <DigestValue>JjrlEZe4ByiM1kFsJ4jxGGeCzO8xsdlZsbA9xU7gPdA=</DigestValue>
      </Reference>
      <Reference URI="/xl/sharedStrings.xml?ContentType=application/vnd.openxmlformats-officedocument.spreadsheetml.sharedStrings+xml">
        <DigestMethod Algorithm="http://www.w3.org/2001/04/xmlenc#sha256"/>
        <DigestValue>mN5uwmOtYvxTIgN0dw0K8vLYsLv056Gwy4JSg/t20fk=</DigestValue>
      </Reference>
      <Reference URI="/xl/styles.xml?ContentType=application/vnd.openxmlformats-officedocument.spreadsheetml.styles+xml">
        <DigestMethod Algorithm="http://www.w3.org/2001/04/xmlenc#sha256"/>
        <DigestValue>wHHMFh2ysj6koH5ttlS1vdSjXbEMZIBXlb9ZX32U+L8=</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6MTbSvf76S+20oj4NqMNDwsvBxx/eB0mOOg/vFFXSMg=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L5D+Y3H0W9B1plwe8K5938pjBN5E0QAyyStzyZ9MAaU=</DigestValue>
      </Reference>
      <Reference URI="/xl/worksheets/sheet10.xml?ContentType=application/vnd.openxmlformats-officedocument.spreadsheetml.worksheet+xml">
        <DigestMethod Algorithm="http://www.w3.org/2001/04/xmlenc#sha256"/>
        <DigestValue>l2eOChcGiFqWlhC/vp5yafUfBEGFdB/W3nmxcGtL8bc=</DigestValue>
      </Reference>
      <Reference URI="/xl/worksheets/sheet11.xml?ContentType=application/vnd.openxmlformats-officedocument.spreadsheetml.worksheet+xml">
        <DigestMethod Algorithm="http://www.w3.org/2001/04/xmlenc#sha256"/>
        <DigestValue>jYgYbNZscb/p+EIow0MftYx3c0KaYRdlkoI6QzYtvvI=</DigestValue>
      </Reference>
      <Reference URI="/xl/worksheets/sheet12.xml?ContentType=application/vnd.openxmlformats-officedocument.spreadsheetml.worksheet+xml">
        <DigestMethod Algorithm="http://www.w3.org/2001/04/xmlenc#sha256"/>
        <DigestValue>RZHDdQxtqq2pXiV8buGwf7teiPSufQfltu8g6KbTFS0=</DigestValue>
      </Reference>
      <Reference URI="/xl/worksheets/sheet13.xml?ContentType=application/vnd.openxmlformats-officedocument.spreadsheetml.worksheet+xml">
        <DigestMethod Algorithm="http://www.w3.org/2001/04/xmlenc#sha256"/>
        <DigestValue>OJ69we4kkkgYvBx5yHh3UmTNn+0fARIoFKaBrBbFDZI=</DigestValue>
      </Reference>
      <Reference URI="/xl/worksheets/sheet14.xml?ContentType=application/vnd.openxmlformats-officedocument.spreadsheetml.worksheet+xml">
        <DigestMethod Algorithm="http://www.w3.org/2001/04/xmlenc#sha256"/>
        <DigestValue>UFV3b6XqUh+OAjXYEhFUjp5g3d8qU1yuvIJFYhT/dVE=</DigestValue>
      </Reference>
      <Reference URI="/xl/worksheets/sheet15.xml?ContentType=application/vnd.openxmlformats-officedocument.spreadsheetml.worksheet+xml">
        <DigestMethod Algorithm="http://www.w3.org/2001/04/xmlenc#sha256"/>
        <DigestValue>JcNq4cm2+p36pZ48wqw2teQ1soZOyMNCu7Cs/dQjoic=</DigestValue>
      </Reference>
      <Reference URI="/xl/worksheets/sheet16.xml?ContentType=application/vnd.openxmlformats-officedocument.spreadsheetml.worksheet+xml">
        <DigestMethod Algorithm="http://www.w3.org/2001/04/xmlenc#sha256"/>
        <DigestValue>mAlC2u9m8Lcku5dXA6mGs0Bn0UxTmJ5Tl/ol+qDbFtA=</DigestValue>
      </Reference>
      <Reference URI="/xl/worksheets/sheet17.xml?ContentType=application/vnd.openxmlformats-officedocument.spreadsheetml.worksheet+xml">
        <DigestMethod Algorithm="http://www.w3.org/2001/04/xmlenc#sha256"/>
        <DigestValue>LUe+8xL2Yi11VOMdEi8OkDKmyql6W9bIXGRQein8yoQ=</DigestValue>
      </Reference>
      <Reference URI="/xl/worksheets/sheet18.xml?ContentType=application/vnd.openxmlformats-officedocument.spreadsheetml.worksheet+xml">
        <DigestMethod Algorithm="http://www.w3.org/2001/04/xmlenc#sha256"/>
        <DigestValue>fkv9/aA7UGAGCyNBf9m0Q6iVDNn/NB77BN8E1R+pvjg=</DigestValue>
      </Reference>
      <Reference URI="/xl/worksheets/sheet2.xml?ContentType=application/vnd.openxmlformats-officedocument.spreadsheetml.worksheet+xml">
        <DigestMethod Algorithm="http://www.w3.org/2001/04/xmlenc#sha256"/>
        <DigestValue>nZLa8/Ge26+D80hzPaL2dvPltg/3CQhJ3p58ijGA4nc=</DigestValue>
      </Reference>
      <Reference URI="/xl/worksheets/sheet3.xml?ContentType=application/vnd.openxmlformats-officedocument.spreadsheetml.worksheet+xml">
        <DigestMethod Algorithm="http://www.w3.org/2001/04/xmlenc#sha256"/>
        <DigestValue>Ewf01svKXrVIOgE9Xt/KkY2SoaRshtBQr4MTVlcFnYs=</DigestValue>
      </Reference>
      <Reference URI="/xl/worksheets/sheet4.xml?ContentType=application/vnd.openxmlformats-officedocument.spreadsheetml.worksheet+xml">
        <DigestMethod Algorithm="http://www.w3.org/2001/04/xmlenc#sha256"/>
        <DigestValue>Fg2Pqhhu6E3o1hP8MA9CcHoa5yhnnKhZ9mj6YZQvtuo=</DigestValue>
      </Reference>
      <Reference URI="/xl/worksheets/sheet5.xml?ContentType=application/vnd.openxmlformats-officedocument.spreadsheetml.worksheet+xml">
        <DigestMethod Algorithm="http://www.w3.org/2001/04/xmlenc#sha256"/>
        <DigestValue>vfA1T8QnjymIwzPdZn6FTkZfj9a33abU8u174NVnYXk=</DigestValue>
      </Reference>
      <Reference URI="/xl/worksheets/sheet6.xml?ContentType=application/vnd.openxmlformats-officedocument.spreadsheetml.worksheet+xml">
        <DigestMethod Algorithm="http://www.w3.org/2001/04/xmlenc#sha256"/>
        <DigestValue>Uj7AIhRsW0767Jl29hgvz0318D7X2rQP7dT8/OagpZ8=</DigestValue>
      </Reference>
      <Reference URI="/xl/worksheets/sheet7.xml?ContentType=application/vnd.openxmlformats-officedocument.spreadsheetml.worksheet+xml">
        <DigestMethod Algorithm="http://www.w3.org/2001/04/xmlenc#sha256"/>
        <DigestValue>tuNyi++cpNS8ZSpbtbpE4lhqPgva4K8J0PYw8ugoJXY=</DigestValue>
      </Reference>
      <Reference URI="/xl/worksheets/sheet8.xml?ContentType=application/vnd.openxmlformats-officedocument.spreadsheetml.worksheet+xml">
        <DigestMethod Algorithm="http://www.w3.org/2001/04/xmlenc#sha256"/>
        <DigestValue>GF9hTinBIHdI8lL6iKYgt7oa3ipozznwF4CCAPr3KB0=</DigestValue>
      </Reference>
      <Reference URI="/xl/worksheets/sheet9.xml?ContentType=application/vnd.openxmlformats-officedocument.spreadsheetml.worksheet+xml">
        <DigestMethod Algorithm="http://www.w3.org/2001/04/xmlenc#sha256"/>
        <DigestValue>DV/R+IqvZgSI2lkWyWm/uJukmb3Wp8eKELyL417m4/k=</DigestValue>
      </Reference>
    </Manifest>
    <SignatureProperties>
      <SignatureProperty Id="idSignatureTime" Target="#idPackageSignature">
        <mdssi:SignatureTime xmlns:mdssi="http://schemas.openxmlformats.org/package/2006/digital-signature">
          <mdssi:Format>YYYY-MM-DDThh:mm:ssTZD</mdssi:Format>
          <mdssi:Value>2019-10-31T05:35:21Z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2019-10-31T05:35:21Z</xd:SigningTime>
          <xd:SigningCertificate>
            <xd:Cert>
              <xd:CertDigest>
                <DigestMethod Algorithm="http://www.w3.org/2001/04/xmlenc#sha256"/>
                <DigestValue>VQYYDZ0JoHTN0GJ2qq1DwPUkycbicwdZJzjQx2KJdR8=</DigestValue>
              </xd:CertDigest>
              <xd:IssuerSerial>
                <X509IssuerName>CN=NBG Class 2 INT Sub CA, DC=nbg, DC=ge</X509IssuerName>
                <X509SerialNumber>539005473035070780543050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Benashvili</dc:creator>
  <cp:lastModifiedBy>Natia Benashvili</cp:lastModifiedBy>
  <dcterms:created xsi:type="dcterms:W3CDTF">2019-10-31T05:29:23Z</dcterms:created>
  <dcterms:modified xsi:type="dcterms:W3CDTF">2019-10-31T05:30:27Z</dcterms:modified>
</cp:coreProperties>
</file>