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inanceDep\NBG\Monthly Reports\2019\03\Reports\Quarterly Reports for Marketing\"/>
    </mc:Choice>
  </mc:AlternateContent>
  <bookViews>
    <workbookView xWindow="0" yWindow="0" windowWidth="24000" windowHeight="9630" tabRatio="959"/>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s>
  <externalReferences>
    <externalReference r:id="rId19"/>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acctype">[2]Validation!$C$8:$C$15</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#REF!</definedName>
    <definedName name="Date" hidden="1">'[1]Appl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Sheet">[4]Sheet2!$H$5:$H$31</definedName>
    <definedName name="sub">[2]Validation!$D$8:$D$9</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8" l="1"/>
  <c r="C26" i="18"/>
  <c r="C18" i="18"/>
  <c r="C8" i="18"/>
  <c r="C36" i="18" s="1"/>
  <c r="C38" i="18" s="1"/>
  <c r="B1" i="18"/>
  <c r="E19" i="17"/>
  <c r="E18" i="17"/>
  <c r="E17" i="17"/>
  <c r="E16" i="17"/>
  <c r="E15" i="17"/>
  <c r="E12" i="17"/>
  <c r="E11" i="17"/>
  <c r="E10" i="17"/>
  <c r="E9" i="17"/>
  <c r="E8" i="17"/>
  <c r="E7" i="17" s="1"/>
  <c r="B1" i="17"/>
  <c r="K23" i="16"/>
  <c r="G23" i="16"/>
  <c r="I21" i="16"/>
  <c r="K20" i="16"/>
  <c r="H20" i="16"/>
  <c r="E20" i="16"/>
  <c r="K19" i="16"/>
  <c r="H19" i="16"/>
  <c r="E19" i="16"/>
  <c r="J21" i="16"/>
  <c r="K18" i="16"/>
  <c r="H18" i="16"/>
  <c r="G21" i="16"/>
  <c r="F21" i="16"/>
  <c r="H21" i="16" s="1"/>
  <c r="D21" i="16"/>
  <c r="C21" i="16"/>
  <c r="K15" i="16"/>
  <c r="H15" i="16"/>
  <c r="E15" i="16"/>
  <c r="K14" i="16"/>
  <c r="H14" i="16"/>
  <c r="E14" i="16"/>
  <c r="K13" i="16"/>
  <c r="H13" i="16"/>
  <c r="E13" i="16"/>
  <c r="K12" i="16"/>
  <c r="H12" i="16"/>
  <c r="E12" i="16"/>
  <c r="K10" i="16"/>
  <c r="J16" i="16"/>
  <c r="J24" i="16" s="1"/>
  <c r="F16" i="16"/>
  <c r="D16" i="16"/>
  <c r="J23" i="16"/>
  <c r="I23" i="16"/>
  <c r="H23" i="16"/>
  <c r="F23" i="16"/>
  <c r="E22" i="15"/>
  <c r="D22" i="15"/>
  <c r="C22" i="15"/>
  <c r="B1" i="15"/>
  <c r="S21" i="14"/>
  <c r="R21" i="14"/>
  <c r="Q21" i="14"/>
  <c r="P21" i="14"/>
  <c r="O21" i="14"/>
  <c r="N21" i="14"/>
  <c r="M21" i="14"/>
  <c r="J21" i="14"/>
  <c r="F21" i="14"/>
  <c r="U21" i="14"/>
  <c r="D19" i="14"/>
  <c r="V19" i="14"/>
  <c r="D18" i="14"/>
  <c r="D17" i="14"/>
  <c r="V17" i="14"/>
  <c r="D16" i="14"/>
  <c r="D15" i="14"/>
  <c r="V15" i="14"/>
  <c r="D14" i="14"/>
  <c r="V14" i="14"/>
  <c r="D13" i="14"/>
  <c r="V13" i="14"/>
  <c r="D12" i="14"/>
  <c r="V12" i="14"/>
  <c r="D11" i="14"/>
  <c r="V11" i="14"/>
  <c r="D10" i="14"/>
  <c r="V10" i="14"/>
  <c r="D9" i="14"/>
  <c r="V9" i="14"/>
  <c r="D8" i="14"/>
  <c r="V8" i="14"/>
  <c r="D7" i="14"/>
  <c r="L21" i="14"/>
  <c r="K21" i="14"/>
  <c r="I21" i="14"/>
  <c r="H21" i="14"/>
  <c r="G21" i="14"/>
  <c r="E21" i="14"/>
  <c r="C21" i="14"/>
  <c r="B1" i="14"/>
  <c r="R22" i="13"/>
  <c r="P22" i="13"/>
  <c r="N22" i="13"/>
  <c r="J22" i="13"/>
  <c r="H22" i="13"/>
  <c r="F22" i="13"/>
  <c r="D22" i="13"/>
  <c r="S21" i="13"/>
  <c r="S20" i="13"/>
  <c r="S19" i="13"/>
  <c r="S18" i="13"/>
  <c r="S17" i="13"/>
  <c r="S16" i="13"/>
  <c r="L22" i="13"/>
  <c r="S15" i="13"/>
  <c r="S14" i="13"/>
  <c r="S13" i="13"/>
  <c r="S12" i="13"/>
  <c r="S11" i="13"/>
  <c r="S10" i="13"/>
  <c r="S9" i="13"/>
  <c r="Q22" i="13"/>
  <c r="O22" i="13"/>
  <c r="M22" i="13"/>
  <c r="K22" i="13"/>
  <c r="I22" i="13"/>
  <c r="G22" i="13"/>
  <c r="E22" i="13"/>
  <c r="C22" i="13"/>
  <c r="B1" i="13"/>
  <c r="C22" i="12"/>
  <c r="B1" i="12"/>
  <c r="C21" i="11"/>
  <c r="C19" i="11"/>
  <c r="C20" i="11"/>
  <c r="B1" i="11"/>
  <c r="C47" i="10"/>
  <c r="C43" i="10"/>
  <c r="C52" i="10" s="1"/>
  <c r="C35" i="10"/>
  <c r="C31" i="10"/>
  <c r="C30" i="10" s="1"/>
  <c r="C41" i="10" s="1"/>
  <c r="C12" i="10"/>
  <c r="C6" i="10"/>
  <c r="B1" i="10"/>
  <c r="B1" i="9"/>
  <c r="D21" i="8"/>
  <c r="D19" i="8"/>
  <c r="B1" i="8"/>
  <c r="B1" i="7"/>
  <c r="D6" i="6"/>
  <c r="D13" i="6" s="1"/>
  <c r="C6" i="6"/>
  <c r="C13" i="6" s="1"/>
  <c r="B1" i="6"/>
  <c r="H53" i="5"/>
  <c r="E53" i="5"/>
  <c r="H52" i="5"/>
  <c r="E52" i="5"/>
  <c r="H51" i="5"/>
  <c r="E51" i="5"/>
  <c r="H50" i="5"/>
  <c r="E50" i="5"/>
  <c r="H49" i="5"/>
  <c r="E49" i="5"/>
  <c r="H48" i="5"/>
  <c r="E48" i="5"/>
  <c r="H47" i="5"/>
  <c r="E47" i="5"/>
  <c r="H46" i="5"/>
  <c r="E46" i="5"/>
  <c r="H45" i="5"/>
  <c r="E45" i="5"/>
  <c r="H44" i="5"/>
  <c r="E44" i="5"/>
  <c r="H43" i="5"/>
  <c r="E43" i="5"/>
  <c r="H42" i="5"/>
  <c r="E42" i="5"/>
  <c r="H41" i="5"/>
  <c r="E41" i="5"/>
  <c r="H40" i="5"/>
  <c r="E40" i="5"/>
  <c r="H39" i="5"/>
  <c r="E39" i="5"/>
  <c r="H38" i="5"/>
  <c r="E38" i="5"/>
  <c r="H37" i="5"/>
  <c r="E37" i="5"/>
  <c r="H36" i="5"/>
  <c r="E36" i="5"/>
  <c r="H35" i="5"/>
  <c r="E35" i="5"/>
  <c r="H34" i="5"/>
  <c r="E34" i="5"/>
  <c r="H33" i="5"/>
  <c r="D32" i="5"/>
  <c r="E33" i="5"/>
  <c r="H32" i="5"/>
  <c r="H31" i="5"/>
  <c r="E31" i="5"/>
  <c r="H30" i="5"/>
  <c r="E30" i="5"/>
  <c r="H29" i="5"/>
  <c r="E29" i="5"/>
  <c r="H28" i="5"/>
  <c r="E28" i="5"/>
  <c r="H27" i="5"/>
  <c r="E27" i="5"/>
  <c r="H26" i="5"/>
  <c r="E26" i="5"/>
  <c r="H25" i="5"/>
  <c r="E25" i="5"/>
  <c r="H24" i="5"/>
  <c r="E24" i="5"/>
  <c r="H23" i="5"/>
  <c r="E23" i="5"/>
  <c r="H22" i="5"/>
  <c r="E22" i="5"/>
  <c r="H21" i="5"/>
  <c r="E21" i="5"/>
  <c r="H20" i="5"/>
  <c r="E20" i="5"/>
  <c r="H19" i="5"/>
  <c r="E19" i="5"/>
  <c r="H18" i="5"/>
  <c r="E18" i="5"/>
  <c r="H17" i="5"/>
  <c r="E17" i="5"/>
  <c r="H16" i="5"/>
  <c r="E16" i="5"/>
  <c r="H15" i="5"/>
  <c r="E15" i="5"/>
  <c r="H14" i="5"/>
  <c r="D14" i="5"/>
  <c r="C14" i="5"/>
  <c r="E14" i="5" s="1"/>
  <c r="H13" i="5"/>
  <c r="E13" i="5"/>
  <c r="H12" i="5"/>
  <c r="E12" i="5"/>
  <c r="H11" i="5"/>
  <c r="E11" i="5"/>
  <c r="H10" i="5"/>
  <c r="H9" i="5"/>
  <c r="E9" i="5"/>
  <c r="H8" i="5"/>
  <c r="H7" i="5"/>
  <c r="B2" i="5"/>
  <c r="B1" i="5"/>
  <c r="H66" i="4"/>
  <c r="E66" i="4"/>
  <c r="H64" i="4"/>
  <c r="E64" i="4"/>
  <c r="F61" i="4"/>
  <c r="H61" i="4" s="1"/>
  <c r="H60" i="4"/>
  <c r="E60" i="4"/>
  <c r="H59" i="4"/>
  <c r="E59" i="4"/>
  <c r="H58" i="4"/>
  <c r="H52" i="4"/>
  <c r="E52" i="4"/>
  <c r="H51" i="4"/>
  <c r="E51" i="4"/>
  <c r="H50" i="4"/>
  <c r="E50" i="4"/>
  <c r="H49" i="4"/>
  <c r="E49" i="4"/>
  <c r="H48" i="4"/>
  <c r="E48" i="4"/>
  <c r="G53" i="4"/>
  <c r="H47" i="4"/>
  <c r="E47" i="4"/>
  <c r="H44" i="4"/>
  <c r="E44" i="4"/>
  <c r="H43" i="4"/>
  <c r="H42" i="4"/>
  <c r="E42" i="4"/>
  <c r="H41" i="4"/>
  <c r="E41" i="4"/>
  <c r="H40" i="4"/>
  <c r="E40" i="4"/>
  <c r="H39" i="4"/>
  <c r="H38" i="4"/>
  <c r="E38" i="4"/>
  <c r="H37" i="4"/>
  <c r="E37" i="4"/>
  <c r="H36" i="4"/>
  <c r="E36" i="4"/>
  <c r="G34" i="4"/>
  <c r="G45" i="4" s="1"/>
  <c r="G54" i="4" s="1"/>
  <c r="D34" i="4"/>
  <c r="D45" i="4" s="1"/>
  <c r="F34" i="4"/>
  <c r="H29" i="4"/>
  <c r="E29" i="4"/>
  <c r="H28" i="4"/>
  <c r="E28" i="4"/>
  <c r="H27" i="4"/>
  <c r="E27" i="4"/>
  <c r="H26" i="4"/>
  <c r="E26" i="4"/>
  <c r="H25" i="4"/>
  <c r="E25" i="4"/>
  <c r="G30" i="4"/>
  <c r="H24" i="4"/>
  <c r="E24" i="4"/>
  <c r="H21" i="4"/>
  <c r="E21" i="4"/>
  <c r="H20" i="4"/>
  <c r="H19" i="4"/>
  <c r="E19" i="4"/>
  <c r="H18" i="4"/>
  <c r="E18" i="4"/>
  <c r="H17" i="4"/>
  <c r="E17" i="4"/>
  <c r="H16" i="4"/>
  <c r="H15" i="4"/>
  <c r="E15" i="4"/>
  <c r="H14" i="4"/>
  <c r="E14" i="4"/>
  <c r="H13" i="4"/>
  <c r="E13" i="4"/>
  <c r="H12" i="4"/>
  <c r="H11" i="4"/>
  <c r="E11" i="4"/>
  <c r="G9" i="4"/>
  <c r="F9" i="4"/>
  <c r="H9" i="4" s="1"/>
  <c r="G22" i="4"/>
  <c r="G31" i="4" s="1"/>
  <c r="G56" i="4" s="1"/>
  <c r="G63" i="4" s="1"/>
  <c r="G65" i="4" s="1"/>
  <c r="G67" i="4" s="1"/>
  <c r="F22" i="4"/>
  <c r="E8" i="4"/>
  <c r="B1" i="4"/>
  <c r="H40" i="3"/>
  <c r="E40" i="3"/>
  <c r="H39" i="3"/>
  <c r="E39" i="3"/>
  <c r="C43" i="12" s="1"/>
  <c r="H38" i="3"/>
  <c r="E38" i="3"/>
  <c r="C42" i="12" s="1"/>
  <c r="H37" i="3"/>
  <c r="E37" i="3"/>
  <c r="C41" i="12" s="1"/>
  <c r="H36" i="3"/>
  <c r="E36" i="3"/>
  <c r="C40" i="12" s="1"/>
  <c r="H35" i="3"/>
  <c r="E35" i="3"/>
  <c r="C39" i="12" s="1"/>
  <c r="H34" i="3"/>
  <c r="E34" i="3"/>
  <c r="C38" i="12" s="1"/>
  <c r="H33" i="3"/>
  <c r="E33" i="3"/>
  <c r="C37" i="12" s="1"/>
  <c r="H30" i="3"/>
  <c r="E30" i="3"/>
  <c r="C34" i="12" s="1"/>
  <c r="H29" i="3"/>
  <c r="H28" i="3"/>
  <c r="E28" i="3"/>
  <c r="C31" i="12" s="1"/>
  <c r="H27" i="3"/>
  <c r="E27" i="3"/>
  <c r="C30" i="12" s="1"/>
  <c r="H26" i="3"/>
  <c r="E26" i="3"/>
  <c r="C29" i="12" s="1"/>
  <c r="H25" i="3"/>
  <c r="H24" i="3"/>
  <c r="E24" i="3"/>
  <c r="C27" i="12" s="1"/>
  <c r="G31" i="3"/>
  <c r="G41" i="3" s="1"/>
  <c r="D31" i="3"/>
  <c r="E23" i="3"/>
  <c r="C26" i="12" s="1"/>
  <c r="E22" i="3"/>
  <c r="C25" i="12" s="1"/>
  <c r="H19" i="3"/>
  <c r="E19" i="3"/>
  <c r="H18" i="3"/>
  <c r="E18" i="3"/>
  <c r="H17" i="3"/>
  <c r="E17" i="3"/>
  <c r="H16" i="3"/>
  <c r="E16" i="3"/>
  <c r="H15" i="3"/>
  <c r="E15" i="3"/>
  <c r="D14" i="3"/>
  <c r="H13" i="3"/>
  <c r="E13" i="3"/>
  <c r="G14" i="3"/>
  <c r="E12" i="3"/>
  <c r="H11" i="3"/>
  <c r="E11" i="3"/>
  <c r="H10" i="3"/>
  <c r="D20" i="3"/>
  <c r="H9" i="3"/>
  <c r="E9" i="3"/>
  <c r="G20" i="3"/>
  <c r="E8" i="3"/>
  <c r="E7" i="3"/>
  <c r="B1" i="3"/>
  <c r="C36" i="2"/>
  <c r="B17" i="2"/>
  <c r="B16" i="2"/>
  <c r="B15" i="2"/>
  <c r="C17" i="2"/>
  <c r="C15" i="2"/>
  <c r="C5" i="2"/>
  <c r="C5" i="6" s="1"/>
  <c r="D41" i="3" l="1"/>
  <c r="D54" i="4"/>
  <c r="C16" i="2"/>
  <c r="C8" i="12"/>
  <c r="C10" i="8"/>
  <c r="E10" i="8" s="1"/>
  <c r="C12" i="12"/>
  <c r="C27" i="2"/>
  <c r="C16" i="12"/>
  <c r="C17" i="8"/>
  <c r="E17" i="8" s="1"/>
  <c r="F31" i="4"/>
  <c r="H22" i="4"/>
  <c r="F30" i="4"/>
  <c r="H30" i="4" s="1"/>
  <c r="F53" i="4"/>
  <c r="H53" i="4" s="1"/>
  <c r="D5" i="2"/>
  <c r="C9" i="8"/>
  <c r="E9" i="8" s="1"/>
  <c r="C7" i="12"/>
  <c r="H8" i="3"/>
  <c r="C13" i="8"/>
  <c r="E13" i="8" s="1"/>
  <c r="C11" i="12"/>
  <c r="H12" i="3"/>
  <c r="C15" i="12"/>
  <c r="C16" i="8"/>
  <c r="E16" i="8" s="1"/>
  <c r="C23" i="12"/>
  <c r="C20" i="8"/>
  <c r="E20" i="8" s="1"/>
  <c r="H23" i="3"/>
  <c r="C31" i="3"/>
  <c r="C44" i="12"/>
  <c r="E10" i="4"/>
  <c r="C9" i="4"/>
  <c r="H10" i="4"/>
  <c r="C30" i="4"/>
  <c r="C53" i="4"/>
  <c r="E8" i="5"/>
  <c r="C7" i="5"/>
  <c r="C6" i="12"/>
  <c r="C8" i="8"/>
  <c r="C10" i="12"/>
  <c r="C12" i="8"/>
  <c r="E12" i="8" s="1"/>
  <c r="C28" i="2"/>
  <c r="C21" i="12"/>
  <c r="C19" i="8"/>
  <c r="E19" i="8" s="1"/>
  <c r="H8" i="4"/>
  <c r="D9" i="4"/>
  <c r="D22" i="4" s="1"/>
  <c r="D30" i="4"/>
  <c r="F45" i="4"/>
  <c r="H34" i="4"/>
  <c r="D53" i="4"/>
  <c r="D7" i="5"/>
  <c r="G14" i="15"/>
  <c r="H14" i="15" s="1"/>
  <c r="F14" i="15"/>
  <c r="G15" i="15"/>
  <c r="H15" i="15" s="1"/>
  <c r="F15" i="15"/>
  <c r="K11" i="16"/>
  <c r="I16" i="16"/>
  <c r="E21" i="17"/>
  <c r="C11" i="9" s="1"/>
  <c r="B2" i="18"/>
  <c r="B2" i="10"/>
  <c r="B2" i="17"/>
  <c r="B2" i="12"/>
  <c r="B2" i="11"/>
  <c r="B2" i="9"/>
  <c r="B2" i="8"/>
  <c r="B2" i="14"/>
  <c r="B2" i="15"/>
  <c r="B2" i="13"/>
  <c r="B2" i="7"/>
  <c r="B2" i="6"/>
  <c r="B2" i="4"/>
  <c r="B2" i="3"/>
  <c r="F20" i="3"/>
  <c r="H20" i="3" s="1"/>
  <c r="H7" i="3"/>
  <c r="E10" i="3"/>
  <c r="F14" i="3"/>
  <c r="H14" i="3" s="1"/>
  <c r="C14" i="3"/>
  <c r="C17" i="12"/>
  <c r="C18" i="8"/>
  <c r="E18" i="8" s="1"/>
  <c r="F31" i="3"/>
  <c r="H22" i="3"/>
  <c r="E25" i="3"/>
  <c r="C28" i="12" s="1"/>
  <c r="C36" i="12" s="1"/>
  <c r="E29" i="3"/>
  <c r="C32" i="12" s="1"/>
  <c r="E12" i="4"/>
  <c r="E16" i="4"/>
  <c r="E20" i="4"/>
  <c r="E35" i="4"/>
  <c r="C34" i="4"/>
  <c r="H35" i="4"/>
  <c r="E39" i="4"/>
  <c r="E43" i="4"/>
  <c r="C61" i="4"/>
  <c r="E61" i="4" s="1"/>
  <c r="E58" i="4"/>
  <c r="E10" i="5"/>
  <c r="C14" i="8"/>
  <c r="E14" i="8" s="1"/>
  <c r="C32" i="5"/>
  <c r="E32" i="5" s="1"/>
  <c r="D12" i="11"/>
  <c r="D7" i="11"/>
  <c r="D17" i="11"/>
  <c r="D15" i="11"/>
  <c r="D11" i="11"/>
  <c r="D9" i="11"/>
  <c r="D21" i="11"/>
  <c r="D19" i="11"/>
  <c r="D16" i="11"/>
  <c r="D13" i="11"/>
  <c r="D8" i="11"/>
  <c r="C28" i="10"/>
  <c r="D20" i="11"/>
  <c r="G16" i="15"/>
  <c r="H16" i="15" s="1"/>
  <c r="F16" i="15"/>
  <c r="F17" i="15"/>
  <c r="F18" i="15"/>
  <c r="G18" i="15"/>
  <c r="H18" i="15" s="1"/>
  <c r="F19" i="15"/>
  <c r="G20" i="15"/>
  <c r="H20" i="15" s="1"/>
  <c r="F20" i="15"/>
  <c r="F21" i="15"/>
  <c r="F25" i="16"/>
  <c r="J25" i="16"/>
  <c r="F24" i="16"/>
  <c r="G9" i="15"/>
  <c r="H9" i="15" s="1"/>
  <c r="F9" i="15"/>
  <c r="G10" i="15"/>
  <c r="H10" i="15" s="1"/>
  <c r="F10" i="15"/>
  <c r="G11" i="15"/>
  <c r="H11" i="15" s="1"/>
  <c r="F11" i="15"/>
  <c r="F12" i="15"/>
  <c r="G12" i="15"/>
  <c r="H12" i="15" s="1"/>
  <c r="G13" i="15"/>
  <c r="H13" i="15" s="1"/>
  <c r="F13" i="15"/>
  <c r="V16" i="14"/>
  <c r="G17" i="15" s="1"/>
  <c r="H17" i="15" s="1"/>
  <c r="V18" i="14"/>
  <c r="G19" i="15" s="1"/>
  <c r="H19" i="15" s="1"/>
  <c r="E21" i="16"/>
  <c r="K21" i="16"/>
  <c r="E14" i="17"/>
  <c r="S8" i="13"/>
  <c r="V7" i="14"/>
  <c r="D20" i="14"/>
  <c r="V20" i="14" s="1"/>
  <c r="G21" i="15" s="1"/>
  <c r="H21" i="15" s="1"/>
  <c r="H10" i="16"/>
  <c r="E11" i="16"/>
  <c r="H11" i="16"/>
  <c r="E18" i="16"/>
  <c r="T21" i="14"/>
  <c r="E10" i="16"/>
  <c r="C7" i="17"/>
  <c r="C14" i="17"/>
  <c r="C21" i="17" l="1"/>
  <c r="V21" i="14"/>
  <c r="E9" i="4"/>
  <c r="C22" i="4"/>
  <c r="C45" i="4"/>
  <c r="E34" i="4"/>
  <c r="F41" i="3"/>
  <c r="H41" i="3" s="1"/>
  <c r="H31" i="3"/>
  <c r="C16" i="16"/>
  <c r="E16" i="16" s="1"/>
  <c r="D31" i="4"/>
  <c r="D56" i="4" s="1"/>
  <c r="D63" i="4" s="1"/>
  <c r="D65" i="4" s="1"/>
  <c r="D67" i="4" s="1"/>
  <c r="E8" i="8"/>
  <c r="E21" i="8" s="1"/>
  <c r="E53" i="4"/>
  <c r="E14" i="3"/>
  <c r="C15" i="8" s="1"/>
  <c r="E15" i="8" s="1"/>
  <c r="C20" i="3"/>
  <c r="E20" i="3" s="1"/>
  <c r="D5" i="6"/>
  <c r="E5" i="2"/>
  <c r="F5" i="2" s="1"/>
  <c r="G5" i="2" s="1"/>
  <c r="H31" i="4"/>
  <c r="F8" i="15"/>
  <c r="F22" i="15" s="1"/>
  <c r="S22" i="13"/>
  <c r="G8" i="15"/>
  <c r="G16" i="16"/>
  <c r="D21" i="14"/>
  <c r="C9" i="12"/>
  <c r="C24" i="12" s="1"/>
  <c r="C11" i="8"/>
  <c r="E11" i="8" s="1"/>
  <c r="E30" i="4"/>
  <c r="C14" i="12"/>
  <c r="K16" i="16"/>
  <c r="K24" i="16" s="1"/>
  <c r="K25" i="16" s="1"/>
  <c r="I24" i="16"/>
  <c r="I25" i="16" s="1"/>
  <c r="F54" i="4"/>
  <c r="H54" i="4" s="1"/>
  <c r="H45" i="4"/>
  <c r="E7" i="5"/>
  <c r="C41" i="3"/>
  <c r="E41" i="3" s="1"/>
  <c r="E31" i="3"/>
  <c r="C33" i="2" s="1"/>
  <c r="E45" i="4" l="1"/>
  <c r="C54" i="4"/>
  <c r="E54" i="4" s="1"/>
  <c r="C5" i="9"/>
  <c r="C8" i="9" s="1"/>
  <c r="C13" i="9" s="1"/>
  <c r="E22" i="4"/>
  <c r="C31" i="4"/>
  <c r="G24" i="16"/>
  <c r="G25" i="16" s="1"/>
  <c r="H16" i="16"/>
  <c r="H24" i="16" s="1"/>
  <c r="C34" i="2"/>
  <c r="C29" i="2"/>
  <c r="C21" i="8"/>
  <c r="G22" i="15"/>
  <c r="H8" i="15"/>
  <c r="F56" i="4"/>
  <c r="H22" i="15" l="1"/>
  <c r="C37" i="2"/>
  <c r="C38" i="2" s="1"/>
  <c r="H25" i="16"/>
  <c r="H56" i="4"/>
  <c r="F63" i="4"/>
  <c r="C56" i="4"/>
  <c r="E31" i="4"/>
  <c r="C63" i="4" l="1"/>
  <c r="E56" i="4"/>
  <c r="H63" i="4"/>
  <c r="F65" i="4"/>
  <c r="H65" i="4" l="1"/>
  <c r="F67" i="4"/>
  <c r="H67" i="4" s="1"/>
  <c r="C65" i="4"/>
  <c r="E63" i="4"/>
  <c r="C67" i="4" l="1"/>
  <c r="E67" i="4" s="1"/>
  <c r="E65" i="4"/>
</calcChain>
</file>

<file path=xl/sharedStrings.xml><?xml version="1.0" encoding="utf-8"?>
<sst xmlns="http://schemas.openxmlformats.org/spreadsheetml/2006/main" count="729" uniqueCount="503">
  <si>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</si>
  <si>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</si>
  <si>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</si>
  <si>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</si>
  <si>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</si>
  <si>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</si>
  <si>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</si>
  <si>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</si>
  <si>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</si>
  <si>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</si>
  <si>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</si>
  <si>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</si>
  <si>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</si>
  <si>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</si>
  <si>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</si>
  <si>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</si>
  <si>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</si>
  <si>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</si>
  <si>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</si>
  <si>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</si>
  <si>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</si>
  <si>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</si>
  <si>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</si>
  <si>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</si>
  <si>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</si>
  <si>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</si>
  <si>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</si>
  <si>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</si>
  <si>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</si>
  <si>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</si>
  <si>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სს ტერაბანკი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</si>
  <si>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</si>
  <si>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</si>
  <si>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</si>
  <si>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</si>
  <si>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</si>
  <si>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</si>
  <si>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</si>
  <si>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</si>
  <si>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</si>
  <si>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</si>
  <si>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</si>
  <si>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</si>
  <si>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</si>
  <si>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</si>
  <si>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</si>
  <si>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</si>
  <si>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</si>
  <si>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</si>
  <si>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</si>
  <si>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</si>
  <si>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</si>
  <si>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</si>
  <si>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</si>
  <si>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</si>
  <si>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</si>
  <si>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</si>
  <si>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</si>
  <si>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</si>
  <si>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</si>
  <si>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</si>
  <si>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</si>
  <si>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</si>
  <si>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</si>
  <si>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</si>
  <si>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</si>
  <si>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</si>
  <si>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</si>
  <si>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</si>
  <si>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</si>
  <si>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</si>
  <si>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</si>
  <si>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</si>
  <si>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</si>
  <si>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</si>
  <si>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</si>
  <si>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</si>
  <si>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</si>
  <si>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</si>
  <si>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</si>
  <si>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</si>
  <si>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</si>
  <si>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</si>
  <si>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</si>
  <si>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</si>
  <si>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</si>
  <si>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</si>
  <si>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</si>
  <si>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</si>
  <si>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</si>
  <si>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</si>
  <si>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</si>
  <si>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</si>
  <si>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</si>
  <si>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</si>
  <si>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</si>
  <si>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</si>
  <si>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</si>
  <si>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</si>
  <si>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</si>
  <si>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</si>
  <si>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</si>
  <si>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</si>
  <si>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</si>
  <si>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</si>
  <si>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</si>
  <si>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</si>
  <si>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</si>
  <si>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</si>
  <si>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</si>
  <si>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</si>
  <si>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</si>
  <si>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</si>
  <si>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</si>
  <si>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</si>
  <si>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</si>
  <si>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</si>
  <si>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</si>
  <si>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</si>
  <si>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</si>
  <si>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</si>
  <si>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</si>
  <si>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</si>
  <si>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</si>
  <si>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</si>
  <si>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</si>
  <si>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</si>
  <si>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</si>
  <si>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</si>
  <si>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</si>
  <si>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</si>
  <si>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</si>
  <si>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</si>
  <si>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</si>
  <si>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</si>
  <si>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</si>
  <si>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</si>
  <si>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</si>
  <si>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</si>
  <si>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</si>
  <si>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</si>
  <si>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</si>
  <si>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</si>
  <si>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</si>
  <si>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</si>
  <si>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</si>
  <si>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</si>
  <si>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</si>
  <si>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</si>
  <si>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</si>
  <si>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</si>
  <si>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</si>
  <si>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</si>
  <si>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</si>
  <si>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</si>
  <si>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</si>
  <si>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</si>
  <si>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</si>
  <si>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</si>
  <si>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</si>
  <si>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</si>
  <si>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</si>
  <si>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</si>
  <si>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</si>
  <si>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</si>
  <si>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</si>
  <si>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</si>
  <si>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</si>
  <si>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</si>
  <si>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</si>
  <si>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</si>
  <si>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</si>
  <si>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</si>
  <si>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</si>
  <si>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</si>
  <si>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</si>
  <si>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</si>
  <si>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</si>
  <si>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</si>
  <si>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</si>
  <si>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</si>
  <si>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</si>
  <si>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</si>
  <si>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</si>
  <si>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</si>
  <si>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</si>
  <si>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</si>
  <si>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</si>
  <si>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</si>
  <si>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</si>
  <si>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</si>
  <si>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</si>
  <si>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</si>
  <si>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</si>
  <si>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</si>
  <si>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</si>
  <si>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</si>
  <si>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</si>
  <si>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</si>
  <si>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</si>
  <si>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</si>
  <si>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</si>
  <si>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</si>
  <si>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</si>
  <si>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</si>
  <si>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</si>
  <si>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</si>
  <si>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</si>
  <si>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</si>
  <si>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</si>
  <si>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</si>
  <si>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</si>
  <si>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</si>
  <si>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</si>
  <si>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</si>
  <si>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</si>
  <si>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</si>
  <si>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</si>
  <si>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</si>
  <si>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</si>
  <si>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</si>
  <si>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</si>
  <si>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</si>
  <si>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</si>
  <si>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</si>
  <si>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</si>
  <si>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</si>
  <si>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</si>
  <si>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</si>
  <si>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</si>
  <si>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</si>
  <si>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</si>
  <si>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</si>
  <si>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</si>
  <si>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</si>
  <si>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</si>
  <si>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სეითი დევდარიანი (წევრი)</t>
  </si>
  <si>
    <t>ხირთ რულოფ დე კორტე (წევრი)</t>
  </si>
  <si>
    <t>ადელ საფვატ გუირგუის რუფაეილ (მრჩეველი)</t>
  </si>
  <si>
    <t>დირექტორთა საბჭოს შემადგენლობა</t>
  </si>
  <si>
    <t>თეა ლორთქიფანიძე (გენერალური დირექტორი)</t>
  </si>
  <si>
    <t>სოფიო ჯუღელი (ფინანსური დირექტორი)</t>
  </si>
  <si>
    <t>თეიმურაზ აბულაძე (რისკების დირექტორი)</t>
  </si>
  <si>
    <t>ვახტანგ ხუციშვილი (ოპერაციების დირექტორი)</t>
  </si>
  <si>
    <t>ზურაბ აზარაშვილი (კომერციული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</si>
  <si>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</si>
  <si>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</si>
  <si>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</si>
  <si>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</si>
  <si>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</si>
  <si>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</si>
  <si>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</si>
  <si>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</si>
  <si>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</si>
  <si>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</si>
  <si>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</si>
  <si>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</si>
  <si>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</si>
  <si>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</si>
  <si>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</si>
  <si>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</si>
  <si>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</si>
  <si>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</si>
  <si>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</si>
  <si>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</si>
  <si>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</si>
  <si>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</si>
  <si>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</si>
  <si>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</si>
  <si>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</si>
  <si>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</si>
  <si>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</si>
  <si>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</si>
  <si>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</si>
  <si>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</si>
  <si>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</si>
  <si>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</si>
  <si>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</si>
  <si>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</si>
  <si>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</si>
  <si>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</si>
  <si>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</si>
  <si>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</si>
  <si>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</si>
  <si>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</si>
  <si>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</si>
  <si>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</si>
  <si>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</si>
  <si>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</si>
  <si>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</si>
  <si>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</si>
  <si>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</si>
  <si>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</si>
  <si>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</si>
  <si>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</si>
  <si>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</si>
  <si>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</si>
  <si>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</si>
  <si>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</si>
  <si>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</si>
  <si>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</si>
  <si>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</si>
  <si>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</si>
  <si>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</si>
  <si>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</si>
  <si>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</si>
  <si>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</si>
  <si>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</si>
  <si>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</si>
  <si>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</si>
  <si>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</si>
  <si>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</si>
  <si>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</si>
  <si>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</si>
  <si>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</si>
  <si>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</si>
  <si>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</si>
  <si>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</si>
  <si>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</si>
  <si>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</si>
  <si>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</si>
  <si>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</si>
  <si>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</si>
  <si>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</si>
  <si>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</si>
  <si>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</si>
  <si>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</si>
  <si>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</si>
  <si>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</si>
  <si>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</si>
  <si>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</si>
  <si>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</si>
  <si>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</si>
  <si>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</si>
  <si>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</si>
  <si>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</si>
  <si>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</si>
  <si>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</si>
  <si>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</si>
  <si>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</si>
  <si>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</si>
  <si>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</si>
  <si>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</si>
  <si>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</si>
  <si>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</si>
  <si>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</si>
  <si>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</si>
  <si>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</si>
  <si>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</si>
  <si>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6.2.1</t>
  </si>
  <si>
    <t>მათ შორის სესხების შესაძლო დანაკარგების საერთო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</si>
  <si>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</si>
  <si>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</si>
  <si>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</si>
  <si>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</si>
  <si>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</si>
  <si>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</si>
  <si>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</si>
  <si>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 xml:space="preserve">    მინუს: გამოსყიდული აქციები</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</si>
  <si>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</si>
  <si>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</si>
  <si>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</si>
  <si>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</si>
  <si>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</si>
  <si>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</si>
  <si>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</si>
  <si>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</si>
  <si>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</si>
  <si>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</si>
  <si>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</si>
  <si>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</si>
  <si>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</si>
  <si>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</si>
  <si>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</si>
  <si>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</si>
  <si>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</si>
  <si>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</si>
  <si>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</si>
  <si>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</si>
  <si>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</si>
  <si>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</si>
  <si>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</si>
  <si>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</si>
  <si>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</si>
  <si>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</si>
  <si>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</si>
  <si>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</si>
  <si>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</si>
  <si>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</si>
  <si>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</si>
  <si>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</si>
  <si>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</si>
  <si>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</si>
  <si>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</si>
  <si>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</si>
  <si>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</si>
  <si>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</si>
  <si>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</si>
  <si>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</si>
  <si>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</si>
  <si>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</si>
  <si>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</si>
  <si>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</si>
  <si>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</si>
  <si>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</si>
  <si>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</si>
  <si>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</si>
  <si>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</si>
  <si>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</si>
  <si>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</si>
  <si>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</si>
  <si>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</si>
  <si>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</si>
  <si>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</si>
  <si>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</si>
  <si>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</si>
  <si>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</si>
  <si>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</si>
  <si>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</si>
  <si>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</si>
  <si>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</si>
  <si>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</si>
  <si>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</si>
  <si>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</si>
  <si>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</si>
  <si>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</si>
  <si>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</si>
  <si>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</si>
  <si>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</si>
  <si>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</si>
  <si>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</si>
  <si>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</si>
  <si>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</si>
  <si>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</si>
  <si>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</si>
  <si>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</si>
  <si>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</si>
  <si>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</si>
  <si>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</si>
  <si>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</si>
  <si>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</si>
  <si>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</si>
  <si>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</si>
  <si>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</si>
  <si>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</si>
  <si>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</si>
  <si>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</si>
  <si>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</si>
  <si>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</si>
  <si>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</si>
  <si>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</si>
  <si>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</si>
  <si>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</si>
  <si>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</si>
  <si>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</si>
  <si>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</si>
  <si>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</si>
  <si>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</si>
  <si>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</si>
  <si>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</si>
  <si>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</si>
  <si>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</si>
  <si>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</si>
  <si>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</si>
  <si>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</si>
  <si>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</si>
  <si>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</si>
  <si>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</si>
  <si>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</si>
  <si>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</si>
  <si>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</si>
  <si>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</si>
  <si>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</si>
  <si>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</si>
  <si>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</si>
  <si>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</si>
  <si>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</si>
  <si>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</si>
  <si>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</si>
  <si>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</si>
  <si>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</si>
  <si>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</si>
  <si>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</si>
  <si>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</si>
  <si>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</si>
  <si>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</si>
  <si>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</si>
  <si>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</si>
  <si>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</si>
  <si>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</si>
  <si>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</si>
  <si>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</si>
  <si>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</si>
  <si>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</si>
  <si>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</si>
  <si>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</si>
  <si>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</si>
  <si>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</si>
  <si>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</si>
  <si>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განსაზღვრისთვის</t>
  </si>
  <si>
    <t>EU-24</t>
  </si>
  <si>
    <t xml:space="preserve">ფიდუციარული აქტივების მოცულობა რომლებიც აკლდება მთლიან რისკის პოზიციებს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</si>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</sst>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0_ ;[Red]\-#,##0\ "/>
    <numFmt numFmtId="166" formatCode="_(* #,##0_);_(* \(#,##0\);_(* &quot;-&quot;??_);_(@_)"/>
    <numFmt numFmtId="167" formatCode="0.0%"/>
    <numFmt numFmtId="168" formatCode="_(#,##0_);_(\(#,##0\);_(\ \-\ _);_(@_)"/>
    <numFmt numFmtId="169" formatCode="#,##0.000000;[Red]#,##0.0000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sz val="10"/>
      <name val="Geo_Arial"/>
      <family val="2"/>
    </font>
    <font>
      <i/>
      <sz val="10"/>
      <color theme="1"/>
      <name val="Calibri"/>
      <family val="2"/>
      <scheme val="minor"/>
    </font>
    <font>
      <sz val="10"/>
      <color rgb="FFFF0000"/>
      <name val="Calibri"/>
      <family val="2"/>
      <scheme val="minor"/>
    </font>
    <font>
      <b/>
      <sz val="10"/>
      <name val="Calibri"/>
      <family val="1"/>
      <scheme val="minor"/>
    </font>
    <font>
      <sz val="10"/>
      <name val="Calibri"/>
      <family val="1"/>
      <scheme val="minor"/>
    </font>
    <font>
      <i/>
      <sz val="10"/>
      <color rgb="FFFF0000"/>
      <name val="Sylfaen"/>
      <family val="1"/>
    </font>
    <font>
      <b/>
      <sz val="10"/>
      <color theme="1"/>
      <name val="Sylfaen"/>
      <family val="1"/>
    </font>
    <font>
      <sz val="10"/>
      <name val="SPKolheti"/>
      <family val="1"/>
    </font>
    <font>
      <sz val="9"/>
      <color theme="1"/>
      <name val="Calibri"/>
      <family val="2"/>
      <scheme val="minor"/>
    </font>
    <font>
      <b/>
      <sz val="13"/>
      <color indexed="56"/>
      <name val="Calibri"/>
      <family val="2"/>
    </font>
    <font>
      <b/>
      <sz val="11"/>
      <name val="Arial"/>
      <family val="2"/>
    </font>
    <font>
      <b/>
      <sz val="14"/>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
      <sz val="9"/>
      <color theme="1"/>
      <name val="Sylfaen"/>
      <family val="1"/>
    </font>
  </fonts>
  <fills count="11">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theme="6" tint="0.59999389629810485"/>
        <bgColor indexed="64"/>
      </patternFill>
    </fill>
    <fill>
      <patternFill patternType="solid">
        <fgColor rgb="FF5F5F5F"/>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
      <left/>
      <right/>
      <top/>
      <bottom style="thick">
        <color indexed="22"/>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30" fillId="0" borderId="0"/>
    <xf numFmtId="0" fontId="30"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0" fillId="0" borderId="72" applyNumberFormat="0" applyFill="0" applyAlignment="0" applyProtection="0"/>
    <xf numFmtId="0" fontId="4" fillId="0" borderId="0">
      <alignment vertical="center"/>
    </xf>
    <xf numFmtId="43" fontId="4" fillId="0" borderId="0" applyFont="0" applyFill="0" applyBorder="0" applyAlignment="0" applyProtection="0"/>
    <xf numFmtId="9" fontId="4" fillId="0" borderId="0" applyFont="0" applyFill="0" applyBorder="0" applyAlignment="0" applyProtection="0"/>
  </cellStyleXfs>
  <cellXfs count="595">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0"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10" fillId="0" borderId="0" xfId="4" applyAlignment="1" applyProtection="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14" fontId="7" fillId="0" borderId="7" xfId="0" applyNumberFormat="1" applyFont="1" applyFill="1" applyBorder="1" applyAlignment="1">
      <alignment horizontal="left" vertical="center" wrapText="1" indent="1"/>
    </xf>
    <xf numFmtId="14" fontId="3" fillId="0" borderId="7"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4" fontId="16" fillId="3" borderId="0" xfId="6" applyBorder="1" applyProtection="1"/>
    <xf numFmtId="164" fontId="16"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3" fontId="0" fillId="0" borderId="0" xfId="0" applyNumberFormat="1"/>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10" fontId="16" fillId="3" borderId="0" xfId="2" applyNumberFormat="1" applyFont="1" applyFill="1" applyBorder="1" applyProtection="1"/>
    <xf numFmtId="10" fontId="16" fillId="3" borderId="1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8" fillId="4" borderId="1" xfId="2" applyNumberFormat="1" applyFont="1" applyFill="1" applyBorder="1" applyAlignment="1" applyProtection="1">
      <alignment vertical="center"/>
    </xf>
    <xf numFmtId="10" fontId="18" fillId="4" borderId="11" xfId="2" applyNumberFormat="1" applyFont="1" applyFill="1" applyBorder="1" applyAlignment="1" applyProtection="1">
      <alignment vertical="center"/>
    </xf>
    <xf numFmtId="167" fontId="8" fillId="4" borderId="1" xfId="2" applyNumberFormat="1" applyFont="1" applyFill="1" applyBorder="1" applyAlignment="1" applyProtection="1">
      <alignment vertical="center"/>
    </xf>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0" borderId="1" xfId="0" applyNumberFormat="1" applyFont="1" applyFill="1" applyBorder="1" applyAlignment="1" applyProtection="1">
      <alignment vertical="center"/>
    </xf>
    <xf numFmtId="0" fontId="8" fillId="0" borderId="1" xfId="0" applyFont="1" applyFill="1" applyBorder="1" applyAlignment="1">
      <alignment vertical="center"/>
    </xf>
    <xf numFmtId="165" fontId="18" fillId="0" borderId="1" xfId="0" applyNumberFormat="1" applyFont="1" applyFill="1" applyBorder="1" applyAlignment="1" applyProtection="1">
      <alignment vertical="center"/>
    </xf>
    <xf numFmtId="0" fontId="8" fillId="4" borderId="12" xfId="0" applyFont="1" applyFill="1" applyBorder="1" applyAlignment="1">
      <alignment horizontal="right" vertical="center"/>
    </xf>
    <xf numFmtId="165" fontId="8" fillId="0" borderId="13" xfId="0" applyNumberFormat="1" applyFont="1" applyFill="1" applyBorder="1" applyAlignment="1" applyProtection="1">
      <alignment vertical="center"/>
      <protection locked="0"/>
    </xf>
    <xf numFmtId="10" fontId="8" fillId="0" borderId="13" xfId="2" applyNumberFormat="1" applyFont="1" applyFill="1" applyBorder="1" applyAlignment="1" applyProtection="1">
      <alignment vertical="center"/>
    </xf>
    <xf numFmtId="0" fontId="8" fillId="0" borderId="0" xfId="0" applyFont="1" applyAlignment="1">
      <alignment horizontal="right"/>
    </xf>
    <xf numFmtId="0" fontId="8" fillId="0" borderId="0" xfId="0" applyFont="1"/>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19"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9" xfId="0" applyFont="1" applyFill="1" applyBorder="1" applyAlignment="1" applyProtection="1">
      <alignment horizontal="left" indent="1"/>
    </xf>
    <xf numFmtId="0" fontId="13" fillId="0" borderId="18"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8"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18" xfId="0" applyFont="1" applyFill="1" applyBorder="1" applyAlignment="1" applyProtection="1">
      <alignment horizontal="left" indent="2"/>
    </xf>
    <xf numFmtId="166" fontId="20" fillId="0" borderId="1" xfId="1" applyNumberFormat="1" applyFont="1" applyFill="1" applyBorder="1" applyAlignment="1" applyProtection="1">
      <alignment horizontal="right"/>
    </xf>
    <xf numFmtId="166" fontId="20" fillId="5" borderId="1" xfId="1" applyNumberFormat="1" applyFont="1" applyFill="1" applyBorder="1" applyAlignment="1" applyProtection="1">
      <alignment horizontal="right"/>
    </xf>
    <xf numFmtId="0" fontId="13" fillId="0" borderId="18"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1" xfId="1" applyNumberFormat="1" applyFont="1" applyFill="1" applyBorder="1" applyAlignment="1" applyProtection="1">
      <alignment horizontal="right"/>
    </xf>
    <xf numFmtId="0" fontId="8" fillId="0" borderId="12" xfId="0" applyFont="1" applyFill="1" applyBorder="1" applyAlignment="1" applyProtection="1">
      <alignment horizontal="left" indent="1"/>
    </xf>
    <xf numFmtId="0" fontId="13" fillId="0" borderId="19" xfId="0" applyFont="1" applyFill="1" applyBorder="1" applyAlignment="1" applyProtection="1"/>
    <xf numFmtId="166" fontId="8" fillId="5" borderId="13" xfId="1" applyNumberFormat="1" applyFont="1" applyFill="1" applyBorder="1" applyAlignment="1" applyProtection="1">
      <alignment horizontal="right"/>
    </xf>
    <xf numFmtId="166" fontId="8" fillId="5" borderId="20" xfId="1" applyNumberFormat="1" applyFont="1" applyFill="1" applyBorder="1" applyAlignment="1" applyProtection="1">
      <alignment horizontal="right"/>
    </xf>
    <xf numFmtId="166" fontId="3" fillId="0" borderId="0" xfId="0" applyNumberFormat="1" applyFont="1"/>
    <xf numFmtId="0" fontId="21"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19" fillId="0" borderId="0" xfId="0" applyFont="1" applyFill="1"/>
    <xf numFmtId="0" fontId="22" fillId="0" borderId="6" xfId="0" applyFont="1" applyFill="1" applyBorder="1" applyAlignment="1">
      <alignment horizontal="left" vertical="center" indent="1"/>
    </xf>
    <xf numFmtId="0" fontId="22" fillId="0" borderId="7" xfId="0" applyFont="1" applyFill="1" applyBorder="1" applyAlignment="1">
      <alignment horizontal="left" vertical="center"/>
    </xf>
    <xf numFmtId="0" fontId="22" fillId="0" borderId="9" xfId="0" applyFont="1" applyFill="1" applyBorder="1" applyAlignment="1">
      <alignment horizontal="left" vertical="center" inden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9" xfId="0" applyFont="1" applyFill="1" applyBorder="1" applyAlignment="1">
      <alignment horizontal="left" indent="1"/>
    </xf>
    <xf numFmtId="0" fontId="23" fillId="0" borderId="1" xfId="0" applyFont="1" applyFill="1" applyBorder="1" applyAlignment="1">
      <alignment horizontal="center"/>
    </xf>
    <xf numFmtId="38" fontId="22" fillId="0" borderId="1" xfId="0" applyNumberFormat="1" applyFont="1" applyFill="1" applyBorder="1" applyAlignment="1" applyProtection="1">
      <alignment horizontal="right"/>
      <protection locked="0"/>
    </xf>
    <xf numFmtId="38" fontId="22" fillId="0" borderId="11" xfId="0" applyNumberFormat="1" applyFont="1" applyFill="1" applyBorder="1" applyAlignment="1" applyProtection="1">
      <alignment horizontal="right"/>
      <protection locked="0"/>
    </xf>
    <xf numFmtId="0" fontId="22" fillId="0" borderId="1" xfId="0" applyFont="1" applyFill="1" applyBorder="1" applyAlignment="1">
      <alignment horizontal="left" wrapText="1" indent="1"/>
    </xf>
    <xf numFmtId="166" fontId="22" fillId="0" borderId="1" xfId="1" applyNumberFormat="1" applyFont="1" applyFill="1" applyBorder="1" applyAlignment="1" applyProtection="1">
      <alignment horizontal="right"/>
    </xf>
    <xf numFmtId="166" fontId="24" fillId="0" borderId="1" xfId="1" applyNumberFormat="1" applyFont="1" applyFill="1" applyBorder="1" applyAlignment="1" applyProtection="1">
      <alignment horizontal="right"/>
    </xf>
    <xf numFmtId="166" fontId="22" fillId="5" borderId="1" xfId="1" applyNumberFormat="1" applyFont="1" applyFill="1" applyBorder="1" applyAlignment="1" applyProtection="1">
      <alignment horizontal="right"/>
    </xf>
    <xf numFmtId="0" fontId="22" fillId="0" borderId="1" xfId="0" applyFont="1" applyFill="1" applyBorder="1" applyAlignment="1">
      <alignment horizontal="left" wrapText="1" indent="2"/>
    </xf>
    <xf numFmtId="0" fontId="25" fillId="0" borderId="0" xfId="0" applyFont="1"/>
    <xf numFmtId="0" fontId="23" fillId="0" borderId="1" xfId="0" applyFont="1" applyFill="1" applyBorder="1" applyAlignment="1"/>
    <xf numFmtId="43" fontId="25" fillId="0" borderId="0" xfId="0" applyNumberFormat="1" applyFont="1"/>
    <xf numFmtId="166" fontId="25" fillId="0" borderId="0" xfId="0" applyNumberFormat="1" applyFont="1"/>
    <xf numFmtId="0" fontId="23" fillId="0" borderId="1" xfId="0" applyFont="1" applyFill="1" applyBorder="1" applyAlignment="1">
      <alignment horizontal="left"/>
    </xf>
    <xf numFmtId="166" fontId="23" fillId="0" borderId="1" xfId="1" applyNumberFormat="1" applyFont="1" applyFill="1" applyBorder="1" applyAlignment="1" applyProtection="1">
      <alignment horizontal="center"/>
    </xf>
    <xf numFmtId="166" fontId="23" fillId="0" borderId="11" xfId="1" applyNumberFormat="1" applyFont="1" applyFill="1" applyBorder="1" applyAlignment="1" applyProtection="1">
      <alignment horizontal="center"/>
    </xf>
    <xf numFmtId="0" fontId="22" fillId="0" borderId="1" xfId="0" applyFont="1" applyFill="1" applyBorder="1" applyAlignment="1">
      <alignment horizontal="left" indent="1"/>
    </xf>
    <xf numFmtId="166" fontId="22" fillId="0" borderId="11" xfId="1" applyNumberFormat="1" applyFont="1" applyFill="1" applyBorder="1" applyAlignment="1" applyProtection="1">
      <alignment horizontal="right"/>
    </xf>
    <xf numFmtId="0" fontId="0" fillId="0" borderId="0" xfId="0" applyAlignment="1">
      <alignment horizontal="left" indent="1"/>
    </xf>
    <xf numFmtId="0" fontId="25" fillId="0" borderId="0" xfId="0" applyFont="1" applyAlignment="1">
      <alignment horizontal="left" indent="1"/>
    </xf>
    <xf numFmtId="0" fontId="23" fillId="0" borderId="1" xfId="0" applyFont="1" applyFill="1" applyBorder="1" applyAlignment="1">
      <alignment horizontal="left" indent="1"/>
    </xf>
    <xf numFmtId="0" fontId="23" fillId="0" borderId="1" xfId="0" applyFont="1" applyFill="1" applyBorder="1" applyAlignment="1">
      <alignment horizontal="center" vertical="center" wrapText="1"/>
    </xf>
    <xf numFmtId="0" fontId="22" fillId="0" borderId="12" xfId="0" applyFont="1" applyFill="1" applyBorder="1" applyAlignment="1">
      <alignment horizontal="left" vertical="center" indent="1"/>
    </xf>
    <xf numFmtId="0" fontId="23" fillId="0" borderId="13" xfId="0" applyFont="1" applyFill="1" applyBorder="1" applyAlignment="1"/>
    <xf numFmtId="166" fontId="22" fillId="5" borderId="13" xfId="1" applyNumberFormat="1" applyFont="1" applyFill="1" applyBorder="1" applyAlignment="1" applyProtection="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19" fillId="0" borderId="0" xfId="0" applyFont="1" applyFill="1" applyAlignment="1">
      <alignment horizontal="center"/>
    </xf>
    <xf numFmtId="0" fontId="3" fillId="0" borderId="9" xfId="0" applyFont="1" applyFill="1" applyBorder="1" applyAlignment="1">
      <alignment horizontal="center" vertical="center"/>
    </xf>
    <xf numFmtId="0" fontId="14"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19" fillId="0" borderId="25" xfId="0" applyFont="1" applyFill="1" applyBorder="1" applyAlignment="1" applyProtection="1">
      <alignment horizontal="left" vertical="center" indent="1"/>
      <protection locked="0"/>
    </xf>
    <xf numFmtId="0" fontId="19" fillId="0" borderId="25" xfId="0" applyFont="1" applyFill="1" applyBorder="1" applyAlignment="1" applyProtection="1">
      <alignment horizontal="left" vertical="center"/>
      <protection locked="0"/>
    </xf>
    <xf numFmtId="43" fontId="0" fillId="0" borderId="0" xfId="1" applyNumberFormat="1" applyFont="1" applyFill="1"/>
    <xf numFmtId="43" fontId="0" fillId="0" borderId="0" xfId="0" applyNumberFormat="1" applyFill="1"/>
    <xf numFmtId="166" fontId="26" fillId="0" borderId="0" xfId="1" applyNumberFormat="1" applyFont="1" applyFill="1"/>
    <xf numFmtId="0" fontId="3" fillId="0" borderId="12" xfId="0" applyFont="1" applyFill="1" applyBorder="1" applyAlignment="1">
      <alignment horizontal="center" vertical="center"/>
    </xf>
    <xf numFmtId="0" fontId="14" fillId="0" borderId="26" xfId="0" applyNumberFormat="1" applyFont="1" applyFill="1" applyBorder="1" applyAlignment="1">
      <alignment vertical="center" wrapText="1"/>
    </xf>
    <xf numFmtId="166" fontId="8" fillId="0" borderId="13" xfId="1" applyNumberFormat="1" applyFont="1" applyFill="1" applyBorder="1" applyAlignment="1" applyProtection="1">
      <alignment horizontal="right"/>
    </xf>
    <xf numFmtId="0" fontId="27" fillId="0" borderId="0" xfId="0" applyFont="1" applyAlignment="1">
      <alignment wrapText="1"/>
    </xf>
    <xf numFmtId="166" fontId="0" fillId="0" borderId="0" xfId="1" applyNumberFormat="1" applyFont="1"/>
    <xf numFmtId="0" fontId="25" fillId="0" borderId="0" xfId="0" applyFont="1" applyBorder="1"/>
    <xf numFmtId="0" fontId="3" fillId="0" borderId="5" xfId="0" applyFont="1" applyBorder="1"/>
    <xf numFmtId="0" fontId="15" fillId="0" borderId="5" xfId="0" applyFont="1" applyBorder="1" applyAlignment="1">
      <alignment horizontal="center"/>
    </xf>
    <xf numFmtId="0" fontId="19" fillId="0" borderId="5" xfId="0" applyFont="1" applyFill="1" applyBorder="1" applyAlignment="1">
      <alignment horizontal="center"/>
    </xf>
    <xf numFmtId="0" fontId="3" fillId="0" borderId="6" xfId="0" applyFont="1" applyBorder="1" applyAlignment="1">
      <alignment vertical="center" wrapText="1"/>
    </xf>
    <xf numFmtId="0" fontId="15" fillId="0" borderId="7" xfId="0" applyFont="1" applyBorder="1" applyAlignment="1">
      <alignment vertical="center" wrapText="1"/>
    </xf>
    <xf numFmtId="14" fontId="28" fillId="0" borderId="7" xfId="0" applyNumberFormat="1" applyFont="1" applyBorder="1" applyAlignment="1">
      <alignment horizontal="center" vertical="center" wrapText="1"/>
    </xf>
    <xf numFmtId="14" fontId="28" fillId="0" borderId="8" xfId="0" applyNumberFormat="1" applyFont="1" applyBorder="1" applyAlignment="1">
      <alignment horizontal="center" vertical="center" wrapText="1"/>
    </xf>
    <xf numFmtId="0" fontId="28" fillId="0" borderId="9" xfId="0" applyFont="1" applyBorder="1" applyAlignment="1">
      <alignment horizontal="center" vertical="center" wrapText="1"/>
    </xf>
    <xf numFmtId="0" fontId="28" fillId="0" borderId="1" xfId="0" applyFont="1" applyBorder="1" applyAlignment="1">
      <alignment vertical="center" wrapText="1"/>
    </xf>
    <xf numFmtId="3" fontId="29" fillId="5" borderId="1" xfId="0" applyNumberFormat="1" applyFont="1" applyFill="1" applyBorder="1" applyAlignment="1">
      <alignment vertical="center" wrapText="1"/>
    </xf>
    <xf numFmtId="3" fontId="29" fillId="5" borderId="11"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29" fillId="0" borderId="1" xfId="0" applyNumberFormat="1" applyFont="1" applyBorder="1" applyAlignment="1">
      <alignment vertical="center" wrapText="1"/>
    </xf>
    <xf numFmtId="3" fontId="29" fillId="0" borderId="1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29" fillId="0" borderId="1" xfId="0" applyNumberFormat="1" applyFont="1" applyFill="1" applyBorder="1" applyAlignment="1">
      <alignment vertical="center" wrapText="1"/>
    </xf>
    <xf numFmtId="3" fontId="29" fillId="0" borderId="11" xfId="0" applyNumberFormat="1" applyFont="1" applyFill="1" applyBorder="1" applyAlignment="1">
      <alignment vertical="center" wrapText="1"/>
    </xf>
    <xf numFmtId="0" fontId="28" fillId="0" borderId="1" xfId="0" applyFont="1" applyFill="1" applyBorder="1" applyAlignment="1">
      <alignment horizontal="left" vertical="center" wrapText="1" indent="2"/>
    </xf>
    <xf numFmtId="0" fontId="28" fillId="0" borderId="12" xfId="0" applyFont="1" applyBorder="1" applyAlignment="1">
      <alignment horizontal="center" vertical="center" wrapText="1"/>
    </xf>
    <xf numFmtId="0" fontId="28" fillId="0" borderId="13" xfId="0" applyFont="1" applyBorder="1" applyAlignment="1">
      <alignment vertical="center" wrapText="1"/>
    </xf>
    <xf numFmtId="3" fontId="29" fillId="5" borderId="13" xfId="0" applyNumberFormat="1" applyFont="1" applyFill="1" applyBorder="1" applyAlignment="1">
      <alignment vertical="center" wrapText="1"/>
    </xf>
    <xf numFmtId="3" fontId="29" fillId="5" borderId="20" xfId="0" applyNumberFormat="1" applyFont="1" applyFill="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8" fillId="0" borderId="9" xfId="0" applyFont="1" applyBorder="1" applyAlignment="1">
      <alignment vertical="center"/>
    </xf>
    <xf numFmtId="0" fontId="31" fillId="0" borderId="18" xfId="0" applyFont="1" applyBorder="1" applyAlignment="1">
      <alignment wrapText="1"/>
    </xf>
    <xf numFmtId="0" fontId="3" fillId="0" borderId="27" xfId="0" applyFont="1" applyBorder="1" applyAlignment="1"/>
    <xf numFmtId="0" fontId="31" fillId="0" borderId="27" xfId="0" applyFont="1" applyBorder="1" applyAlignment="1">
      <alignment wrapText="1"/>
    </xf>
    <xf numFmtId="0" fontId="8" fillId="0" borderId="18" xfId="0" applyFont="1" applyBorder="1" applyAlignment="1">
      <alignment wrapText="1"/>
    </xf>
    <xf numFmtId="0" fontId="8" fillId="0" borderId="27" xfId="0" applyFont="1" applyBorder="1" applyAlignment="1"/>
    <xf numFmtId="0" fontId="8" fillId="0" borderId="27" xfId="0" applyFont="1" applyBorder="1" applyAlignment="1">
      <alignment wrapText="1"/>
    </xf>
    <xf numFmtId="9" fontId="3" fillId="0" borderId="27" xfId="0" applyNumberFormat="1" applyFont="1" applyBorder="1" applyAlignment="1"/>
    <xf numFmtId="0" fontId="8" fillId="0" borderId="28" xfId="0" applyFont="1" applyBorder="1" applyAlignment="1">
      <alignment vertical="center"/>
    </xf>
    <xf numFmtId="0" fontId="31" fillId="0" borderId="3" xfId="0" applyFont="1" applyBorder="1" applyAlignment="1">
      <alignment wrapText="1"/>
    </xf>
    <xf numFmtId="9" fontId="3" fillId="0" borderId="29" xfId="0" applyNumberFormat="1" applyFont="1" applyBorder="1" applyAlignment="1"/>
    <xf numFmtId="0" fontId="8" fillId="0" borderId="12" xfId="0" applyFont="1" applyBorder="1"/>
    <xf numFmtId="0" fontId="31" fillId="0" borderId="19" xfId="0" applyFont="1" applyBorder="1" applyAlignment="1">
      <alignment wrapText="1"/>
    </xf>
    <xf numFmtId="0" fontId="3" fillId="0" borderId="30" xfId="0"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0" fillId="0" borderId="0" xfId="0" applyFont="1" applyFill="1"/>
    <xf numFmtId="0" fontId="3" fillId="0" borderId="2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6" fontId="3" fillId="0" borderId="1" xfId="1" applyNumberFormat="1" applyFont="1" applyFill="1" applyBorder="1" applyAlignment="1">
      <alignment horizontal="center" vertical="center"/>
    </xf>
    <xf numFmtId="166" fontId="3" fillId="0" borderId="11" xfId="1" applyNumberFormat="1" applyFont="1" applyFill="1" applyBorder="1" applyAlignment="1">
      <alignment horizontal="center" vertical="center"/>
    </xf>
    <xf numFmtId="166" fontId="0" fillId="0" borderId="0" xfId="0" applyNumberFormat="1"/>
    <xf numFmtId="0" fontId="32" fillId="0" borderId="25" xfId="0" applyFont="1" applyBorder="1" applyAlignment="1">
      <alignment vertical="center" wrapText="1"/>
    </xf>
    <xf numFmtId="166" fontId="33" fillId="0" borderId="1" xfId="1" applyNumberFormat="1" applyFont="1" applyBorder="1" applyAlignment="1">
      <alignment horizontal="center" vertical="center"/>
    </xf>
    <xf numFmtId="168" fontId="0" fillId="0" borderId="0" xfId="0" applyNumberFormat="1"/>
    <xf numFmtId="165" fontId="0" fillId="0" borderId="0" xfId="0" applyNumberFormat="1"/>
    <xf numFmtId="0" fontId="0" fillId="0" borderId="12" xfId="0" applyBorder="1"/>
    <xf numFmtId="0" fontId="15" fillId="5" borderId="26" xfId="0" applyFont="1" applyFill="1" applyBorder="1" applyAlignment="1">
      <alignment vertical="center" wrapText="1"/>
    </xf>
    <xf numFmtId="166" fontId="15" fillId="5" borderId="13" xfId="1" applyNumberFormat="1" applyFont="1" applyFill="1" applyBorder="1" applyAlignment="1">
      <alignment horizontal="center" vertical="center"/>
    </xf>
    <xf numFmtId="166" fontId="15" fillId="5" borderId="20" xfId="1" applyNumberFormat="1" applyFont="1" applyFill="1" applyBorder="1" applyAlignment="1">
      <alignment horizontal="center" vertical="center"/>
    </xf>
    <xf numFmtId="0" fontId="3" fillId="0" borderId="0" xfId="0" applyFont="1" applyFill="1" applyBorder="1" applyAlignment="1">
      <alignment vertical="center" wrapText="1"/>
    </xf>
    <xf numFmtId="43" fontId="0" fillId="0" borderId="0" xfId="0" applyNumberFormat="1"/>
    <xf numFmtId="0" fontId="3" fillId="0" borderId="32" xfId="0" applyFont="1" applyFill="1" applyBorder="1" applyAlignment="1">
      <alignment vertical="center" wrapText="1"/>
    </xf>
    <xf numFmtId="165" fontId="3" fillId="0" borderId="0" xfId="0" applyNumberFormat="1" applyFont="1"/>
    <xf numFmtId="0" fontId="6" fillId="0" borderId="0" xfId="0" applyFont="1" applyAlignment="1">
      <alignment vertical="center"/>
    </xf>
    <xf numFmtId="0" fontId="3" fillId="0" borderId="0" xfId="0" applyFont="1" applyAlignment="1">
      <alignment vertical="center"/>
    </xf>
    <xf numFmtId="0" fontId="0" fillId="0" borderId="0" xfId="0" applyAlignment="1">
      <alignment horizontal="right"/>
    </xf>
    <xf numFmtId="0" fontId="14" fillId="0" borderId="0" xfId="5" applyFont="1" applyFill="1" applyBorder="1" applyAlignment="1" applyProtection="1">
      <alignment horizontal="center" vertical="center" wrapText="1"/>
    </xf>
    <xf numFmtId="0" fontId="19"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5" xfId="0" applyFont="1" applyFill="1" applyBorder="1" applyAlignment="1">
      <alignment wrapText="1"/>
    </xf>
    <xf numFmtId="165" fontId="0" fillId="5" borderId="8" xfId="0" applyNumberFormat="1" applyFill="1" applyBorder="1" applyAlignment="1">
      <alignment horizontal="right" vertical="center"/>
    </xf>
    <xf numFmtId="0" fontId="3" fillId="0" borderId="9" xfId="0" applyFont="1" applyBorder="1" applyAlignment="1">
      <alignment horizontal="center" vertical="center"/>
    </xf>
    <xf numFmtId="0" fontId="3" fillId="0" borderId="33" xfId="0" applyFont="1" applyFill="1" applyBorder="1" applyAlignment="1"/>
    <xf numFmtId="165" fontId="0" fillId="0" borderId="11" xfId="0" applyNumberFormat="1" applyBorder="1" applyAlignment="1">
      <alignment horizontal="right"/>
    </xf>
    <xf numFmtId="165" fontId="0" fillId="0" borderId="0" xfId="0" applyNumberFormat="1" applyAlignment="1"/>
    <xf numFmtId="0" fontId="3" fillId="0" borderId="9" xfId="0" applyFont="1" applyBorder="1" applyAlignment="1">
      <alignment horizontal="center" vertical="center" wrapText="1"/>
    </xf>
    <xf numFmtId="0" fontId="3" fillId="0" borderId="33" xfId="0" applyFont="1" applyFill="1" applyBorder="1" applyAlignment="1">
      <alignment vertical="center" wrapText="1"/>
    </xf>
    <xf numFmtId="165" fontId="0" fillId="0" borderId="11" xfId="0" applyNumberFormat="1" applyBorder="1" applyAlignment="1">
      <alignment horizontal="right" wrapText="1"/>
    </xf>
    <xf numFmtId="165" fontId="0" fillId="0" borderId="0" xfId="0" applyNumberFormat="1" applyAlignment="1">
      <alignment wrapText="1"/>
    </xf>
    <xf numFmtId="0" fontId="0" fillId="0" borderId="0" xfId="0" applyAlignment="1">
      <alignment wrapText="1"/>
    </xf>
    <xf numFmtId="0" fontId="15" fillId="5" borderId="33" xfId="0" applyFont="1" applyFill="1" applyBorder="1" applyAlignment="1">
      <alignment wrapText="1"/>
    </xf>
    <xf numFmtId="165" fontId="0" fillId="5" borderId="11" xfId="0" applyNumberFormat="1" applyFill="1" applyBorder="1" applyAlignment="1">
      <alignment horizontal="right" vertical="center" wrapText="1"/>
    </xf>
    <xf numFmtId="0" fontId="3" fillId="0" borderId="33" xfId="0" applyFont="1" applyFill="1" applyBorder="1" applyAlignment="1">
      <alignment vertical="center"/>
    </xf>
    <xf numFmtId="165" fontId="0" fillId="0" borderId="11" xfId="0" applyNumberFormat="1" applyFill="1" applyBorder="1" applyAlignment="1">
      <alignment horizontal="right"/>
    </xf>
    <xf numFmtId="0" fontId="3" fillId="0" borderId="33" xfId="0" applyFont="1" applyBorder="1" applyAlignment="1">
      <alignment wrapText="1"/>
    </xf>
    <xf numFmtId="0" fontId="3" fillId="0" borderId="12" xfId="0" applyFont="1" applyBorder="1" applyAlignment="1">
      <alignment horizontal="center" vertical="center" wrapText="1"/>
    </xf>
    <xf numFmtId="0" fontId="15" fillId="5" borderId="34" xfId="0" applyFont="1" applyFill="1" applyBorder="1" applyAlignment="1">
      <alignment wrapText="1"/>
    </xf>
    <xf numFmtId="165" fontId="0" fillId="5" borderId="20" xfId="0" applyNumberFormat="1" applyFill="1" applyBorder="1" applyAlignment="1">
      <alignment horizontal="right" vertical="center" wrapText="1"/>
    </xf>
    <xf numFmtId="169" fontId="0" fillId="0" borderId="0" xfId="0" applyNumberFormat="1" applyAlignment="1">
      <alignment horizontal="right"/>
    </xf>
    <xf numFmtId="0" fontId="6" fillId="0" borderId="0" xfId="0" applyFont="1" applyAlignment="1">
      <alignment horizontal="center" vertical="center"/>
    </xf>
    <xf numFmtId="165" fontId="0" fillId="0" borderId="0" xfId="0" applyNumberFormat="1" applyAlignment="1">
      <alignment horizontal="right"/>
    </xf>
    <xf numFmtId="166" fontId="0" fillId="0" borderId="0" xfId="1" applyNumberFormat="1" applyFont="1" applyAlignment="1">
      <alignment horizontal="right"/>
    </xf>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33" fillId="2" borderId="11" xfId="1" applyNumberFormat="1" applyFont="1" applyFill="1" applyBorder="1" applyAlignment="1" applyProtection="1">
      <alignment vertical="top"/>
      <protection locked="0"/>
    </xf>
    <xf numFmtId="166" fontId="7" fillId="5" borderId="11"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2" xfId="9" applyFont="1" applyFill="1" applyBorder="1" applyAlignment="1" applyProtection="1">
      <alignment horizontal="center" vertical="center" wrapText="1"/>
      <protection locked="0"/>
    </xf>
    <xf numFmtId="0" fontId="14" fillId="5" borderId="13" xfId="11" applyFont="1" applyFill="1" applyBorder="1" applyAlignment="1" applyProtection="1">
      <alignment vertical="center" wrapText="1"/>
      <protection locked="0"/>
    </xf>
    <xf numFmtId="166" fontId="7" fillId="5" borderId="20" xfId="1" applyNumberFormat="1" applyFont="1" applyFill="1" applyBorder="1" applyAlignment="1" applyProtection="1">
      <alignment vertical="top" wrapText="1"/>
    </xf>
    <xf numFmtId="166" fontId="3" fillId="0" borderId="0" xfId="1" applyNumberFormat="1" applyFont="1"/>
    <xf numFmtId="0" fontId="15" fillId="0" borderId="0" xfId="12" applyFont="1" applyFill="1" applyAlignment="1" applyProtection="1">
      <alignment horizontal="left" vertical="center"/>
      <protection locked="0"/>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0" borderId="0" xfId="0" applyFont="1" applyFill="1" applyAlignment="1">
      <alignment horizontal="center" vertical="center"/>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3" fillId="0" borderId="0" xfId="0" applyFont="1" applyFill="1" applyAlignment="1">
      <alignment horizontal="left" vertical="center"/>
    </xf>
    <xf numFmtId="0" fontId="3" fillId="0" borderId="9" xfId="0" applyFont="1" applyFill="1" applyBorder="1" applyAlignment="1">
      <alignment horizontal="right" vertical="center" wrapText="1"/>
    </xf>
    <xf numFmtId="0" fontId="3" fillId="0" borderId="1" xfId="0" applyFont="1" applyFill="1" applyBorder="1" applyAlignment="1">
      <alignment horizontal="left" vertical="center" wrapText="1"/>
    </xf>
    <xf numFmtId="10" fontId="7" fillId="0" borderId="1" xfId="2" applyNumberFormat="1" applyFont="1" applyFill="1" applyBorder="1" applyAlignment="1">
      <alignment horizontal="left" vertical="center" wrapText="1"/>
    </xf>
    <xf numFmtId="166" fontId="3" fillId="0" borderId="11" xfId="1" applyNumberFormat="1" applyFont="1" applyFill="1" applyBorder="1" applyAlignment="1">
      <alignment horizontal="right" vertical="center" wrapText="1"/>
    </xf>
    <xf numFmtId="10" fontId="3" fillId="0" borderId="1" xfId="2" applyNumberFormat="1" applyFont="1" applyFill="1" applyBorder="1" applyAlignment="1">
      <alignment horizontal="left" vertical="center" wrapText="1"/>
    </xf>
    <xf numFmtId="166" fontId="15" fillId="5" borderId="11" xfId="1" applyNumberFormat="1" applyFont="1" applyFill="1" applyBorder="1" applyAlignment="1">
      <alignment horizontal="right" vertical="center" wrapText="1"/>
    </xf>
    <xf numFmtId="0" fontId="12" fillId="0" borderId="9" xfId="0" applyFont="1" applyFill="1" applyBorder="1" applyAlignment="1">
      <alignment horizontal="right" vertical="center" wrapText="1"/>
    </xf>
    <xf numFmtId="0" fontId="12" fillId="0" borderId="1" xfId="0" applyFont="1" applyFill="1" applyBorder="1" applyAlignment="1">
      <alignment horizontal="left" vertical="center" wrapText="1"/>
    </xf>
    <xf numFmtId="10" fontId="12" fillId="0" borderId="1" xfId="2" applyNumberFormat="1" applyFont="1" applyFill="1" applyBorder="1" applyAlignment="1">
      <alignment horizontal="left" vertical="center" wrapText="1"/>
    </xf>
    <xf numFmtId="166" fontId="12" fillId="0" borderId="11" xfId="1" applyNumberFormat="1" applyFont="1" applyFill="1" applyBorder="1" applyAlignment="1">
      <alignment horizontal="right" vertical="center" wrapText="1"/>
    </xf>
    <xf numFmtId="0" fontId="12" fillId="0" borderId="0" xfId="0" applyFont="1" applyFill="1" applyAlignment="1">
      <alignment horizontal="left" vertical="center"/>
    </xf>
    <xf numFmtId="9" fontId="15" fillId="5" borderId="1" xfId="2" applyFont="1" applyFill="1" applyBorder="1" applyAlignment="1">
      <alignment horizontal="left" vertical="center" wrapText="1"/>
    </xf>
    <xf numFmtId="49" fontId="12" fillId="0" borderId="9" xfId="0" applyNumberFormat="1" applyFont="1" applyFill="1" applyBorder="1" applyAlignment="1">
      <alignment horizontal="right" vertical="center" wrapText="1"/>
    </xf>
    <xf numFmtId="10" fontId="12" fillId="0" borderId="1" xfId="0" applyNumberFormat="1" applyFont="1" applyFill="1" applyBorder="1" applyAlignment="1">
      <alignment horizontal="left" vertical="center" wrapText="1"/>
    </xf>
    <xf numFmtId="0" fontId="15" fillId="5" borderId="1" xfId="0" applyFont="1" applyFill="1" applyBorder="1" applyAlignment="1">
      <alignment horizontal="center" vertical="center" wrapText="1"/>
    </xf>
    <xf numFmtId="166" fontId="15" fillId="5" borderId="11" xfId="1"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49" fontId="34" fillId="0" borderId="12" xfId="13" applyNumberFormat="1" applyFont="1" applyFill="1" applyBorder="1" applyAlignment="1" applyProtection="1">
      <alignment horizontal="left" vertical="center"/>
      <protection locked="0"/>
    </xf>
    <xf numFmtId="0" fontId="35" fillId="0" borderId="13" xfId="9" applyFont="1" applyFill="1" applyBorder="1" applyAlignment="1" applyProtection="1">
      <alignment horizontal="left" vertical="center" wrapText="1"/>
      <protection locked="0"/>
    </xf>
    <xf numFmtId="10" fontId="35" fillId="0" borderId="13" xfId="2" applyNumberFormat="1" applyFont="1" applyFill="1" applyBorder="1" applyAlignment="1" applyProtection="1">
      <alignment horizontal="left" vertical="center"/>
    </xf>
    <xf numFmtId="166" fontId="7" fillId="0" borderId="20" xfId="1" applyNumberFormat="1" applyFont="1" applyFill="1" applyBorder="1" applyAlignment="1" applyProtection="1">
      <alignment horizontal="right" vertical="center"/>
    </xf>
    <xf numFmtId="0" fontId="13" fillId="0" borderId="0" xfId="5" applyFont="1" applyFill="1" applyBorder="1" applyProtection="1"/>
    <xf numFmtId="0" fontId="6" fillId="0" borderId="0" xfId="0" applyFont="1"/>
    <xf numFmtId="0" fontId="13" fillId="0" borderId="0" xfId="5" applyFont="1" applyFill="1" applyBorder="1" applyAlignment="1" applyProtection="1"/>
    <xf numFmtId="0" fontId="13" fillId="0" borderId="0" xfId="5" applyFont="1" applyFill="1" applyBorder="1" applyAlignment="1" applyProtection="1">
      <alignment horizontal="center"/>
    </xf>
    <xf numFmtId="0" fontId="19"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6" fillId="0" borderId="9" xfId="0" applyFont="1" applyBorder="1" applyAlignment="1">
      <alignment horizontal="center"/>
    </xf>
    <xf numFmtId="0" fontId="6" fillId="0" borderId="39" xfId="0" applyFont="1" applyBorder="1" applyAlignment="1">
      <alignment wrapText="1"/>
    </xf>
    <xf numFmtId="165" fontId="6" fillId="0" borderId="40" xfId="0" applyNumberFormat="1" applyFont="1" applyBorder="1" applyAlignment="1">
      <alignment vertical="center"/>
    </xf>
    <xf numFmtId="168" fontId="6" fillId="0" borderId="41" xfId="0" applyNumberFormat="1" applyFont="1" applyBorder="1" applyAlignment="1">
      <alignment horizontal="center"/>
    </xf>
    <xf numFmtId="168" fontId="0" fillId="0" borderId="0" xfId="0" applyNumberFormat="1" applyBorder="1" applyAlignment="1">
      <alignment horizontal="center"/>
    </xf>
    <xf numFmtId="0" fontId="6" fillId="0" borderId="42" xfId="0" applyFont="1" applyBorder="1" applyAlignment="1">
      <alignment wrapText="1"/>
    </xf>
    <xf numFmtId="168" fontId="6" fillId="0" borderId="43" xfId="0" applyNumberFormat="1" applyFont="1" applyBorder="1" applyAlignment="1">
      <alignment horizontal="center"/>
    </xf>
    <xf numFmtId="165" fontId="21" fillId="0" borderId="44" xfId="0" applyNumberFormat="1" applyFont="1" applyBorder="1" applyAlignment="1">
      <alignment vertical="center"/>
    </xf>
    <xf numFmtId="168" fontId="21" fillId="0" borderId="43" xfId="0" applyNumberFormat="1" applyFont="1" applyBorder="1" applyAlignment="1">
      <alignment horizontal="center"/>
    </xf>
    <xf numFmtId="168" fontId="26" fillId="0" borderId="0" xfId="0" applyNumberFormat="1" applyFont="1" applyBorder="1" applyAlignment="1">
      <alignment horizontal="center"/>
    </xf>
    <xf numFmtId="0" fontId="21" fillId="0" borderId="42" xfId="0" applyFont="1" applyBorder="1" applyAlignment="1">
      <alignment wrapText="1"/>
    </xf>
    <xf numFmtId="166" fontId="36" fillId="0" borderId="44" xfId="1" applyNumberFormat="1" applyFont="1" applyBorder="1" applyAlignment="1">
      <alignment vertical="center"/>
    </xf>
    <xf numFmtId="0" fontId="21" fillId="0" borderId="42" xfId="0" applyFont="1" applyBorder="1" applyAlignment="1">
      <alignment horizontal="right" wrapText="1"/>
    </xf>
    <xf numFmtId="165" fontId="6" fillId="5" borderId="44" xfId="0" applyNumberFormat="1" applyFont="1" applyFill="1" applyBorder="1" applyAlignment="1">
      <alignment vertical="center"/>
    </xf>
    <xf numFmtId="165" fontId="6" fillId="0" borderId="44" xfId="0" applyNumberFormat="1" applyFont="1" applyBorder="1" applyAlignment="1">
      <alignment vertical="center"/>
    </xf>
    <xf numFmtId="168" fontId="19" fillId="6" borderId="43" xfId="0" applyNumberFormat="1" applyFont="1" applyFill="1" applyBorder="1" applyAlignment="1">
      <alignment horizontal="center"/>
    </xf>
    <xf numFmtId="0" fontId="6" fillId="0" borderId="45" xfId="0" applyFont="1" applyBorder="1" applyAlignment="1">
      <alignment wrapText="1"/>
    </xf>
    <xf numFmtId="165" fontId="6" fillId="0" borderId="46" xfId="0" applyNumberFormat="1" applyFont="1" applyBorder="1" applyAlignment="1">
      <alignment vertical="center"/>
    </xf>
    <xf numFmtId="0" fontId="37" fillId="5" borderId="47" xfId="0" applyFont="1" applyFill="1" applyBorder="1" applyAlignment="1">
      <alignment wrapText="1"/>
    </xf>
    <xf numFmtId="165" fontId="37" fillId="5" borderId="48" xfId="0" applyNumberFormat="1" applyFont="1" applyFill="1" applyBorder="1" applyAlignment="1">
      <alignment vertical="center"/>
    </xf>
    <xf numFmtId="168" fontId="37" fillId="5" borderId="49" xfId="0" applyNumberFormat="1" applyFont="1" applyFill="1" applyBorder="1" applyAlignment="1">
      <alignment horizontal="center"/>
    </xf>
    <xf numFmtId="168" fontId="2" fillId="0" borderId="0" xfId="0" applyNumberFormat="1" applyFont="1" applyFill="1" applyBorder="1" applyAlignment="1">
      <alignment horizontal="center"/>
    </xf>
    <xf numFmtId="165" fontId="6" fillId="0" borderId="50" xfId="0" applyNumberFormat="1" applyFont="1" applyBorder="1" applyAlignment="1">
      <alignment vertical="center"/>
    </xf>
    <xf numFmtId="168" fontId="6" fillId="0" borderId="51" xfId="0" applyNumberFormat="1" applyFont="1" applyBorder="1" applyAlignment="1">
      <alignment horizontal="center"/>
    </xf>
    <xf numFmtId="0" fontId="21" fillId="0" borderId="45" xfId="0" applyFont="1" applyBorder="1" applyAlignment="1">
      <alignment horizontal="right" wrapText="1"/>
    </xf>
    <xf numFmtId="166" fontId="21" fillId="0" borderId="50" xfId="1" applyNumberFormat="1" applyFont="1" applyBorder="1" applyAlignment="1">
      <alignment vertical="center"/>
    </xf>
    <xf numFmtId="166" fontId="6" fillId="0" borderId="44" xfId="1" applyNumberFormat="1" applyFont="1" applyBorder="1" applyAlignment="1">
      <alignment vertical="center"/>
    </xf>
    <xf numFmtId="166" fontId="8" fillId="0" borderId="44" xfId="1" applyNumberFormat="1" applyFont="1" applyBorder="1" applyAlignment="1">
      <alignment vertical="center"/>
    </xf>
    <xf numFmtId="0" fontId="6" fillId="0" borderId="12" xfId="0" applyFont="1" applyBorder="1" applyAlignment="1">
      <alignment horizontal="center"/>
    </xf>
    <xf numFmtId="0" fontId="37" fillId="5" borderId="52" xfId="0" applyFont="1" applyFill="1" applyBorder="1" applyAlignment="1">
      <alignment wrapText="1"/>
    </xf>
    <xf numFmtId="165" fontId="37" fillId="5" borderId="53" xfId="0" applyNumberFormat="1" applyFont="1" applyFill="1" applyBorder="1" applyAlignment="1">
      <alignment vertical="center"/>
    </xf>
    <xf numFmtId="168" fontId="37" fillId="5" borderId="54"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5" xfId="0" applyFont="1" applyBorder="1"/>
    <xf numFmtId="0" fontId="3" fillId="0" borderId="56" xfId="0" applyFont="1" applyBorder="1"/>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57" xfId="0" applyFont="1" applyBorder="1"/>
    <xf numFmtId="9" fontId="39" fillId="0" borderId="1" xfId="0" applyNumberFormat="1" applyFont="1" applyFill="1" applyBorder="1" applyAlignment="1">
      <alignment horizontal="center" vertical="center"/>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18" xfId="1" applyNumberFormat="1" applyFont="1" applyBorder="1" applyAlignment="1"/>
    <xf numFmtId="43" fontId="3" fillId="0" borderId="11" xfId="1" applyNumberFormat="1" applyFont="1" applyBorder="1" applyAlignment="1"/>
    <xf numFmtId="0" fontId="25" fillId="0" borderId="0" xfId="0" applyFont="1" applyAlignment="1"/>
    <xf numFmtId="166" fontId="3" fillId="0" borderId="11" xfId="1" applyNumberFormat="1" applyFont="1" applyBorder="1" applyAlignment="1"/>
    <xf numFmtId="0" fontId="7" fillId="2" borderId="12" xfId="9" applyFont="1" applyFill="1" applyBorder="1" applyAlignment="1" applyProtection="1">
      <alignment horizontal="left" vertical="center"/>
      <protection locked="0"/>
    </xf>
    <xf numFmtId="0" fontId="14" fillId="2" borderId="13" xfId="14" applyFont="1" applyFill="1" applyBorder="1" applyAlignment="1" applyProtection="1">
      <protection locked="0"/>
    </xf>
    <xf numFmtId="166" fontId="3" fillId="5" borderId="13" xfId="1" applyNumberFormat="1" applyFont="1" applyFill="1" applyBorder="1"/>
    <xf numFmtId="166" fontId="3" fillId="5" borderId="20" xfId="1" applyNumberFormat="1" applyFont="1" applyFill="1" applyBorder="1"/>
    <xf numFmtId="0" fontId="15" fillId="0" borderId="0" xfId="0" applyFont="1" applyFill="1" applyAlignment="1">
      <alignment horizontal="center" wrapText="1"/>
    </xf>
    <xf numFmtId="0" fontId="3" fillId="0" borderId="6" xfId="0" applyFont="1" applyBorder="1"/>
    <xf numFmtId="0" fontId="3" fillId="0" borderId="8" xfId="0" applyFont="1" applyBorder="1"/>
    <xf numFmtId="0" fontId="3" fillId="0" borderId="11" xfId="0" applyFont="1" applyBorder="1" applyAlignment="1">
      <alignment horizontal="center" vertical="center"/>
    </xf>
    <xf numFmtId="166" fontId="7" fillId="2" borderId="9" xfId="15" applyNumberFormat="1" applyFont="1" applyFill="1" applyBorder="1" applyAlignment="1" applyProtection="1">
      <alignment horizontal="center" vertical="center" wrapText="1"/>
      <protection locked="0"/>
    </xf>
    <xf numFmtId="166" fontId="7" fillId="2" borderId="1" xfId="15"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5" applyNumberFormat="1" applyFont="1" applyFill="1" applyBorder="1" applyAlignment="1" applyProtection="1">
      <alignment horizontal="center" vertical="center" wrapText="1"/>
      <protection locked="0"/>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1" xfId="0" applyNumberFormat="1" applyFont="1" applyBorder="1" applyAlignment="1"/>
    <xf numFmtId="166" fontId="3" fillId="0" borderId="27" xfId="1" applyNumberFormat="1" applyFont="1" applyBorder="1" applyAlignment="1">
      <alignment wrapText="1"/>
    </xf>
    <xf numFmtId="165" fontId="3" fillId="0" borderId="27" xfId="0" applyNumberFormat="1" applyFont="1" applyBorder="1" applyAlignment="1"/>
    <xf numFmtId="165" fontId="3" fillId="5" borderId="62" xfId="0" applyNumberFormat="1" applyFont="1" applyFill="1" applyBorder="1" applyAlignment="1"/>
    <xf numFmtId="0" fontId="14" fillId="2" borderId="20" xfId="14" applyFont="1" applyFill="1" applyBorder="1" applyAlignment="1" applyProtection="1">
      <protection locked="0"/>
    </xf>
    <xf numFmtId="165" fontId="3" fillId="5" borderId="12" xfId="0" applyNumberFormat="1" applyFont="1" applyFill="1" applyBorder="1"/>
    <xf numFmtId="165" fontId="3" fillId="5" borderId="13" xfId="0" applyNumberFormat="1" applyFont="1" applyFill="1" applyBorder="1"/>
    <xf numFmtId="165" fontId="3" fillId="5" borderId="20" xfId="0" applyNumberFormat="1" applyFont="1" applyFill="1" applyBorder="1"/>
    <xf numFmtId="165" fontId="3" fillId="5" borderId="63"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4" xfId="0" applyFont="1" applyBorder="1" applyAlignment="1">
      <alignment wrapText="1"/>
    </xf>
    <xf numFmtId="0" fontId="3" fillId="0" borderId="8" xfId="0" applyFont="1" applyBorder="1" applyAlignment="1">
      <alignment wrapText="1"/>
    </xf>
    <xf numFmtId="0" fontId="25" fillId="0" borderId="0" xfId="0" applyFont="1" applyAlignment="1">
      <alignment wrapText="1"/>
    </xf>
    <xf numFmtId="0" fontId="3" fillId="0" borderId="24" xfId="0" applyFont="1" applyBorder="1"/>
    <xf numFmtId="0" fontId="3" fillId="0" borderId="1"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8" xfId="1" applyNumberFormat="1" applyFont="1" applyBorder="1"/>
    <xf numFmtId="9" fontId="3" fillId="0" borderId="11" xfId="2" applyFont="1" applyBorder="1"/>
    <xf numFmtId="0" fontId="3" fillId="0" borderId="12" xfId="0" applyFont="1" applyBorder="1"/>
    <xf numFmtId="0" fontId="15" fillId="0" borderId="13" xfId="0" applyFont="1" applyBorder="1"/>
    <xf numFmtId="9" fontId="3" fillId="5" borderId="20" xfId="2" applyFont="1" applyFill="1" applyBorder="1"/>
    <xf numFmtId="43" fontId="3" fillId="0" borderId="0" xfId="0" applyNumberFormat="1" applyFont="1"/>
    <xf numFmtId="0" fontId="32" fillId="2" borderId="65" xfId="0" applyFont="1" applyFill="1" applyBorder="1" applyAlignment="1">
      <alignment horizontal="left"/>
    </xf>
    <xf numFmtId="0" fontId="32" fillId="2" borderId="4" xfId="0" applyFont="1" applyFill="1" applyBorder="1" applyAlignment="1">
      <alignment horizontal="left"/>
    </xf>
    <xf numFmtId="0" fontId="3" fillId="0" borderId="11" xfId="0" applyFont="1" applyFill="1" applyBorder="1" applyAlignment="1">
      <alignment horizontal="center" vertical="center" wrapText="1"/>
    </xf>
    <xf numFmtId="0" fontId="15" fillId="2" borderId="36" xfId="0" applyFont="1" applyFill="1" applyBorder="1" applyAlignment="1">
      <alignment vertical="center"/>
    </xf>
    <xf numFmtId="0" fontId="3" fillId="2" borderId="33" xfId="0" applyFont="1" applyFill="1" applyBorder="1" applyAlignment="1">
      <alignment vertical="center"/>
    </xf>
    <xf numFmtId="0" fontId="3" fillId="2" borderId="27"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6" xfId="1" applyNumberFormat="1" applyFont="1" applyFill="1" applyBorder="1" applyAlignment="1">
      <alignment vertical="center"/>
    </xf>
    <xf numFmtId="166" fontId="3" fillId="0" borderId="31"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8"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3" xfId="1" applyNumberFormat="1" applyFont="1" applyFill="1" applyBorder="1" applyAlignment="1">
      <alignment vertical="center"/>
    </xf>
    <xf numFmtId="166" fontId="3" fillId="2" borderId="27" xfId="1" applyNumberFormat="1" applyFont="1" applyFill="1" applyBorder="1" applyAlignment="1">
      <alignment vertical="center"/>
    </xf>
    <xf numFmtId="0" fontId="15" fillId="0" borderId="13" xfId="0" applyFont="1" applyFill="1" applyBorder="1" applyAlignment="1">
      <alignment vertical="center"/>
    </xf>
    <xf numFmtId="166" fontId="3" fillId="0" borderId="13" xfId="1" applyNumberFormat="1" applyFont="1" applyFill="1" applyBorder="1" applyAlignment="1">
      <alignment vertical="center"/>
    </xf>
    <xf numFmtId="166" fontId="3" fillId="0" borderId="19" xfId="1" applyNumberFormat="1" applyFont="1" applyFill="1" applyBorder="1" applyAlignment="1">
      <alignment vertical="center"/>
    </xf>
    <xf numFmtId="0" fontId="3" fillId="2" borderId="57" xfId="0" applyFont="1" applyFill="1" applyBorder="1" applyAlignment="1">
      <alignment horizontal="center" vertical="center"/>
    </xf>
    <xf numFmtId="0" fontId="3" fillId="2"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6" xfId="6" applyBorder="1"/>
    <xf numFmtId="166" fontId="3" fillId="0" borderId="14"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28" xfId="0" applyFont="1" applyFill="1" applyBorder="1" applyAlignment="1">
      <alignment horizontal="center" vertical="center"/>
    </xf>
    <xf numFmtId="0" fontId="3" fillId="0" borderId="2" xfId="0" applyFont="1" applyFill="1" applyBorder="1" applyAlignment="1">
      <alignment vertical="center"/>
    </xf>
    <xf numFmtId="164" fontId="16" fillId="3" borderId="19" xfId="6" applyBorder="1"/>
    <xf numFmtId="164" fontId="16" fillId="3" borderId="34" xfId="6" applyBorder="1"/>
    <xf numFmtId="164" fontId="16" fillId="3" borderId="26" xfId="6" applyBorder="1"/>
    <xf numFmtId="166" fontId="3" fillId="0" borderId="3" xfId="1" applyNumberFormat="1" applyFont="1" applyFill="1" applyBorder="1" applyAlignment="1">
      <alignment vertical="center"/>
    </xf>
    <xf numFmtId="166" fontId="3" fillId="0" borderId="58" xfId="1" applyNumberFormat="1" applyFont="1" applyFill="1" applyBorder="1" applyAlignment="1">
      <alignment vertical="center"/>
    </xf>
    <xf numFmtId="0" fontId="3" fillId="0" borderId="67" xfId="0" applyFont="1" applyFill="1" applyBorder="1" applyAlignment="1">
      <alignment horizontal="center" vertical="center"/>
    </xf>
    <xf numFmtId="0" fontId="3" fillId="0" borderId="68" xfId="0" applyFont="1" applyFill="1" applyBorder="1" applyAlignment="1">
      <alignment vertical="center"/>
    </xf>
    <xf numFmtId="164" fontId="16" fillId="3" borderId="69" xfId="6" applyBorder="1"/>
    <xf numFmtId="9" fontId="3" fillId="0" borderId="70" xfId="2" applyNumberFormat="1" applyFont="1" applyFill="1" applyBorder="1" applyAlignment="1">
      <alignment vertical="center"/>
    </xf>
    <xf numFmtId="9" fontId="3" fillId="0" borderId="70" xfId="2" applyFont="1" applyFill="1" applyBorder="1" applyAlignment="1">
      <alignment vertical="center"/>
    </xf>
    <xf numFmtId="9" fontId="3" fillId="0" borderId="71" xfId="2" applyFont="1" applyFill="1" applyBorder="1" applyAlignment="1">
      <alignment vertical="center"/>
    </xf>
    <xf numFmtId="0" fontId="3" fillId="0" borderId="0" xfId="0" applyFont="1" applyAlignment="1">
      <alignment wrapText="1"/>
    </xf>
    <xf numFmtId="0" fontId="37" fillId="0" borderId="0" xfId="0" applyFont="1"/>
    <xf numFmtId="0" fontId="3" fillId="0" borderId="55" xfId="0" applyFont="1" applyBorder="1" applyAlignment="1">
      <alignment horizontal="center"/>
    </xf>
    <xf numFmtId="0" fontId="3" fillId="0" borderId="5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5"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5"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1" xfId="1" applyNumberFormat="1" applyFont="1" applyFill="1" applyBorder="1" applyProtection="1"/>
    <xf numFmtId="0" fontId="25" fillId="0" borderId="0" xfId="0" applyFont="1" applyProtection="1"/>
    <xf numFmtId="0" fontId="8" fillId="2" borderId="1" xfId="11" applyFont="1" applyFill="1" applyBorder="1" applyAlignment="1" applyProtection="1">
      <alignment horizontal="left" vertical="center" wrapText="1"/>
      <protection locked="0"/>
    </xf>
    <xf numFmtId="167"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67" fontId="8" fillId="7"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2" xfId="9" applyFont="1" applyFill="1" applyBorder="1" applyAlignment="1" applyProtection="1">
      <alignment horizontal="right" vertical="center"/>
      <protection locked="0"/>
    </xf>
    <xf numFmtId="0" fontId="13" fillId="2" borderId="13" xfId="14" applyFont="1" applyFill="1" applyBorder="1" applyAlignment="1" applyProtection="1">
      <protection locked="0"/>
    </xf>
    <xf numFmtId="165" fontId="13" fillId="5" borderId="13" xfId="14" applyNumberFormat="1" applyFont="1" applyFill="1" applyBorder="1" applyAlignment="1" applyProtection="1"/>
    <xf numFmtId="3" fontId="13" fillId="5" borderId="13" xfId="14" applyNumberFormat="1" applyFont="1" applyFill="1" applyBorder="1" applyAlignment="1" applyProtection="1"/>
    <xf numFmtId="165" fontId="13" fillId="5" borderId="13" xfId="15" applyNumberFormat="1" applyFont="1" applyFill="1" applyBorder="1" applyAlignment="1" applyProtection="1"/>
    <xf numFmtId="0" fontId="6" fillId="0" borderId="0" xfId="0" applyFont="1" applyProtection="1"/>
    <xf numFmtId="165" fontId="6" fillId="0" borderId="0" xfId="0" applyNumberFormat="1" applyFont="1" applyProtection="1"/>
    <xf numFmtId="0" fontId="4" fillId="0" borderId="0" xfId="17"/>
    <xf numFmtId="0" fontId="4" fillId="0" borderId="0" xfId="17" applyAlignment="1">
      <alignment wrapText="1"/>
    </xf>
    <xf numFmtId="0" fontId="41" fillId="8" borderId="25" xfId="18" applyFont="1" applyFill="1" applyBorder="1" applyAlignment="1">
      <alignment horizontal="center" wrapText="1"/>
    </xf>
    <xf numFmtId="0" fontId="42" fillId="0" borderId="1" xfId="17" applyFont="1" applyBorder="1" applyAlignment="1">
      <alignment horizontal="center" vertical="center"/>
    </xf>
    <xf numFmtId="0" fontId="43" fillId="9" borderId="18" xfId="19" applyFont="1" applyFill="1" applyBorder="1" applyAlignment="1">
      <alignment vertical="center" wrapText="1"/>
    </xf>
    <xf numFmtId="0" fontId="44" fillId="9" borderId="25" xfId="19" applyFont="1" applyFill="1" applyBorder="1" applyAlignment="1">
      <alignment vertical="center"/>
    </xf>
    <xf numFmtId="0" fontId="45" fillId="8" borderId="2" xfId="19" applyFont="1" applyFill="1" applyBorder="1" applyAlignment="1">
      <alignment horizontal="center" vertical="center"/>
    </xf>
    <xf numFmtId="0" fontId="45" fillId="0" borderId="25" xfId="19" applyFont="1" applyFill="1" applyBorder="1" applyAlignment="1">
      <alignment horizontal="left" vertical="center" wrapText="1"/>
    </xf>
    <xf numFmtId="166" fontId="45" fillId="0" borderId="1" xfId="20" applyNumberFormat="1" applyFont="1" applyFill="1" applyBorder="1" applyAlignment="1" applyProtection="1">
      <alignment horizontal="right" vertical="center"/>
      <protection locked="0"/>
    </xf>
    <xf numFmtId="0" fontId="43" fillId="10" borderId="1" xfId="19" applyFont="1" applyFill="1" applyBorder="1" applyAlignment="1">
      <alignment horizontal="center" vertical="center"/>
    </xf>
    <xf numFmtId="0" fontId="43" fillId="10" borderId="25" xfId="19" applyFont="1" applyFill="1" applyBorder="1" applyAlignment="1">
      <alignment vertical="top" wrapText="1"/>
    </xf>
    <xf numFmtId="166" fontId="45" fillId="10" borderId="1" xfId="20" applyNumberFormat="1" applyFont="1" applyFill="1" applyBorder="1" applyAlignment="1" applyProtection="1">
      <alignment horizontal="right" vertical="center"/>
    </xf>
    <xf numFmtId="0" fontId="43" fillId="9" borderId="18" xfId="19" applyFont="1" applyFill="1" applyBorder="1" applyAlignment="1">
      <alignment vertical="center"/>
    </xf>
    <xf numFmtId="166" fontId="44" fillId="9" borderId="25" xfId="20" applyNumberFormat="1" applyFont="1" applyFill="1" applyBorder="1" applyAlignment="1">
      <alignment horizontal="right" vertical="center"/>
    </xf>
    <xf numFmtId="0" fontId="46" fillId="8" borderId="2" xfId="19" applyFont="1" applyFill="1" applyBorder="1" applyAlignment="1">
      <alignment horizontal="center" vertical="center"/>
    </xf>
    <xf numFmtId="0" fontId="45" fillId="8" borderId="25" xfId="19" applyFont="1" applyFill="1" applyBorder="1" applyAlignment="1">
      <alignment vertical="center" wrapText="1"/>
    </xf>
    <xf numFmtId="0" fontId="45" fillId="8" borderId="25" xfId="19" applyFont="1" applyFill="1" applyBorder="1" applyAlignment="1">
      <alignment horizontal="left" vertical="center" wrapText="1"/>
    </xf>
    <xf numFmtId="0" fontId="46" fillId="2" borderId="2" xfId="19" applyFont="1" applyFill="1" applyBorder="1" applyAlignment="1">
      <alignment horizontal="center" vertical="center"/>
    </xf>
    <xf numFmtId="0" fontId="45" fillId="0" borderId="25" xfId="19" applyFont="1" applyFill="1" applyBorder="1" applyAlignment="1">
      <alignment vertical="center" wrapText="1"/>
    </xf>
    <xf numFmtId="0" fontId="45" fillId="2" borderId="25" xfId="19" applyFont="1" applyFill="1" applyBorder="1" applyAlignment="1">
      <alignment horizontal="left" vertical="center" wrapText="1"/>
    </xf>
    <xf numFmtId="0" fontId="46" fillId="0" borderId="2" xfId="19" applyFont="1" applyFill="1" applyBorder="1" applyAlignment="1">
      <alignment horizontal="center" vertical="center"/>
    </xf>
    <xf numFmtId="0" fontId="47" fillId="10" borderId="1" xfId="19" applyFont="1" applyFill="1" applyBorder="1" applyAlignment="1">
      <alignment horizontal="center" vertical="center"/>
    </xf>
    <xf numFmtId="0" fontId="43" fillId="10" borderId="25" xfId="19" applyFont="1" applyFill="1" applyBorder="1" applyAlignment="1">
      <alignment vertical="center" wrapText="1"/>
    </xf>
    <xf numFmtId="166" fontId="45" fillId="10" borderId="1" xfId="20" applyNumberFormat="1" applyFont="1" applyFill="1" applyBorder="1" applyAlignment="1" applyProtection="1">
      <alignment horizontal="right" vertical="center"/>
      <protection locked="0"/>
    </xf>
    <xf numFmtId="166" fontId="43" fillId="9" borderId="25" xfId="20" applyNumberFormat="1" applyFont="1" applyFill="1" applyBorder="1" applyAlignment="1">
      <alignment horizontal="right" vertical="center"/>
    </xf>
    <xf numFmtId="0" fontId="43" fillId="9" borderId="18" xfId="19" applyFont="1" applyFill="1" applyBorder="1" applyAlignment="1">
      <alignment horizontal="center" vertical="center"/>
    </xf>
    <xf numFmtId="166" fontId="45" fillId="2" borderId="1" xfId="20" applyNumberFormat="1" applyFont="1" applyFill="1" applyBorder="1" applyAlignment="1" applyProtection="1">
      <alignment horizontal="right" vertical="center"/>
      <protection locked="0"/>
    </xf>
    <xf numFmtId="0" fontId="43" fillId="0" borderId="25" xfId="19" applyFont="1" applyFill="1" applyBorder="1" applyAlignment="1">
      <alignment vertical="center" wrapText="1"/>
    </xf>
    <xf numFmtId="10" fontId="45" fillId="0" borderId="1" xfId="21" applyNumberFormat="1" applyFont="1" applyFill="1" applyBorder="1" applyAlignment="1" applyProtection="1">
      <alignment horizontal="right" vertical="center"/>
      <protection locked="0"/>
    </xf>
    <xf numFmtId="0" fontId="44" fillId="9" borderId="18" xfId="19" applyFont="1" applyFill="1" applyBorder="1" applyAlignment="1">
      <alignment vertical="center"/>
    </xf>
    <xf numFmtId="0" fontId="46" fillId="8" borderId="1" xfId="19" applyFont="1" applyFill="1" applyBorder="1" applyAlignment="1">
      <alignment horizontal="center" vertical="center"/>
    </xf>
    <xf numFmtId="0" fontId="48" fillId="8" borderId="1" xfId="19" applyFont="1" applyFill="1" applyBorder="1" applyAlignment="1">
      <alignment horizontal="center" vertical="center"/>
    </xf>
    <xf numFmtId="0" fontId="8" fillId="0" borderId="0" xfId="0" applyFont="1" applyBorder="1"/>
    <xf numFmtId="0" fontId="13" fillId="0" borderId="0" xfId="0" applyFont="1" applyBorder="1" applyAlignment="1">
      <alignment horizont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165" fontId="8" fillId="0" borderId="11" xfId="0" applyNumberFormat="1" applyFont="1" applyFill="1" applyBorder="1" applyAlignment="1" applyProtection="1">
      <alignment vertical="center"/>
    </xf>
    <xf numFmtId="165" fontId="18" fillId="0" borderId="11" xfId="0" applyNumberFormat="1" applyFont="1" applyFill="1" applyBorder="1" applyAlignment="1" applyProtection="1">
      <alignment vertical="center"/>
    </xf>
    <xf numFmtId="10" fontId="8" fillId="0" borderId="20" xfId="2" applyNumberFormat="1" applyFont="1" applyFill="1" applyBorder="1" applyAlignment="1" applyProtection="1">
      <alignment vertical="center"/>
    </xf>
    <xf numFmtId="0" fontId="3" fillId="0" borderId="10" xfId="0" applyFont="1" applyBorder="1"/>
    <xf numFmtId="0" fontId="49" fillId="0" borderId="0" xfId="0" applyFont="1"/>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8" fillId="0" borderId="14" xfId="0" applyFont="1" applyFill="1" applyBorder="1" applyAlignment="1" applyProtection="1">
      <alignment horizontal="center"/>
    </xf>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7" xfId="0" applyFont="1" applyFill="1" applyBorder="1" applyAlignment="1" applyProtection="1">
      <alignment horizont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14" xfId="0" applyFont="1" applyBorder="1" applyAlignment="1">
      <alignment horizontal="center" wrapText="1"/>
    </xf>
    <xf numFmtId="0" fontId="8" fillId="0" borderId="17" xfId="0" applyFont="1" applyBorder="1" applyAlignment="1">
      <alignment horizontal="center"/>
    </xf>
    <xf numFmtId="0" fontId="13" fillId="0" borderId="18" xfId="0" applyFont="1" applyBorder="1" applyAlignment="1">
      <alignment horizontal="center" wrapText="1"/>
    </xf>
    <xf numFmtId="0" fontId="8" fillId="0" borderId="27" xfId="0" applyFont="1" applyBorder="1" applyAlignment="1">
      <alignment horizontal="center"/>
    </xf>
    <xf numFmtId="0" fontId="13" fillId="0" borderId="18" xfId="0" applyFont="1" applyBorder="1" applyAlignment="1">
      <alignment horizontal="center" vertical="center" wrapText="1"/>
    </xf>
    <xf numFmtId="0" fontId="13" fillId="0" borderId="2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8" xfId="0" applyFont="1" applyFill="1" applyBorder="1" applyAlignment="1">
      <alignment horizontal="center"/>
    </xf>
    <xf numFmtId="0" fontId="3" fillId="0" borderId="27" xfId="0" applyFont="1" applyFill="1" applyBorder="1" applyAlignment="1">
      <alignment horizontal="center"/>
    </xf>
    <xf numFmtId="0" fontId="15" fillId="5" borderId="3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25" xfId="0" applyFont="1" applyFill="1" applyBorder="1" applyAlignment="1">
      <alignment horizontal="center" vertical="center" wrapText="1"/>
    </xf>
    <xf numFmtId="9" fontId="3" fillId="0" borderId="18"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38" fillId="2" borderId="58" xfId="11" applyFont="1" applyFill="1" applyBorder="1" applyAlignment="1" applyProtection="1">
      <alignment horizontal="center" vertical="center" wrapText="1"/>
      <protection locked="0"/>
    </xf>
    <xf numFmtId="0" fontId="38" fillId="2" borderId="31" xfId="1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166" fontId="14" fillId="2" borderId="6" xfId="15" applyNumberFormat="1" applyFont="1" applyFill="1" applyBorder="1" applyAlignment="1" applyProtection="1">
      <alignment horizontal="center"/>
      <protection locked="0"/>
    </xf>
    <xf numFmtId="166" fontId="14" fillId="2" borderId="7" xfId="15" applyNumberFormat="1" applyFont="1" applyFill="1" applyBorder="1" applyAlignment="1" applyProtection="1">
      <alignment horizontal="center"/>
      <protection locked="0"/>
    </xf>
    <xf numFmtId="166" fontId="14" fillId="2" borderId="8" xfId="15" applyNumberFormat="1" applyFont="1" applyFill="1" applyBorder="1" applyAlignment="1" applyProtection="1">
      <alignment horizontal="center"/>
      <protection locked="0"/>
    </xf>
    <xf numFmtId="166" fontId="14" fillId="0" borderId="59" xfId="15" applyNumberFormat="1" applyFont="1" applyFill="1" applyBorder="1" applyAlignment="1" applyProtection="1">
      <alignment horizontal="center" vertical="center" wrapText="1"/>
      <protection locked="0"/>
    </xf>
    <xf numFmtId="166" fontId="14" fillId="0" borderId="61" xfId="15" applyNumberFormat="1" applyFont="1" applyFill="1" applyBorder="1" applyAlignment="1" applyProtection="1">
      <alignment horizontal="center" vertical="center" wrapText="1"/>
      <protection locked="0"/>
    </xf>
    <xf numFmtId="0" fontId="15" fillId="0" borderId="60" xfId="0" applyFont="1" applyBorder="1" applyAlignment="1">
      <alignment horizontal="center" vertical="center" wrapText="1"/>
    </xf>
    <xf numFmtId="0" fontId="15" fillId="0" borderId="6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wrapText="1"/>
    </xf>
    <xf numFmtId="0" fontId="3" fillId="0" borderId="25" xfId="0" applyFont="1" applyFill="1" applyBorder="1" applyAlignment="1">
      <alignment horizontal="center" wrapText="1"/>
    </xf>
    <xf numFmtId="0" fontId="3" fillId="0" borderId="5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2" fillId="0" borderId="55" xfId="0" applyFont="1" applyFill="1" applyBorder="1" applyAlignment="1">
      <alignment horizontal="left" vertical="center"/>
    </xf>
    <xf numFmtId="0" fontId="32" fillId="0" borderId="56" xfId="0" applyFont="1" applyFill="1" applyBorder="1" applyAlignment="1">
      <alignment horizontal="left" vertical="center"/>
    </xf>
    <xf numFmtId="0" fontId="3" fillId="0" borderId="56"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4" fillId="9" borderId="18" xfId="19" applyFont="1" applyFill="1" applyBorder="1" applyAlignment="1">
      <alignment horizontal="center" vertical="center"/>
    </xf>
    <xf numFmtId="0" fontId="44" fillId="9" borderId="33" xfId="19" applyFont="1" applyFill="1" applyBorder="1" applyAlignment="1">
      <alignment horizontal="center" vertical="center"/>
    </xf>
  </cellXfs>
  <cellStyles count="22">
    <cellStyle name="=C:\WINNT35\SYSTEM32\COMMAND.COM" xfId="19"/>
    <cellStyle name="1Normal 2" xfId="6"/>
    <cellStyle name="Comma" xfId="1" builtinId="3"/>
    <cellStyle name="Comma 10" xfId="20"/>
    <cellStyle name="Comma 2" xfId="15"/>
    <cellStyle name="Comma 3" xfId="10"/>
    <cellStyle name="Heading 2 2" xfId="18"/>
    <cellStyle name="Hyperlink" xfId="4" builtinId="8"/>
    <cellStyle name="Normal" xfId="0" builtinId="0"/>
    <cellStyle name="Normal 10" xfId="17"/>
    <cellStyle name="Normal 121 2" xfId="12"/>
    <cellStyle name="Normal 122" xfId="3"/>
    <cellStyle name="Normal 2" xfId="5"/>
    <cellStyle name="Normal 2 2" xfId="13"/>
    <cellStyle name="Normal 4" xfId="11"/>
    <cellStyle name="Normal_Capital &amp; RWA N" xfId="8"/>
    <cellStyle name="Normal_Capital &amp; RWA N 2" xfId="14"/>
    <cellStyle name="Normal_Casestdy draft" xfId="16"/>
    <cellStyle name="Normal_Casestdy draft 2" xfId="9"/>
    <cellStyle name="Percent" xfId="2" builtinId="5"/>
    <cellStyle name="Percent 10 3" xfId="21"/>
    <cellStyle name="Percent 2" xfId="7"/>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Dep/NBG/Monthly%20Reports/2019/03/Workings/FRM-BKS-MM-20190331Working.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A-L"/>
      <sheetName val="A-G"/>
      <sheetName val="A-CP"/>
      <sheetName val="A-D"/>
      <sheetName val="A_CI"/>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OFF balance Guarantees"/>
      <sheetName val="Reserve Changes"/>
      <sheetName val="LoansGuarante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57"/>
      <sheetData sheetId="58">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59">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0"/>
      <sheetData sheetId="61"/>
      <sheetData sheetId="62">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tabSelected="1" zoomScaleNormal="100" workbookViewId="0">
      <pane xSplit="1" ySplit="7" topLeftCell="B11" activePane="bottomRight" state="frozen"/>
      <selection activeCell="C9" sqref="C9"/>
      <selection pane="topRight" activeCell="C9" sqref="C9"/>
      <selection pane="bottomLeft" activeCell="C9" sqref="C9"/>
      <selection pane="bottomRight" activeCell="C9" sqref="C9"/>
    </sheetView>
  </sheetViews>
  <sheetFormatPr defaultRowHeight="15" x14ac:dyDescent="0.25"/>
  <cols>
    <col min="1" max="1" width="10.28515625" style="23"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2" customFormat="1" ht="65.25" customHeight="1" x14ac:dyDescent="0.3">
      <c r="A6" s="544" t="s">
        <v>9</v>
      </c>
      <c r="B6" s="545"/>
      <c r="C6" s="545"/>
    </row>
    <row r="7" spans="1:3" x14ac:dyDescent="0.25">
      <c r="A7" s="13" t="s">
        <v>10</v>
      </c>
      <c r="B7" s="2" t="s">
        <v>11</v>
      </c>
    </row>
    <row r="8" spans="1:3" x14ac:dyDescent="0.25">
      <c r="A8" s="1">
        <v>1</v>
      </c>
      <c r="B8" s="14" t="s">
        <v>12</v>
      </c>
    </row>
    <row r="9" spans="1:3" x14ac:dyDescent="0.25">
      <c r="A9" s="1">
        <v>2</v>
      </c>
      <c r="B9" s="14" t="s">
        <v>13</v>
      </c>
    </row>
    <row r="10" spans="1:3" x14ac:dyDescent="0.25">
      <c r="A10" s="1">
        <v>3</v>
      </c>
      <c r="B10" s="14" t="s">
        <v>14</v>
      </c>
    </row>
    <row r="11" spans="1:3" x14ac:dyDescent="0.25">
      <c r="A11" s="1">
        <v>4</v>
      </c>
      <c r="B11" s="14" t="s">
        <v>15</v>
      </c>
      <c r="C11" s="15"/>
    </row>
    <row r="12" spans="1:3" x14ac:dyDescent="0.25">
      <c r="A12" s="1">
        <v>5</v>
      </c>
      <c r="B12" s="14" t="s">
        <v>16</v>
      </c>
    </row>
    <row r="13" spans="1:3" x14ac:dyDescent="0.25">
      <c r="A13" s="1">
        <v>6</v>
      </c>
      <c r="B13" s="16" t="s">
        <v>17</v>
      </c>
    </row>
    <row r="14" spans="1:3" x14ac:dyDescent="0.25">
      <c r="A14" s="1">
        <v>7</v>
      </c>
      <c r="B14" s="14" t="s">
        <v>18</v>
      </c>
    </row>
    <row r="15" spans="1:3" x14ac:dyDescent="0.25">
      <c r="A15" s="1">
        <v>8</v>
      </c>
      <c r="B15" s="14" t="s">
        <v>19</v>
      </c>
    </row>
    <row r="16" spans="1:3" x14ac:dyDescent="0.25">
      <c r="A16" s="1">
        <v>9</v>
      </c>
      <c r="B16" s="14" t="s">
        <v>20</v>
      </c>
    </row>
    <row r="17" spans="1:2" x14ac:dyDescent="0.25">
      <c r="A17" s="17">
        <v>9.1</v>
      </c>
      <c r="B17" s="14" t="s">
        <v>21</v>
      </c>
    </row>
    <row r="18" spans="1:2" x14ac:dyDescent="0.25">
      <c r="A18" s="1">
        <v>10</v>
      </c>
      <c r="B18" s="14" t="s">
        <v>22</v>
      </c>
    </row>
    <row r="19" spans="1:2" x14ac:dyDescent="0.25">
      <c r="A19" s="1">
        <v>11</v>
      </c>
      <c r="B19" s="16" t="s">
        <v>23</v>
      </c>
    </row>
    <row r="20" spans="1:2" x14ac:dyDescent="0.25">
      <c r="A20" s="1">
        <v>12</v>
      </c>
      <c r="B20" s="16" t="s">
        <v>24</v>
      </c>
    </row>
    <row r="21" spans="1:2" x14ac:dyDescent="0.25">
      <c r="A21" s="1">
        <v>13</v>
      </c>
      <c r="B21" s="18" t="s">
        <v>25</v>
      </c>
    </row>
    <row r="22" spans="1:2" x14ac:dyDescent="0.25">
      <c r="A22" s="1">
        <v>14</v>
      </c>
      <c r="B22" s="11" t="s">
        <v>26</v>
      </c>
    </row>
    <row r="23" spans="1:2" x14ac:dyDescent="0.25">
      <c r="A23" s="19">
        <v>15</v>
      </c>
      <c r="B23" s="16" t="s">
        <v>27</v>
      </c>
    </row>
    <row r="24" spans="1:2" x14ac:dyDescent="0.25">
      <c r="A24" s="19">
        <v>15.1</v>
      </c>
      <c r="B24" s="20" t="s">
        <v>28</v>
      </c>
    </row>
    <row r="25" spans="1:2" x14ac:dyDescent="0.25">
      <c r="A25" s="21"/>
      <c r="B25" s="22"/>
    </row>
    <row r="26" spans="1:2" x14ac:dyDescent="0.25">
      <c r="A26" s="21"/>
      <c r="B26" s="2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 ref="B24" location="'15.1 LR'!A1" display="ლევერიჯ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zoomScaleNormal="100" workbookViewId="0">
      <pane xSplit="1" ySplit="5" topLeftCell="B36" activePane="bottomRight" state="frozen"/>
      <selection activeCell="C9" sqref="C9"/>
      <selection pane="topRight" activeCell="C9" sqref="C9"/>
      <selection pane="bottomLeft" activeCell="C9" sqref="C9"/>
      <selection pane="bottomRight" activeCell="C9" sqref="C9"/>
    </sheetView>
  </sheetViews>
  <sheetFormatPr defaultRowHeight="15" x14ac:dyDescent="0.25"/>
  <cols>
    <col min="1" max="1" width="9.5703125" style="21" bestFit="1" customWidth="1"/>
    <col min="2" max="2" width="132.42578125" style="23" customWidth="1"/>
    <col min="3" max="3" width="18.42578125" style="293" customWidth="1"/>
    <col min="6" max="6" width="17.42578125" bestFit="1" customWidth="1"/>
  </cols>
  <sheetData>
    <row r="1" spans="1:6" ht="15.75" x14ac:dyDescent="0.3">
      <c r="A1" s="24" t="s">
        <v>29</v>
      </c>
      <c r="B1" s="23" t="str">
        <f>'1. key ratios'!B1</f>
        <v>სს ტერაბანკი</v>
      </c>
      <c r="C1" s="23"/>
      <c r="D1" s="23"/>
      <c r="E1" s="23"/>
      <c r="F1" s="23"/>
    </row>
    <row r="2" spans="1:6" s="203" customFormat="1" ht="15.75" customHeight="1" x14ac:dyDescent="0.3">
      <c r="A2" s="203" t="s">
        <v>31</v>
      </c>
      <c r="B2" s="77">
        <f>'1. key ratios'!B2</f>
        <v>43555</v>
      </c>
    </row>
    <row r="3" spans="1:6" s="203" customFormat="1" ht="15.75" customHeight="1" x14ac:dyDescent="0.3"/>
    <row r="4" spans="1:6" ht="15.75" thickBot="1" x14ac:dyDescent="0.3">
      <c r="A4" s="21" t="s">
        <v>273</v>
      </c>
      <c r="B4" s="262" t="s">
        <v>20</v>
      </c>
      <c r="C4" s="23"/>
    </row>
    <row r="5" spans="1:6" x14ac:dyDescent="0.25">
      <c r="A5" s="263" t="s">
        <v>33</v>
      </c>
      <c r="B5" s="264"/>
      <c r="C5" s="265" t="s">
        <v>70</v>
      </c>
    </row>
    <row r="6" spans="1:6" x14ac:dyDescent="0.25">
      <c r="A6" s="266">
        <v>1</v>
      </c>
      <c r="B6" s="267" t="s">
        <v>274</v>
      </c>
      <c r="C6" s="268">
        <f>SUM(C7:C11)</f>
        <v>133936783.77000006</v>
      </c>
    </row>
    <row r="7" spans="1:6" x14ac:dyDescent="0.25">
      <c r="A7" s="266">
        <v>2</v>
      </c>
      <c r="B7" s="269" t="s">
        <v>275</v>
      </c>
      <c r="C7" s="270">
        <v>121372000.00000001</v>
      </c>
    </row>
    <row r="8" spans="1:6" x14ac:dyDescent="0.25">
      <c r="A8" s="266">
        <v>3</v>
      </c>
      <c r="B8" s="271" t="s">
        <v>276</v>
      </c>
      <c r="C8" s="270">
        <v>0</v>
      </c>
    </row>
    <row r="9" spans="1:6" x14ac:dyDescent="0.25">
      <c r="A9" s="266">
        <v>4</v>
      </c>
      <c r="B9" s="271" t="s">
        <v>277</v>
      </c>
      <c r="C9" s="270">
        <v>0</v>
      </c>
    </row>
    <row r="10" spans="1:6" x14ac:dyDescent="0.25">
      <c r="A10" s="266">
        <v>5</v>
      </c>
      <c r="B10" s="271" t="s">
        <v>278</v>
      </c>
      <c r="C10" s="270">
        <v>0</v>
      </c>
    </row>
    <row r="11" spans="1:6" x14ac:dyDescent="0.25">
      <c r="A11" s="266">
        <v>6</v>
      </c>
      <c r="B11" s="272" t="s">
        <v>279</v>
      </c>
      <c r="C11" s="273">
        <v>12564783.770000041</v>
      </c>
    </row>
    <row r="12" spans="1:6" s="249" customFormat="1" x14ac:dyDescent="0.25">
      <c r="A12" s="266">
        <v>7</v>
      </c>
      <c r="B12" s="267" t="s">
        <v>280</v>
      </c>
      <c r="C12" s="274">
        <f>SUM(C13:C27)</f>
        <v>22958343</v>
      </c>
    </row>
    <row r="13" spans="1:6" s="249" customFormat="1" x14ac:dyDescent="0.25">
      <c r="A13" s="266">
        <v>8</v>
      </c>
      <c r="B13" s="275" t="s">
        <v>281</v>
      </c>
      <c r="C13" s="276">
        <v>0</v>
      </c>
    </row>
    <row r="14" spans="1:6" s="249" customFormat="1" ht="25.5" x14ac:dyDescent="0.25">
      <c r="A14" s="266">
        <v>9</v>
      </c>
      <c r="B14" s="277" t="s">
        <v>282</v>
      </c>
      <c r="C14" s="276">
        <v>0</v>
      </c>
    </row>
    <row r="15" spans="1:6" s="249" customFormat="1" x14ac:dyDescent="0.25">
      <c r="A15" s="266">
        <v>10</v>
      </c>
      <c r="B15" s="278" t="s">
        <v>283</v>
      </c>
      <c r="C15" s="276">
        <v>22958343</v>
      </c>
    </row>
    <row r="16" spans="1:6" s="249" customFormat="1" x14ac:dyDescent="0.25">
      <c r="A16" s="266">
        <v>11</v>
      </c>
      <c r="B16" s="279" t="s">
        <v>284</v>
      </c>
      <c r="C16" s="276">
        <v>0</v>
      </c>
    </row>
    <row r="17" spans="1:6" s="249" customFormat="1" x14ac:dyDescent="0.25">
      <c r="A17" s="266">
        <v>12</v>
      </c>
      <c r="B17" s="278" t="s">
        <v>285</v>
      </c>
      <c r="C17" s="276">
        <v>0</v>
      </c>
    </row>
    <row r="18" spans="1:6" s="249" customFormat="1" x14ac:dyDescent="0.25">
      <c r="A18" s="266">
        <v>13</v>
      </c>
      <c r="B18" s="278" t="s">
        <v>286</v>
      </c>
      <c r="C18" s="276">
        <v>0</v>
      </c>
    </row>
    <row r="19" spans="1:6" s="249" customFormat="1" x14ac:dyDescent="0.25">
      <c r="A19" s="266">
        <v>14</v>
      </c>
      <c r="B19" s="278" t="s">
        <v>287</v>
      </c>
      <c r="C19" s="276">
        <v>0</v>
      </c>
    </row>
    <row r="20" spans="1:6" s="249" customFormat="1" ht="25.5" x14ac:dyDescent="0.25">
      <c r="A20" s="266">
        <v>15</v>
      </c>
      <c r="B20" s="278" t="s">
        <v>288</v>
      </c>
      <c r="C20" s="276">
        <v>0</v>
      </c>
    </row>
    <row r="21" spans="1:6" s="249" customFormat="1" ht="25.5" x14ac:dyDescent="0.25">
      <c r="A21" s="266">
        <v>16</v>
      </c>
      <c r="B21" s="277" t="s">
        <v>289</v>
      </c>
      <c r="C21" s="276">
        <v>0</v>
      </c>
    </row>
    <row r="22" spans="1:6" s="249" customFormat="1" x14ac:dyDescent="0.25">
      <c r="A22" s="266">
        <v>17</v>
      </c>
      <c r="B22" s="280" t="s">
        <v>290</v>
      </c>
      <c r="C22" s="276">
        <v>0</v>
      </c>
    </row>
    <row r="23" spans="1:6" s="249" customFormat="1" ht="25.5" x14ac:dyDescent="0.25">
      <c r="A23" s="266">
        <v>18</v>
      </c>
      <c r="B23" s="277" t="s">
        <v>291</v>
      </c>
      <c r="C23" s="276">
        <v>0</v>
      </c>
    </row>
    <row r="24" spans="1:6" s="249" customFormat="1" ht="25.5" x14ac:dyDescent="0.25">
      <c r="A24" s="266">
        <v>19</v>
      </c>
      <c r="B24" s="277" t="s">
        <v>292</v>
      </c>
      <c r="C24" s="276">
        <v>0</v>
      </c>
    </row>
    <row r="25" spans="1:6" s="249" customFormat="1" ht="25.5" x14ac:dyDescent="0.25">
      <c r="A25" s="266">
        <v>20</v>
      </c>
      <c r="B25" s="281" t="s">
        <v>293</v>
      </c>
      <c r="C25" s="276">
        <v>0</v>
      </c>
    </row>
    <row r="26" spans="1:6" s="249" customFormat="1" x14ac:dyDescent="0.25">
      <c r="A26" s="266">
        <v>21</v>
      </c>
      <c r="B26" s="281" t="s">
        <v>294</v>
      </c>
      <c r="C26" s="276">
        <v>0</v>
      </c>
    </row>
    <row r="27" spans="1:6" s="249" customFormat="1" ht="25.5" x14ac:dyDescent="0.25">
      <c r="A27" s="266">
        <v>22</v>
      </c>
      <c r="B27" s="281" t="s">
        <v>295</v>
      </c>
      <c r="C27" s="276">
        <v>0</v>
      </c>
    </row>
    <row r="28" spans="1:6" s="249" customFormat="1" x14ac:dyDescent="0.25">
      <c r="A28" s="266">
        <v>23</v>
      </c>
      <c r="B28" s="282" t="s">
        <v>36</v>
      </c>
      <c r="C28" s="274">
        <f>C6-C12</f>
        <v>110978440.77000006</v>
      </c>
    </row>
    <row r="29" spans="1:6" s="249" customFormat="1" x14ac:dyDescent="0.25">
      <c r="A29" s="283"/>
      <c r="B29" s="284"/>
      <c r="C29" s="276"/>
    </row>
    <row r="30" spans="1:6" s="249" customFormat="1" x14ac:dyDescent="0.25">
      <c r="A30" s="283">
        <v>24</v>
      </c>
      <c r="B30" s="282" t="s">
        <v>296</v>
      </c>
      <c r="C30" s="274">
        <f>C31+C34</f>
        <v>0</v>
      </c>
      <c r="F30" s="285"/>
    </row>
    <row r="31" spans="1:6" s="249" customFormat="1" x14ac:dyDescent="0.25">
      <c r="A31" s="283">
        <v>25</v>
      </c>
      <c r="B31" s="271" t="s">
        <v>297</v>
      </c>
      <c r="C31" s="286">
        <f>C32+C33</f>
        <v>0</v>
      </c>
      <c r="F31" s="287"/>
    </row>
    <row r="32" spans="1:6" s="249" customFormat="1" x14ac:dyDescent="0.25">
      <c r="A32" s="283">
        <v>26</v>
      </c>
      <c r="B32" s="288" t="s">
        <v>298</v>
      </c>
      <c r="C32" s="276">
        <v>0</v>
      </c>
      <c r="F32" s="287"/>
    </row>
    <row r="33" spans="1:6" s="249" customFormat="1" x14ac:dyDescent="0.25">
      <c r="A33" s="283">
        <v>27</v>
      </c>
      <c r="B33" s="288" t="s">
        <v>299</v>
      </c>
      <c r="C33" s="276">
        <v>0</v>
      </c>
      <c r="F33" s="287"/>
    </row>
    <row r="34" spans="1:6" s="249" customFormat="1" x14ac:dyDescent="0.25">
      <c r="A34" s="283">
        <v>28</v>
      </c>
      <c r="B34" s="271" t="s">
        <v>300</v>
      </c>
      <c r="C34" s="276">
        <v>0</v>
      </c>
      <c r="F34" s="287"/>
    </row>
    <row r="35" spans="1:6" s="249" customFormat="1" x14ac:dyDescent="0.25">
      <c r="A35" s="283">
        <v>29</v>
      </c>
      <c r="B35" s="282" t="s">
        <v>301</v>
      </c>
      <c r="C35" s="274">
        <f>SUM(C36:C40)</f>
        <v>0</v>
      </c>
      <c r="F35" s="287"/>
    </row>
    <row r="36" spans="1:6" s="249" customFormat="1" x14ac:dyDescent="0.25">
      <c r="A36" s="283">
        <v>30</v>
      </c>
      <c r="B36" s="277" t="s">
        <v>302</v>
      </c>
      <c r="C36" s="276">
        <v>0</v>
      </c>
      <c r="F36" s="287"/>
    </row>
    <row r="37" spans="1:6" s="249" customFormat="1" x14ac:dyDescent="0.25">
      <c r="A37" s="283">
        <v>31</v>
      </c>
      <c r="B37" s="278" t="s">
        <v>303</v>
      </c>
      <c r="C37" s="276">
        <v>0</v>
      </c>
      <c r="F37" s="287"/>
    </row>
    <row r="38" spans="1:6" s="249" customFormat="1" ht="25.5" x14ac:dyDescent="0.25">
      <c r="A38" s="283">
        <v>32</v>
      </c>
      <c r="B38" s="277" t="s">
        <v>304</v>
      </c>
      <c r="C38" s="276">
        <v>0</v>
      </c>
      <c r="F38" s="287"/>
    </row>
    <row r="39" spans="1:6" s="249" customFormat="1" ht="25.5" x14ac:dyDescent="0.25">
      <c r="A39" s="283">
        <v>33</v>
      </c>
      <c r="B39" s="277" t="s">
        <v>292</v>
      </c>
      <c r="C39" s="276">
        <v>0</v>
      </c>
      <c r="F39" s="287"/>
    </row>
    <row r="40" spans="1:6" s="249" customFormat="1" ht="25.5" x14ac:dyDescent="0.25">
      <c r="A40" s="283">
        <v>34</v>
      </c>
      <c r="B40" s="281" t="s">
        <v>305</v>
      </c>
      <c r="C40" s="276">
        <v>0</v>
      </c>
      <c r="F40" s="287"/>
    </row>
    <row r="41" spans="1:6" s="249" customFormat="1" x14ac:dyDescent="0.25">
      <c r="A41" s="283">
        <v>35</v>
      </c>
      <c r="B41" s="282" t="s">
        <v>306</v>
      </c>
      <c r="C41" s="274">
        <f>C30-C35</f>
        <v>0</v>
      </c>
      <c r="F41" s="287"/>
    </row>
    <row r="42" spans="1:6" s="249" customFormat="1" x14ac:dyDescent="0.25">
      <c r="A42" s="283"/>
      <c r="B42" s="284"/>
      <c r="C42" s="276"/>
      <c r="F42" s="287"/>
    </row>
    <row r="43" spans="1:6" s="249" customFormat="1" x14ac:dyDescent="0.25">
      <c r="A43" s="283">
        <v>36</v>
      </c>
      <c r="B43" s="289" t="s">
        <v>307</v>
      </c>
      <c r="C43" s="274">
        <f>SUM(C44:C46)</f>
        <v>53736891.969969034</v>
      </c>
      <c r="F43" s="287"/>
    </row>
    <row r="44" spans="1:6" s="249" customFormat="1" x14ac:dyDescent="0.25">
      <c r="A44" s="283">
        <v>37</v>
      </c>
      <c r="B44" s="271" t="s">
        <v>308</v>
      </c>
      <c r="C44" s="276">
        <v>43766236.700000003</v>
      </c>
      <c r="F44" s="287"/>
    </row>
    <row r="45" spans="1:6" s="249" customFormat="1" x14ac:dyDescent="0.25">
      <c r="A45" s="283">
        <v>38</v>
      </c>
      <c r="B45" s="271" t="s">
        <v>309</v>
      </c>
      <c r="C45" s="276">
        <v>0</v>
      </c>
      <c r="F45" s="287"/>
    </row>
    <row r="46" spans="1:6" s="249" customFormat="1" x14ac:dyDescent="0.25">
      <c r="A46" s="283">
        <v>39</v>
      </c>
      <c r="B46" s="271" t="s">
        <v>310</v>
      </c>
      <c r="C46" s="276">
        <v>9970655.2699690294</v>
      </c>
      <c r="F46" s="287"/>
    </row>
    <row r="47" spans="1:6" s="249" customFormat="1" x14ac:dyDescent="0.25">
      <c r="A47" s="283">
        <v>40</v>
      </c>
      <c r="B47" s="289" t="s">
        <v>311</v>
      </c>
      <c r="C47" s="274">
        <f>SUM(C48:C51)</f>
        <v>0</v>
      </c>
      <c r="F47" s="287"/>
    </row>
    <row r="48" spans="1:6" s="249" customFormat="1" x14ac:dyDescent="0.25">
      <c r="A48" s="283">
        <v>41</v>
      </c>
      <c r="B48" s="277" t="s">
        <v>312</v>
      </c>
      <c r="C48" s="276">
        <v>0</v>
      </c>
      <c r="F48" s="287"/>
    </row>
    <row r="49" spans="1:6" s="249" customFormat="1" x14ac:dyDescent="0.25">
      <c r="A49" s="283">
        <v>42</v>
      </c>
      <c r="B49" s="278" t="s">
        <v>313</v>
      </c>
      <c r="C49" s="276">
        <v>0</v>
      </c>
      <c r="F49" s="287"/>
    </row>
    <row r="50" spans="1:6" s="249" customFormat="1" ht="25.5" x14ac:dyDescent="0.25">
      <c r="A50" s="283">
        <v>43</v>
      </c>
      <c r="B50" s="277" t="s">
        <v>314</v>
      </c>
      <c r="C50" s="276">
        <v>0</v>
      </c>
      <c r="F50" s="287"/>
    </row>
    <row r="51" spans="1:6" s="249" customFormat="1" ht="25.5" x14ac:dyDescent="0.25">
      <c r="A51" s="283">
        <v>44</v>
      </c>
      <c r="B51" s="277" t="s">
        <v>292</v>
      </c>
      <c r="C51" s="276">
        <v>0</v>
      </c>
      <c r="F51" s="287"/>
    </row>
    <row r="52" spans="1:6" s="249" customFormat="1" ht="15.75" thickBot="1" x14ac:dyDescent="0.3">
      <c r="A52" s="290">
        <v>45</v>
      </c>
      <c r="B52" s="291" t="s">
        <v>315</v>
      </c>
      <c r="C52" s="292">
        <f>C43-C47</f>
        <v>53736891.969969034</v>
      </c>
      <c r="F52" s="287"/>
    </row>
    <row r="53" spans="1:6" x14ac:dyDescent="0.25">
      <c r="F53" s="287"/>
    </row>
    <row r="54" spans="1:6" x14ac:dyDescent="0.25">
      <c r="F54" s="287"/>
    </row>
    <row r="55" spans="1:6" x14ac:dyDescent="0.25">
      <c r="B55" s="23" t="s">
        <v>316</v>
      </c>
      <c r="F55" s="287"/>
    </row>
    <row r="56" spans="1:6" x14ac:dyDescent="0.25">
      <c r="F56" s="287"/>
    </row>
    <row r="57" spans="1:6" x14ac:dyDescent="0.25">
      <c r="F57" s="287"/>
    </row>
    <row r="58" spans="1:6" x14ac:dyDescent="0.25">
      <c r="F58" s="287"/>
    </row>
    <row r="59" spans="1:6" x14ac:dyDescent="0.25">
      <c r="F59" s="287"/>
    </row>
    <row r="60" spans="1:6" x14ac:dyDescent="0.25">
      <c r="F60" s="287"/>
    </row>
    <row r="61" spans="1:6" x14ac:dyDescent="0.25">
      <c r="F61" s="287"/>
    </row>
    <row r="62" spans="1:6" x14ac:dyDescent="0.25">
      <c r="F62" s="287"/>
    </row>
    <row r="63" spans="1:6" x14ac:dyDescent="0.25">
      <c r="F63" s="287"/>
    </row>
    <row r="64" spans="1:6" x14ac:dyDescent="0.25">
      <c r="F64" s="287"/>
    </row>
    <row r="65" spans="6:6" x14ac:dyDescent="0.25">
      <c r="F65" s="287"/>
    </row>
    <row r="66" spans="6:6" x14ac:dyDescent="0.25">
      <c r="F66" s="287"/>
    </row>
    <row r="67" spans="6:6" x14ac:dyDescent="0.25">
      <c r="F67" s="287"/>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sheetPr>
  <dimension ref="A1:F22"/>
  <sheetViews>
    <sheetView zoomScaleNormal="100" workbookViewId="0">
      <selection activeCell="C9" sqref="C9"/>
    </sheetView>
  </sheetViews>
  <sheetFormatPr defaultColWidth="9.140625" defaultRowHeight="12.75" x14ac:dyDescent="0.2"/>
  <cols>
    <col min="1" max="1" width="10.85546875" style="23" bestFit="1" customWidth="1"/>
    <col min="2" max="2" width="52.5703125" style="23" customWidth="1"/>
    <col min="3" max="3" width="16.7109375" style="23" bestFit="1" customWidth="1"/>
    <col min="4" max="4" width="14.5703125" style="23" bestFit="1" customWidth="1"/>
    <col min="5" max="16384" width="9.140625" style="23"/>
  </cols>
  <sheetData>
    <row r="1" spans="1:4" ht="15" x14ac:dyDescent="0.3">
      <c r="A1" s="24" t="s">
        <v>29</v>
      </c>
      <c r="B1" s="23" t="str">
        <f>'1. key ratios'!B1</f>
        <v>სს ტერაბანკი</v>
      </c>
    </row>
    <row r="2" spans="1:4" s="203" customFormat="1" ht="15.75" customHeight="1" x14ac:dyDescent="0.3">
      <c r="A2" s="203" t="s">
        <v>31</v>
      </c>
      <c r="B2" s="77">
        <f>'1. key ratios'!B2</f>
        <v>43555</v>
      </c>
    </row>
    <row r="3" spans="1:4" s="203" customFormat="1" ht="15.75" customHeight="1" x14ac:dyDescent="0.3"/>
    <row r="4" spans="1:4" ht="13.5" thickBot="1" x14ac:dyDescent="0.25">
      <c r="A4" s="21" t="s">
        <v>317</v>
      </c>
      <c r="B4" s="294" t="s">
        <v>21</v>
      </c>
    </row>
    <row r="5" spans="1:4" s="297" customFormat="1" x14ac:dyDescent="0.25">
      <c r="A5" s="565" t="s">
        <v>318</v>
      </c>
      <c r="B5" s="566"/>
      <c r="C5" s="295" t="s">
        <v>319</v>
      </c>
      <c r="D5" s="296" t="s">
        <v>320</v>
      </c>
    </row>
    <row r="6" spans="1:4" s="301" customFormat="1" x14ac:dyDescent="0.25">
      <c r="A6" s="298">
        <v>1</v>
      </c>
      <c r="B6" s="299" t="s">
        <v>321</v>
      </c>
      <c r="C6" s="299"/>
      <c r="D6" s="300"/>
    </row>
    <row r="7" spans="1:4" s="301" customFormat="1" ht="25.5" x14ac:dyDescent="0.25">
      <c r="A7" s="302" t="s">
        <v>322</v>
      </c>
      <c r="B7" s="303" t="s">
        <v>323</v>
      </c>
      <c r="C7" s="304">
        <v>4.4999999999999998E-2</v>
      </c>
      <c r="D7" s="305">
        <f>C7*'5. RWA'!$C$13</f>
        <v>40027988.643582255</v>
      </c>
    </row>
    <row r="8" spans="1:4" s="301" customFormat="1" x14ac:dyDescent="0.25">
      <c r="A8" s="302" t="s">
        <v>324</v>
      </c>
      <c r="B8" s="303" t="s">
        <v>325</v>
      </c>
      <c r="C8" s="306">
        <v>0.06</v>
      </c>
      <c r="D8" s="305">
        <f>C8*'5. RWA'!$C$13</f>
        <v>53370651.52477634</v>
      </c>
    </row>
    <row r="9" spans="1:4" s="301" customFormat="1" x14ac:dyDescent="0.25">
      <c r="A9" s="302" t="s">
        <v>326</v>
      </c>
      <c r="B9" s="303" t="s">
        <v>327</v>
      </c>
      <c r="C9" s="306">
        <v>0.08</v>
      </c>
      <c r="D9" s="305">
        <f>C9*'5. RWA'!$C$13</f>
        <v>71160868.699701786</v>
      </c>
    </row>
    <row r="10" spans="1:4" s="301" customFormat="1" x14ac:dyDescent="0.25">
      <c r="A10" s="298" t="s">
        <v>328</v>
      </c>
      <c r="B10" s="299" t="s">
        <v>329</v>
      </c>
      <c r="C10" s="299"/>
      <c r="D10" s="307"/>
    </row>
    <row r="11" spans="1:4" s="312" customFormat="1" x14ac:dyDescent="0.25">
      <c r="A11" s="308" t="s">
        <v>330</v>
      </c>
      <c r="B11" s="309" t="s">
        <v>331</v>
      </c>
      <c r="C11" s="310">
        <v>2.5000000000000001E-2</v>
      </c>
      <c r="D11" s="311">
        <f>C11*'5. RWA'!$C$13</f>
        <v>22237771.468656808</v>
      </c>
    </row>
    <row r="12" spans="1:4" s="312" customFormat="1" x14ac:dyDescent="0.25">
      <c r="A12" s="308" t="s">
        <v>332</v>
      </c>
      <c r="B12" s="309" t="s">
        <v>333</v>
      </c>
      <c r="C12" s="310">
        <v>0</v>
      </c>
      <c r="D12" s="311">
        <f>C12*'5. RWA'!$C$13</f>
        <v>0</v>
      </c>
    </row>
    <row r="13" spans="1:4" s="312" customFormat="1" x14ac:dyDescent="0.25">
      <c r="A13" s="308" t="s">
        <v>334</v>
      </c>
      <c r="B13" s="309" t="s">
        <v>335</v>
      </c>
      <c r="C13" s="310">
        <v>0</v>
      </c>
      <c r="D13" s="311">
        <f>C13*'5. RWA'!$C$13</f>
        <v>0</v>
      </c>
    </row>
    <row r="14" spans="1:4" s="301" customFormat="1" x14ac:dyDescent="0.25">
      <c r="A14" s="298" t="s">
        <v>336</v>
      </c>
      <c r="B14" s="299" t="s">
        <v>337</v>
      </c>
      <c r="C14" s="313"/>
      <c r="D14" s="307"/>
    </row>
    <row r="15" spans="1:4" s="301" customFormat="1" x14ac:dyDescent="0.25">
      <c r="A15" s="314" t="s">
        <v>338</v>
      </c>
      <c r="B15" s="309" t="s">
        <v>339</v>
      </c>
      <c r="C15" s="310">
        <v>2.1292599329694024E-2</v>
      </c>
      <c r="D15" s="311">
        <f>C15*'5. RWA'!$C$13</f>
        <v>18939998.314696435</v>
      </c>
    </row>
    <row r="16" spans="1:4" s="301" customFormat="1" x14ac:dyDescent="0.25">
      <c r="A16" s="314" t="s">
        <v>340</v>
      </c>
      <c r="B16" s="309" t="s">
        <v>341</v>
      </c>
      <c r="C16" s="315">
        <v>2.8479567509370137E-2</v>
      </c>
      <c r="D16" s="311">
        <f>C16*'5. RWA'!$C$13</f>
        <v>25332884.551982265</v>
      </c>
    </row>
    <row r="17" spans="1:6" s="301" customFormat="1" x14ac:dyDescent="0.25">
      <c r="A17" s="314" t="s">
        <v>342</v>
      </c>
      <c r="B17" s="309" t="s">
        <v>343</v>
      </c>
      <c r="C17" s="315">
        <v>6.861390497990949E-2</v>
      </c>
      <c r="D17" s="311">
        <f>C17*'5. RWA'!$C$13</f>
        <v>61032813.540614419</v>
      </c>
    </row>
    <row r="18" spans="1:6" s="297" customFormat="1" x14ac:dyDescent="0.25">
      <c r="A18" s="567" t="s">
        <v>344</v>
      </c>
      <c r="B18" s="568"/>
      <c r="C18" s="316" t="s">
        <v>319</v>
      </c>
      <c r="D18" s="317" t="s">
        <v>320</v>
      </c>
    </row>
    <row r="19" spans="1:6" s="301" customFormat="1" x14ac:dyDescent="0.25">
      <c r="A19" s="318">
        <v>4</v>
      </c>
      <c r="B19" s="309" t="s">
        <v>36</v>
      </c>
      <c r="C19" s="310">
        <f>C7+C11+C12+C13+C15</f>
        <v>9.1292599329694024E-2</v>
      </c>
      <c r="D19" s="305">
        <f>C19*'5. RWA'!$C$13</f>
        <v>81205758.426935494</v>
      </c>
    </row>
    <row r="20" spans="1:6" s="301" customFormat="1" x14ac:dyDescent="0.25">
      <c r="A20" s="318">
        <v>5</v>
      </c>
      <c r="B20" s="309" t="s">
        <v>37</v>
      </c>
      <c r="C20" s="310">
        <f>C8+C11+C12+C13+C16</f>
        <v>0.11347956750937013</v>
      </c>
      <c r="D20" s="305">
        <f>C20*'5. RWA'!$C$13</f>
        <v>100941307.54541542</v>
      </c>
    </row>
    <row r="21" spans="1:6" s="301" customFormat="1" ht="13.5" thickBot="1" x14ac:dyDescent="0.3">
      <c r="A21" s="319" t="s">
        <v>345</v>
      </c>
      <c r="B21" s="320" t="s">
        <v>20</v>
      </c>
      <c r="C21" s="321">
        <f>C9+C11+C12+C13+C17</f>
        <v>0.1736139049799095</v>
      </c>
      <c r="D21" s="322">
        <f>C21*'5. RWA'!$C$13</f>
        <v>154431453.70897302</v>
      </c>
    </row>
    <row r="22" spans="1:6" x14ac:dyDescent="0.2">
      <c r="F22" s="2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pageSetUpPr fitToPage="1"/>
  </sheetPr>
  <dimension ref="A1:F44"/>
  <sheetViews>
    <sheetView zoomScaleNormal="100" workbookViewId="0">
      <pane xSplit="1" ySplit="5" topLeftCell="B30" activePane="bottomRight" state="frozen"/>
      <selection activeCell="C9" sqref="C9"/>
      <selection pane="topRight" activeCell="C9" sqref="C9"/>
      <selection pane="bottomLeft" activeCell="C9" sqref="C9"/>
      <selection pane="bottomRight" activeCell="C9" sqref="C9"/>
    </sheetView>
  </sheetViews>
  <sheetFormatPr defaultRowHeight="15.75" x14ac:dyDescent="0.3"/>
  <cols>
    <col min="1" max="1" width="10.7109375" style="324" customWidth="1"/>
    <col min="2" max="2" width="91.85546875" style="324" customWidth="1"/>
    <col min="3" max="3" width="53.140625" style="324" customWidth="1"/>
    <col min="4" max="4" width="32.28515625" style="324" customWidth="1"/>
    <col min="5" max="5" width="12.5703125" bestFit="1" customWidth="1"/>
  </cols>
  <sheetData>
    <row r="1" spans="1:6" x14ac:dyDescent="0.3">
      <c r="A1" s="323" t="s">
        <v>29</v>
      </c>
      <c r="B1" s="23" t="str">
        <f>'1. key ratios'!B1</f>
        <v>სს ტერაბანკი</v>
      </c>
      <c r="E1" s="23"/>
      <c r="F1" s="23"/>
    </row>
    <row r="2" spans="1:6" s="203" customFormat="1" ht="15.75" customHeight="1" x14ac:dyDescent="0.3">
      <c r="A2" s="325" t="s">
        <v>31</v>
      </c>
      <c r="B2" s="77">
        <f>'1. key ratios'!B2</f>
        <v>43555</v>
      </c>
    </row>
    <row r="3" spans="1:6" s="203" customFormat="1" ht="15.75" customHeight="1" x14ac:dyDescent="0.3">
      <c r="A3" s="325"/>
    </row>
    <row r="4" spans="1:6" s="203" customFormat="1" ht="15.75" customHeight="1" thickBot="1" x14ac:dyDescent="0.35">
      <c r="A4" s="203" t="s">
        <v>346</v>
      </c>
      <c r="B4" s="326" t="s">
        <v>22</v>
      </c>
      <c r="D4" s="327" t="s">
        <v>66</v>
      </c>
    </row>
    <row r="5" spans="1:6" ht="38.25" x14ac:dyDescent="0.25">
      <c r="A5" s="328" t="s">
        <v>33</v>
      </c>
      <c r="B5" s="329" t="s">
        <v>255</v>
      </c>
      <c r="C5" s="330" t="s">
        <v>347</v>
      </c>
      <c r="D5" s="331" t="s">
        <v>348</v>
      </c>
    </row>
    <row r="6" spans="1:6" x14ac:dyDescent="0.3">
      <c r="A6" s="332">
        <v>1</v>
      </c>
      <c r="B6" s="333" t="s">
        <v>73</v>
      </c>
      <c r="C6" s="334">
        <f>'2. RC'!E7</f>
        <v>32566722.660000011</v>
      </c>
      <c r="D6" s="335"/>
      <c r="E6" s="336"/>
    </row>
    <row r="7" spans="1:6" x14ac:dyDescent="0.3">
      <c r="A7" s="332">
        <v>2</v>
      </c>
      <c r="B7" s="337" t="s">
        <v>74</v>
      </c>
      <c r="C7" s="334">
        <f>'2. RC'!E8</f>
        <v>129623955.20999999</v>
      </c>
      <c r="D7" s="338"/>
      <c r="E7" s="336"/>
    </row>
    <row r="8" spans="1:6" x14ac:dyDescent="0.3">
      <c r="A8" s="332">
        <v>3</v>
      </c>
      <c r="B8" s="337" t="s">
        <v>75</v>
      </c>
      <c r="C8" s="334">
        <f>'2. RC'!E9</f>
        <v>28138979.579999998</v>
      </c>
      <c r="D8" s="338"/>
      <c r="E8" s="336"/>
    </row>
    <row r="9" spans="1:6" x14ac:dyDescent="0.3">
      <c r="A9" s="332">
        <v>4</v>
      </c>
      <c r="B9" s="337" t="s">
        <v>76</v>
      </c>
      <c r="C9" s="334">
        <f>'2. RC'!E10</f>
        <v>0</v>
      </c>
      <c r="D9" s="338"/>
      <c r="E9" s="336"/>
    </row>
    <row r="10" spans="1:6" x14ac:dyDescent="0.3">
      <c r="A10" s="332">
        <v>5</v>
      </c>
      <c r="B10" s="337" t="s">
        <v>77</v>
      </c>
      <c r="C10" s="334">
        <f>'2. RC'!E11</f>
        <v>50060374.970000006</v>
      </c>
      <c r="D10" s="338"/>
      <c r="E10" s="336"/>
    </row>
    <row r="11" spans="1:6" x14ac:dyDescent="0.3">
      <c r="A11" s="332">
        <v>6.1</v>
      </c>
      <c r="B11" s="337" t="s">
        <v>78</v>
      </c>
      <c r="C11" s="339">
        <f>'2. RC'!E12</f>
        <v>702048216.78000021</v>
      </c>
      <c r="D11" s="340"/>
      <c r="E11" s="341"/>
    </row>
    <row r="12" spans="1:6" x14ac:dyDescent="0.3">
      <c r="A12" s="332">
        <v>6.2</v>
      </c>
      <c r="B12" s="342" t="s">
        <v>79</v>
      </c>
      <c r="C12" s="343">
        <f>'2. RC'!E13</f>
        <v>-38386040.959999889</v>
      </c>
      <c r="D12" s="340"/>
      <c r="E12" s="341"/>
    </row>
    <row r="13" spans="1:6" x14ac:dyDescent="0.3">
      <c r="A13" s="332" t="s">
        <v>349</v>
      </c>
      <c r="B13" s="344" t="s">
        <v>350</v>
      </c>
      <c r="C13" s="343">
        <v>-12076582.320000011</v>
      </c>
      <c r="D13" s="340"/>
      <c r="E13" s="341"/>
    </row>
    <row r="14" spans="1:6" x14ac:dyDescent="0.3">
      <c r="A14" s="332">
        <v>6</v>
      </c>
      <c r="B14" s="337" t="s">
        <v>80</v>
      </c>
      <c r="C14" s="345">
        <f>C11+C12</f>
        <v>663662175.82000029</v>
      </c>
      <c r="D14" s="340"/>
      <c r="E14" s="336"/>
    </row>
    <row r="15" spans="1:6" x14ac:dyDescent="0.3">
      <c r="A15" s="332">
        <v>7</v>
      </c>
      <c r="B15" s="337" t="s">
        <v>81</v>
      </c>
      <c r="C15" s="346">
        <f>'2. RC'!E15</f>
        <v>6074953.819999991</v>
      </c>
      <c r="D15" s="338"/>
      <c r="E15" s="336"/>
    </row>
    <row r="16" spans="1:6" x14ac:dyDescent="0.3">
      <c r="A16" s="332">
        <v>8</v>
      </c>
      <c r="B16" s="337" t="s">
        <v>82</v>
      </c>
      <c r="C16" s="346">
        <f>'2. RC'!E16</f>
        <v>884778.9100000005</v>
      </c>
      <c r="D16" s="338"/>
      <c r="E16" s="336"/>
    </row>
    <row r="17" spans="1:5" x14ac:dyDescent="0.3">
      <c r="A17" s="332">
        <v>9</v>
      </c>
      <c r="B17" s="337" t="s">
        <v>83</v>
      </c>
      <c r="C17" s="346">
        <f>'2. RC'!E17</f>
        <v>0</v>
      </c>
      <c r="D17" s="338"/>
      <c r="E17" s="336"/>
    </row>
    <row r="18" spans="1:5" x14ac:dyDescent="0.3">
      <c r="A18" s="332">
        <v>9.1</v>
      </c>
      <c r="B18" s="344" t="s">
        <v>351</v>
      </c>
      <c r="C18" s="346">
        <v>0</v>
      </c>
      <c r="D18" s="338"/>
      <c r="E18" s="336"/>
    </row>
    <row r="19" spans="1:5" x14ac:dyDescent="0.3">
      <c r="A19" s="332">
        <v>9.1999999999999993</v>
      </c>
      <c r="B19" s="344" t="s">
        <v>352</v>
      </c>
      <c r="C19" s="346">
        <v>0</v>
      </c>
      <c r="D19" s="338"/>
      <c r="E19" s="336"/>
    </row>
    <row r="20" spans="1:5" x14ac:dyDescent="0.3">
      <c r="A20" s="332">
        <v>9.3000000000000007</v>
      </c>
      <c r="B20" s="344" t="s">
        <v>353</v>
      </c>
      <c r="C20" s="346">
        <v>0</v>
      </c>
      <c r="D20" s="338"/>
      <c r="E20" s="336"/>
    </row>
    <row r="21" spans="1:5" x14ac:dyDescent="0.3">
      <c r="A21" s="332">
        <v>10</v>
      </c>
      <c r="B21" s="337" t="s">
        <v>84</v>
      </c>
      <c r="C21" s="346">
        <f>'2. RC'!E18</f>
        <v>48403883.669999979</v>
      </c>
      <c r="D21" s="338"/>
      <c r="E21" s="336"/>
    </row>
    <row r="22" spans="1:5" x14ac:dyDescent="0.3">
      <c r="A22" s="332">
        <v>10.1</v>
      </c>
      <c r="B22" s="344" t="s">
        <v>354</v>
      </c>
      <c r="C22" s="346">
        <f>'9. Capital'!C15</f>
        <v>22958343</v>
      </c>
      <c r="D22" s="347" t="s">
        <v>355</v>
      </c>
      <c r="E22" s="336"/>
    </row>
    <row r="23" spans="1:5" x14ac:dyDescent="0.3">
      <c r="A23" s="332">
        <v>11</v>
      </c>
      <c r="B23" s="348" t="s">
        <v>85</v>
      </c>
      <c r="C23" s="349">
        <f>'2. RC'!E19</f>
        <v>5265488.4849999994</v>
      </c>
      <c r="D23" s="338"/>
      <c r="E23" s="336"/>
    </row>
    <row r="24" spans="1:5" x14ac:dyDescent="0.3">
      <c r="A24" s="332">
        <v>12</v>
      </c>
      <c r="B24" s="350" t="s">
        <v>86</v>
      </c>
      <c r="C24" s="351">
        <f>SUM(C6:C10,C14:C17,C21,C23)</f>
        <v>964681313.12500012</v>
      </c>
      <c r="D24" s="352"/>
      <c r="E24" s="353"/>
    </row>
    <row r="25" spans="1:5" x14ac:dyDescent="0.3">
      <c r="A25" s="332">
        <v>13</v>
      </c>
      <c r="B25" s="337" t="s">
        <v>88</v>
      </c>
      <c r="C25" s="354">
        <f>'2. RC'!E22</f>
        <v>288580.14</v>
      </c>
      <c r="D25" s="355"/>
      <c r="E25" s="336"/>
    </row>
    <row r="26" spans="1:5" x14ac:dyDescent="0.3">
      <c r="A26" s="332">
        <v>14</v>
      </c>
      <c r="B26" s="337" t="s">
        <v>89</v>
      </c>
      <c r="C26" s="354">
        <f>'2. RC'!E23</f>
        <v>183773325.75000179</v>
      </c>
      <c r="D26" s="338"/>
      <c r="E26" s="336"/>
    </row>
    <row r="27" spans="1:5" x14ac:dyDescent="0.3">
      <c r="A27" s="332">
        <v>15</v>
      </c>
      <c r="B27" s="337" t="s">
        <v>90</v>
      </c>
      <c r="C27" s="354">
        <f>'2. RC'!E24</f>
        <v>213011435.85000008</v>
      </c>
      <c r="D27" s="338"/>
      <c r="E27" s="336"/>
    </row>
    <row r="28" spans="1:5" x14ac:dyDescent="0.3">
      <c r="A28" s="332">
        <v>16</v>
      </c>
      <c r="B28" s="337" t="s">
        <v>91</v>
      </c>
      <c r="C28" s="354">
        <f>'2. RC'!E25</f>
        <v>255840057.3100003</v>
      </c>
      <c r="D28" s="338"/>
      <c r="E28" s="336"/>
    </row>
    <row r="29" spans="1:5" x14ac:dyDescent="0.3">
      <c r="A29" s="332">
        <v>17</v>
      </c>
      <c r="B29" s="337" t="s">
        <v>92</v>
      </c>
      <c r="C29" s="354">
        <f>'2. RC'!E26</f>
        <v>0</v>
      </c>
      <c r="D29" s="338"/>
      <c r="E29" s="336"/>
    </row>
    <row r="30" spans="1:5" x14ac:dyDescent="0.3">
      <c r="A30" s="332">
        <v>18</v>
      </c>
      <c r="B30" s="337" t="s">
        <v>93</v>
      </c>
      <c r="C30" s="354">
        <f>'2. RC'!E27</f>
        <v>100022303</v>
      </c>
      <c r="D30" s="338"/>
      <c r="E30" s="336"/>
    </row>
    <row r="31" spans="1:5" x14ac:dyDescent="0.3">
      <c r="A31" s="332">
        <v>19</v>
      </c>
      <c r="B31" s="337" t="s">
        <v>94</v>
      </c>
      <c r="C31" s="354">
        <f>'2. RC'!E28</f>
        <v>4858482.2899999972</v>
      </c>
      <c r="D31" s="338"/>
      <c r="E31" s="336"/>
    </row>
    <row r="32" spans="1:5" x14ac:dyDescent="0.3">
      <c r="A32" s="332">
        <v>20</v>
      </c>
      <c r="B32" s="337" t="s">
        <v>95</v>
      </c>
      <c r="C32" s="354">
        <f>'2. RC'!E29</f>
        <v>23800477.720000003</v>
      </c>
      <c r="D32" s="338"/>
      <c r="E32" s="336"/>
    </row>
    <row r="33" spans="1:5" x14ac:dyDescent="0.3">
      <c r="A33" s="332">
        <v>20.100000000000001</v>
      </c>
      <c r="B33" s="356" t="s">
        <v>356</v>
      </c>
      <c r="C33" s="357">
        <v>625563.26</v>
      </c>
      <c r="D33" s="338"/>
      <c r="E33" s="336"/>
    </row>
    <row r="34" spans="1:5" x14ac:dyDescent="0.3">
      <c r="A34" s="332">
        <v>21</v>
      </c>
      <c r="B34" s="348" t="s">
        <v>96</v>
      </c>
      <c r="C34" s="354">
        <f>'2. RC'!E30</f>
        <v>49149866.759999998</v>
      </c>
      <c r="D34" s="338"/>
      <c r="E34" s="336"/>
    </row>
    <row r="35" spans="1:5" x14ac:dyDescent="0.3">
      <c r="A35" s="332">
        <v>21.1</v>
      </c>
      <c r="B35" s="356" t="s">
        <v>357</v>
      </c>
      <c r="C35" s="354">
        <v>43766236.700000003</v>
      </c>
      <c r="D35" s="338"/>
      <c r="E35" s="336"/>
    </row>
    <row r="36" spans="1:5" x14ac:dyDescent="0.3">
      <c r="A36" s="332">
        <v>22</v>
      </c>
      <c r="B36" s="350" t="s">
        <v>97</v>
      </c>
      <c r="C36" s="351">
        <f>SUM(C25:C32)+C34</f>
        <v>830744528.82000208</v>
      </c>
      <c r="D36" s="352"/>
      <c r="E36" s="353"/>
    </row>
    <row r="37" spans="1:5" x14ac:dyDescent="0.3">
      <c r="A37" s="332">
        <v>23</v>
      </c>
      <c r="B37" s="348" t="s">
        <v>99</v>
      </c>
      <c r="C37" s="346">
        <f>'2. RC'!E33</f>
        <v>121372000</v>
      </c>
      <c r="D37" s="338"/>
      <c r="E37" s="336"/>
    </row>
    <row r="38" spans="1:5" x14ac:dyDescent="0.3">
      <c r="A38" s="332">
        <v>24</v>
      </c>
      <c r="B38" s="348" t="s">
        <v>100</v>
      </c>
      <c r="C38" s="358">
        <f>'2. RC'!E34</f>
        <v>0</v>
      </c>
      <c r="D38" s="338"/>
      <c r="E38" s="336"/>
    </row>
    <row r="39" spans="1:5" x14ac:dyDescent="0.3">
      <c r="A39" s="332">
        <v>25</v>
      </c>
      <c r="B39" s="348" t="s">
        <v>358</v>
      </c>
      <c r="C39" s="358">
        <f>'2. RC'!E35</f>
        <v>0</v>
      </c>
      <c r="D39" s="338"/>
      <c r="E39" s="336"/>
    </row>
    <row r="40" spans="1:5" x14ac:dyDescent="0.3">
      <c r="A40" s="332">
        <v>26</v>
      </c>
      <c r="B40" s="348" t="s">
        <v>102</v>
      </c>
      <c r="C40" s="358">
        <f>'2. RC'!E36</f>
        <v>0</v>
      </c>
      <c r="D40" s="338"/>
      <c r="E40" s="336"/>
    </row>
    <row r="41" spans="1:5" x14ac:dyDescent="0.3">
      <c r="A41" s="332">
        <v>27</v>
      </c>
      <c r="B41" s="348" t="s">
        <v>103</v>
      </c>
      <c r="C41" s="358">
        <f>'2. RC'!E37</f>
        <v>0</v>
      </c>
      <c r="D41" s="338"/>
      <c r="E41" s="336"/>
    </row>
    <row r="42" spans="1:5" x14ac:dyDescent="0.3">
      <c r="A42" s="332">
        <v>28</v>
      </c>
      <c r="B42" s="348" t="s">
        <v>104</v>
      </c>
      <c r="C42" s="359">
        <f>'2. RC'!E38</f>
        <v>12564783.779999988</v>
      </c>
      <c r="D42" s="338"/>
      <c r="E42" s="336"/>
    </row>
    <row r="43" spans="1:5" x14ac:dyDescent="0.3">
      <c r="A43" s="332">
        <v>29</v>
      </c>
      <c r="B43" s="348" t="s">
        <v>281</v>
      </c>
      <c r="C43" s="358">
        <f>'2. RC'!E39</f>
        <v>0</v>
      </c>
      <c r="D43" s="338"/>
      <c r="E43" s="336"/>
    </row>
    <row r="44" spans="1:5" ht="16.5" thickBot="1" x14ac:dyDescent="0.35">
      <c r="A44" s="360">
        <v>30</v>
      </c>
      <c r="B44" s="361" t="s">
        <v>106</v>
      </c>
      <c r="C44" s="362">
        <f>SUM(C37:C43)</f>
        <v>133936783.77999999</v>
      </c>
      <c r="D44" s="363"/>
      <c r="E44" s="353"/>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S25"/>
  <sheetViews>
    <sheetView zoomScaleNormal="100" workbookViewId="0">
      <pane xSplit="2" ySplit="7" topLeftCell="S17"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x14ac:dyDescent="0.2"/>
  <cols>
    <col min="1" max="1" width="10.5703125" style="23" bestFit="1" customWidth="1"/>
    <col min="2" max="2" width="105.140625" style="23" bestFit="1" customWidth="1"/>
    <col min="3" max="3" width="16.28515625" style="23" bestFit="1" customWidth="1"/>
    <col min="4" max="4" width="13.42578125" style="23" bestFit="1" customWidth="1"/>
    <col min="5" max="5" width="16.140625" style="23" bestFit="1" customWidth="1"/>
    <col min="6" max="6" width="13.42578125" style="23" bestFit="1" customWidth="1"/>
    <col min="7" max="7" width="12.5703125" style="23" customWidth="1"/>
    <col min="8" max="8" width="13.42578125" style="23" bestFit="1" customWidth="1"/>
    <col min="9" max="9" width="15.5703125" style="23" bestFit="1" customWidth="1"/>
    <col min="10" max="10" width="13.42578125" style="23" bestFit="1" customWidth="1"/>
    <col min="11" max="11" width="17" style="23" bestFit="1" customWidth="1"/>
    <col min="12" max="12" width="14.7109375" style="23" bestFit="1" customWidth="1"/>
    <col min="13" max="13" width="17.28515625" style="23" bestFit="1" customWidth="1"/>
    <col min="14" max="14" width="16.28515625" style="23" bestFit="1" customWidth="1"/>
    <col min="15" max="15" width="15.140625" style="23" bestFit="1" customWidth="1"/>
    <col min="16" max="16" width="13.42578125" style="23" bestFit="1" customWidth="1"/>
    <col min="17" max="17" width="9.5703125" style="23" bestFit="1" customWidth="1"/>
    <col min="18" max="18" width="13.42578125" style="23" bestFit="1" customWidth="1"/>
    <col min="19" max="19" width="33.140625" style="23" bestFit="1" customWidth="1"/>
    <col min="20" max="16384" width="9.140625" style="123"/>
  </cols>
  <sheetData>
    <row r="1" spans="1:19" x14ac:dyDescent="0.2">
      <c r="A1" s="23" t="s">
        <v>29</v>
      </c>
      <c r="B1" s="23" t="str">
        <f>'1. key ratios'!B1</f>
        <v>სს ტერაბანკი</v>
      </c>
    </row>
    <row r="2" spans="1:19" x14ac:dyDescent="0.2">
      <c r="A2" s="23" t="s">
        <v>31</v>
      </c>
      <c r="B2" s="77">
        <f>'1. key ratios'!B2</f>
        <v>43555</v>
      </c>
    </row>
    <row r="4" spans="1:19" ht="26.25" thickBot="1" x14ac:dyDescent="0.25">
      <c r="A4" s="364" t="s">
        <v>359</v>
      </c>
      <c r="B4" s="365" t="s">
        <v>360</v>
      </c>
    </row>
    <row r="5" spans="1:19" x14ac:dyDescent="0.2">
      <c r="A5" s="366"/>
      <c r="B5" s="367"/>
      <c r="C5" s="368" t="s">
        <v>252</v>
      </c>
      <c r="D5" s="368" t="s">
        <v>253</v>
      </c>
      <c r="E5" s="368" t="s">
        <v>254</v>
      </c>
      <c r="F5" s="368" t="s">
        <v>361</v>
      </c>
      <c r="G5" s="368" t="s">
        <v>362</v>
      </c>
      <c r="H5" s="368" t="s">
        <v>363</v>
      </c>
      <c r="I5" s="368" t="s">
        <v>364</v>
      </c>
      <c r="J5" s="368" t="s">
        <v>365</v>
      </c>
      <c r="K5" s="368" t="s">
        <v>366</v>
      </c>
      <c r="L5" s="368" t="s">
        <v>367</v>
      </c>
      <c r="M5" s="368" t="s">
        <v>368</v>
      </c>
      <c r="N5" s="368" t="s">
        <v>369</v>
      </c>
      <c r="O5" s="368" t="s">
        <v>370</v>
      </c>
      <c r="P5" s="368" t="s">
        <v>371</v>
      </c>
      <c r="Q5" s="368" t="s">
        <v>372</v>
      </c>
      <c r="R5" s="369" t="s">
        <v>373</v>
      </c>
      <c r="S5" s="370" t="s">
        <v>374</v>
      </c>
    </row>
    <row r="6" spans="1:19" ht="46.5" customHeight="1" x14ac:dyDescent="0.2">
      <c r="A6" s="371"/>
      <c r="B6" s="573" t="s">
        <v>375</v>
      </c>
      <c r="C6" s="569">
        <v>0</v>
      </c>
      <c r="D6" s="570"/>
      <c r="E6" s="569">
        <v>0.2</v>
      </c>
      <c r="F6" s="570"/>
      <c r="G6" s="569">
        <v>0.35</v>
      </c>
      <c r="H6" s="570"/>
      <c r="I6" s="569">
        <v>0.5</v>
      </c>
      <c r="J6" s="570"/>
      <c r="K6" s="569">
        <v>0.75</v>
      </c>
      <c r="L6" s="570"/>
      <c r="M6" s="569">
        <v>1</v>
      </c>
      <c r="N6" s="570"/>
      <c r="O6" s="569">
        <v>1.5</v>
      </c>
      <c r="P6" s="570"/>
      <c r="Q6" s="569">
        <v>2.5</v>
      </c>
      <c r="R6" s="570"/>
      <c r="S6" s="571" t="s">
        <v>376</v>
      </c>
    </row>
    <row r="7" spans="1:19" x14ac:dyDescent="0.2">
      <c r="A7" s="371"/>
      <c r="B7" s="574"/>
      <c r="C7" s="372" t="s">
        <v>377</v>
      </c>
      <c r="D7" s="372" t="s">
        <v>378</v>
      </c>
      <c r="E7" s="372" t="s">
        <v>377</v>
      </c>
      <c r="F7" s="372" t="s">
        <v>378</v>
      </c>
      <c r="G7" s="372" t="s">
        <v>377</v>
      </c>
      <c r="H7" s="372" t="s">
        <v>378</v>
      </c>
      <c r="I7" s="372" t="s">
        <v>377</v>
      </c>
      <c r="J7" s="372" t="s">
        <v>378</v>
      </c>
      <c r="K7" s="372" t="s">
        <v>377</v>
      </c>
      <c r="L7" s="372" t="s">
        <v>378</v>
      </c>
      <c r="M7" s="372" t="s">
        <v>377</v>
      </c>
      <c r="N7" s="372" t="s">
        <v>378</v>
      </c>
      <c r="O7" s="372" t="s">
        <v>377</v>
      </c>
      <c r="P7" s="372" t="s">
        <v>378</v>
      </c>
      <c r="Q7" s="372" t="s">
        <v>377</v>
      </c>
      <c r="R7" s="372" t="s">
        <v>378</v>
      </c>
      <c r="S7" s="572"/>
    </row>
    <row r="8" spans="1:19" s="378" customFormat="1" x14ac:dyDescent="0.2">
      <c r="A8" s="373">
        <v>1</v>
      </c>
      <c r="B8" s="374" t="s">
        <v>379</v>
      </c>
      <c r="C8" s="375">
        <v>59784939.050000004</v>
      </c>
      <c r="D8" s="375"/>
      <c r="E8" s="375">
        <v>0</v>
      </c>
      <c r="F8" s="376"/>
      <c r="G8" s="375">
        <v>0</v>
      </c>
      <c r="H8" s="375"/>
      <c r="I8" s="375">
        <v>0</v>
      </c>
      <c r="J8" s="375"/>
      <c r="K8" s="375">
        <v>0</v>
      </c>
      <c r="L8" s="375"/>
      <c r="M8" s="375">
        <v>122410136.77</v>
      </c>
      <c r="N8" s="375"/>
      <c r="O8" s="375">
        <v>0</v>
      </c>
      <c r="P8" s="375"/>
      <c r="Q8" s="375">
        <v>0</v>
      </c>
      <c r="R8" s="376"/>
      <c r="S8" s="377">
        <f>$C$6*SUM(C8:D8)+$E$6*SUM(E8:F8)+$G$6*SUM(G8:H8)+$I$6*SUM(I8:J8)+$K$6*SUM(K8:L8)+$M$6*SUM(M8:N8)+$O$6*SUM(O8:P8)+$Q$6*SUM(Q8:R8)</f>
        <v>122410136.77</v>
      </c>
    </row>
    <row r="9" spans="1:19" s="378" customFormat="1" x14ac:dyDescent="0.2">
      <c r="A9" s="373">
        <v>2</v>
      </c>
      <c r="B9" s="374" t="s">
        <v>380</v>
      </c>
      <c r="C9" s="375">
        <v>0</v>
      </c>
      <c r="D9" s="375"/>
      <c r="E9" s="375">
        <v>0</v>
      </c>
      <c r="F9" s="375"/>
      <c r="G9" s="375">
        <v>0</v>
      </c>
      <c r="H9" s="375"/>
      <c r="I9" s="375">
        <v>0</v>
      </c>
      <c r="J9" s="375"/>
      <c r="K9" s="375">
        <v>0</v>
      </c>
      <c r="L9" s="375"/>
      <c r="M9" s="375">
        <v>0</v>
      </c>
      <c r="N9" s="375"/>
      <c r="O9" s="375">
        <v>0</v>
      </c>
      <c r="P9" s="375"/>
      <c r="Q9" s="375">
        <v>0</v>
      </c>
      <c r="R9" s="376"/>
      <c r="S9" s="379">
        <f t="shared" ref="S9:S21" si="0">$C$6*SUM(C9:D9)+$E$6*SUM(E9:F9)+$G$6*SUM(G9:H9)+$I$6*SUM(I9:J9)+$K$6*SUM(K9:L9)+$M$6*SUM(M9:N9)+$O$6*SUM(O9:P9)+$Q$6*SUM(Q9:R9)</f>
        <v>0</v>
      </c>
    </row>
    <row r="10" spans="1:19" s="378" customFormat="1" x14ac:dyDescent="0.2">
      <c r="A10" s="373">
        <v>3</v>
      </c>
      <c r="B10" s="374" t="s">
        <v>381</v>
      </c>
      <c r="C10" s="375">
        <v>0</v>
      </c>
      <c r="D10" s="375"/>
      <c r="E10" s="375">
        <v>0</v>
      </c>
      <c r="F10" s="375"/>
      <c r="G10" s="375">
        <v>0</v>
      </c>
      <c r="H10" s="375"/>
      <c r="I10" s="375">
        <v>0</v>
      </c>
      <c r="J10" s="375"/>
      <c r="K10" s="375">
        <v>0</v>
      </c>
      <c r="L10" s="375"/>
      <c r="M10" s="375">
        <v>0</v>
      </c>
      <c r="N10" s="375"/>
      <c r="O10" s="375">
        <v>0</v>
      </c>
      <c r="P10" s="375"/>
      <c r="Q10" s="375">
        <v>0</v>
      </c>
      <c r="R10" s="376"/>
      <c r="S10" s="379">
        <f t="shared" si="0"/>
        <v>0</v>
      </c>
    </row>
    <row r="11" spans="1:19" s="378" customFormat="1" x14ac:dyDescent="0.2">
      <c r="A11" s="373">
        <v>4</v>
      </c>
      <c r="B11" s="374" t="s">
        <v>382</v>
      </c>
      <c r="C11" s="375">
        <v>0</v>
      </c>
      <c r="D11" s="375"/>
      <c r="E11" s="375">
        <v>0</v>
      </c>
      <c r="F11" s="375"/>
      <c r="G11" s="375">
        <v>0</v>
      </c>
      <c r="H11" s="375"/>
      <c r="I11" s="375">
        <v>0</v>
      </c>
      <c r="J11" s="375"/>
      <c r="K11" s="375">
        <v>0</v>
      </c>
      <c r="L11" s="375"/>
      <c r="M11" s="375">
        <v>0</v>
      </c>
      <c r="N11" s="375"/>
      <c r="O11" s="375">
        <v>0</v>
      </c>
      <c r="P11" s="375"/>
      <c r="Q11" s="375">
        <v>0</v>
      </c>
      <c r="R11" s="376"/>
      <c r="S11" s="379">
        <f t="shared" si="0"/>
        <v>0</v>
      </c>
    </row>
    <row r="12" spans="1:19" s="378" customFormat="1" x14ac:dyDescent="0.2">
      <c r="A12" s="373">
        <v>5</v>
      </c>
      <c r="B12" s="374" t="s">
        <v>383</v>
      </c>
      <c r="C12" s="375">
        <v>0</v>
      </c>
      <c r="D12" s="375"/>
      <c r="E12" s="375">
        <v>0</v>
      </c>
      <c r="F12" s="375"/>
      <c r="G12" s="375">
        <v>0</v>
      </c>
      <c r="H12" s="375"/>
      <c r="I12" s="375">
        <v>0</v>
      </c>
      <c r="J12" s="375"/>
      <c r="K12" s="375">
        <v>0</v>
      </c>
      <c r="L12" s="375"/>
      <c r="M12" s="375">
        <v>0</v>
      </c>
      <c r="N12" s="375"/>
      <c r="O12" s="375">
        <v>0</v>
      </c>
      <c r="P12" s="375"/>
      <c r="Q12" s="375">
        <v>0</v>
      </c>
      <c r="R12" s="376"/>
      <c r="S12" s="379">
        <f t="shared" si="0"/>
        <v>0</v>
      </c>
    </row>
    <row r="13" spans="1:19" s="378" customFormat="1" x14ac:dyDescent="0.2">
      <c r="A13" s="373">
        <v>6</v>
      </c>
      <c r="B13" s="374" t="s">
        <v>384</v>
      </c>
      <c r="C13" s="375">
        <v>0</v>
      </c>
      <c r="D13" s="375"/>
      <c r="E13" s="375">
        <v>20455488.099999998</v>
      </c>
      <c r="F13" s="375"/>
      <c r="G13" s="375">
        <v>0</v>
      </c>
      <c r="H13" s="375"/>
      <c r="I13" s="375">
        <v>6311229.2800000003</v>
      </c>
      <c r="J13" s="375"/>
      <c r="K13" s="375">
        <v>0</v>
      </c>
      <c r="L13" s="375"/>
      <c r="M13" s="375">
        <v>1372262.2</v>
      </c>
      <c r="N13" s="375"/>
      <c r="O13" s="375">
        <v>0</v>
      </c>
      <c r="P13" s="375"/>
      <c r="Q13" s="375">
        <v>0</v>
      </c>
      <c r="R13" s="376"/>
      <c r="S13" s="379">
        <f t="shared" si="0"/>
        <v>8618974.459999999</v>
      </c>
    </row>
    <row r="14" spans="1:19" s="378" customFormat="1" x14ac:dyDescent="0.2">
      <c r="A14" s="373">
        <v>7</v>
      </c>
      <c r="B14" s="374" t="s">
        <v>385</v>
      </c>
      <c r="C14" s="375">
        <v>0</v>
      </c>
      <c r="D14" s="375"/>
      <c r="E14" s="375">
        <v>0</v>
      </c>
      <c r="F14" s="375"/>
      <c r="G14" s="375">
        <v>0</v>
      </c>
      <c r="H14" s="375"/>
      <c r="I14" s="375">
        <v>0</v>
      </c>
      <c r="J14" s="375"/>
      <c r="K14" s="375">
        <v>0</v>
      </c>
      <c r="L14" s="375"/>
      <c r="M14" s="375">
        <v>332887270.81999964</v>
      </c>
      <c r="N14" s="375">
        <v>28158048.620999992</v>
      </c>
      <c r="O14" s="375">
        <v>0</v>
      </c>
      <c r="P14" s="375"/>
      <c r="Q14" s="375">
        <v>0</v>
      </c>
      <c r="R14" s="376"/>
      <c r="S14" s="379">
        <f t="shared" si="0"/>
        <v>361045319.44099963</v>
      </c>
    </row>
    <row r="15" spans="1:19" s="378" customFormat="1" x14ac:dyDescent="0.2">
      <c r="A15" s="373">
        <v>8</v>
      </c>
      <c r="B15" s="374" t="s">
        <v>386</v>
      </c>
      <c r="C15" s="375">
        <v>0</v>
      </c>
      <c r="D15" s="375"/>
      <c r="E15" s="375">
        <v>0</v>
      </c>
      <c r="F15" s="375"/>
      <c r="G15" s="375">
        <v>0</v>
      </c>
      <c r="H15" s="375"/>
      <c r="I15" s="375">
        <v>0</v>
      </c>
      <c r="J15" s="375"/>
      <c r="K15" s="375">
        <v>209857283.93000001</v>
      </c>
      <c r="L15" s="375">
        <v>5681372.7169999965</v>
      </c>
      <c r="M15" s="375">
        <v>0</v>
      </c>
      <c r="N15" s="375"/>
      <c r="O15" s="375">
        <v>0</v>
      </c>
      <c r="P15" s="375"/>
      <c r="Q15" s="375">
        <v>0</v>
      </c>
      <c r="R15" s="376"/>
      <c r="S15" s="379">
        <f t="shared" si="0"/>
        <v>161653992.48525</v>
      </c>
    </row>
    <row r="16" spans="1:19" s="378" customFormat="1" x14ac:dyDescent="0.2">
      <c r="A16" s="373">
        <v>9</v>
      </c>
      <c r="B16" s="374" t="s">
        <v>387</v>
      </c>
      <c r="C16" s="375">
        <v>0</v>
      </c>
      <c r="D16" s="375"/>
      <c r="E16" s="375">
        <v>0</v>
      </c>
      <c r="F16" s="375"/>
      <c r="G16" s="375">
        <v>0</v>
      </c>
      <c r="H16" s="375"/>
      <c r="I16" s="375">
        <v>0</v>
      </c>
      <c r="J16" s="375"/>
      <c r="K16" s="375">
        <v>0</v>
      </c>
      <c r="L16" s="375"/>
      <c r="M16" s="375">
        <v>0</v>
      </c>
      <c r="N16" s="375"/>
      <c r="O16" s="375">
        <v>0</v>
      </c>
      <c r="P16" s="375"/>
      <c r="Q16" s="375">
        <v>0</v>
      </c>
      <c r="R16" s="376"/>
      <c r="S16" s="379">
        <f t="shared" si="0"/>
        <v>0</v>
      </c>
    </row>
    <row r="17" spans="1:19" s="378" customFormat="1" x14ac:dyDescent="0.2">
      <c r="A17" s="373">
        <v>10</v>
      </c>
      <c r="B17" s="374" t="s">
        <v>388</v>
      </c>
      <c r="C17" s="375">
        <v>0</v>
      </c>
      <c r="D17" s="375"/>
      <c r="E17" s="375">
        <v>0</v>
      </c>
      <c r="F17" s="375"/>
      <c r="G17" s="375">
        <v>0</v>
      </c>
      <c r="H17" s="375"/>
      <c r="I17" s="375">
        <v>0</v>
      </c>
      <c r="J17" s="375"/>
      <c r="K17" s="375">
        <v>0</v>
      </c>
      <c r="L17" s="375"/>
      <c r="M17" s="375">
        <v>15789174.829999996</v>
      </c>
      <c r="N17" s="375"/>
      <c r="O17" s="375">
        <v>1341485.3799999999</v>
      </c>
      <c r="P17" s="375"/>
      <c r="Q17" s="375">
        <v>0</v>
      </c>
      <c r="R17" s="376"/>
      <c r="S17" s="379">
        <f t="shared" si="0"/>
        <v>17801402.899999995</v>
      </c>
    </row>
    <row r="18" spans="1:19" s="378" customFormat="1" x14ac:dyDescent="0.2">
      <c r="A18" s="373">
        <v>11</v>
      </c>
      <c r="B18" s="374" t="s">
        <v>389</v>
      </c>
      <c r="C18" s="375">
        <v>0</v>
      </c>
      <c r="D18" s="375"/>
      <c r="E18" s="375">
        <v>0</v>
      </c>
      <c r="F18" s="375"/>
      <c r="G18" s="375">
        <v>0</v>
      </c>
      <c r="H18" s="375"/>
      <c r="I18" s="375">
        <v>0</v>
      </c>
      <c r="J18" s="375"/>
      <c r="K18" s="375">
        <v>0</v>
      </c>
      <c r="L18" s="375"/>
      <c r="M18" s="375">
        <v>84290464.159999922</v>
      </c>
      <c r="N18" s="375"/>
      <c r="O18" s="375">
        <v>36846140.320000187</v>
      </c>
      <c r="P18" s="375"/>
      <c r="Q18" s="375">
        <v>0</v>
      </c>
      <c r="R18" s="376"/>
      <c r="S18" s="379">
        <f t="shared" si="0"/>
        <v>139559674.64000019</v>
      </c>
    </row>
    <row r="19" spans="1:19" s="378" customFormat="1" x14ac:dyDescent="0.2">
      <c r="A19" s="373">
        <v>12</v>
      </c>
      <c r="B19" s="374" t="s">
        <v>390</v>
      </c>
      <c r="C19" s="375">
        <v>0</v>
      </c>
      <c r="D19" s="375"/>
      <c r="E19" s="375">
        <v>0</v>
      </c>
      <c r="F19" s="375"/>
      <c r="G19" s="375">
        <v>0</v>
      </c>
      <c r="H19" s="375"/>
      <c r="I19" s="375">
        <v>0</v>
      </c>
      <c r="J19" s="375"/>
      <c r="K19" s="375">
        <v>0</v>
      </c>
      <c r="L19" s="375"/>
      <c r="M19" s="375">
        <v>0</v>
      </c>
      <c r="N19" s="375"/>
      <c r="O19" s="375">
        <v>0</v>
      </c>
      <c r="P19" s="375"/>
      <c r="Q19" s="375">
        <v>0</v>
      </c>
      <c r="R19" s="376"/>
      <c r="S19" s="379">
        <f t="shared" si="0"/>
        <v>0</v>
      </c>
    </row>
    <row r="20" spans="1:19" s="378" customFormat="1" x14ac:dyDescent="0.2">
      <c r="A20" s="373">
        <v>13</v>
      </c>
      <c r="B20" s="374" t="s">
        <v>391</v>
      </c>
      <c r="C20" s="375">
        <v>0</v>
      </c>
      <c r="D20" s="375"/>
      <c r="E20" s="375">
        <v>0</v>
      </c>
      <c r="F20" s="375"/>
      <c r="G20" s="375">
        <v>0</v>
      </c>
      <c r="H20" s="375"/>
      <c r="I20" s="375">
        <v>0</v>
      </c>
      <c r="J20" s="375"/>
      <c r="K20" s="375">
        <v>0</v>
      </c>
      <c r="L20" s="375"/>
      <c r="M20" s="375">
        <v>0</v>
      </c>
      <c r="N20" s="375"/>
      <c r="O20" s="375">
        <v>0</v>
      </c>
      <c r="P20" s="375"/>
      <c r="Q20" s="375">
        <v>0</v>
      </c>
      <c r="R20" s="376"/>
      <c r="S20" s="379">
        <f t="shared" si="0"/>
        <v>0</v>
      </c>
    </row>
    <row r="21" spans="1:19" s="378" customFormat="1" x14ac:dyDescent="0.2">
      <c r="A21" s="373">
        <v>14</v>
      </c>
      <c r="B21" s="374" t="s">
        <v>392</v>
      </c>
      <c r="C21" s="375">
        <v>40853782.919999994</v>
      </c>
      <c r="D21" s="375"/>
      <c r="E21" s="375">
        <v>12679.869999999999</v>
      </c>
      <c r="F21" s="375"/>
      <c r="G21" s="375">
        <v>0</v>
      </c>
      <c r="H21" s="375"/>
      <c r="I21" s="375">
        <v>0</v>
      </c>
      <c r="J21" s="375">
        <v>0</v>
      </c>
      <c r="K21" s="375">
        <v>0</v>
      </c>
      <c r="L21" s="375"/>
      <c r="M21" s="375">
        <v>21587214.920000009</v>
      </c>
      <c r="N21" s="375">
        <v>0</v>
      </c>
      <c r="O21" s="375">
        <v>0</v>
      </c>
      <c r="P21" s="375"/>
      <c r="Q21" s="375">
        <v>0</v>
      </c>
      <c r="R21" s="376"/>
      <c r="S21" s="379">
        <f t="shared" si="0"/>
        <v>21589750.894000009</v>
      </c>
    </row>
    <row r="22" spans="1:19" ht="13.5" thickBot="1" x14ac:dyDescent="0.25">
      <c r="A22" s="380"/>
      <c r="B22" s="381" t="s">
        <v>72</v>
      </c>
      <c r="C22" s="382">
        <f>SUM(C8:C21)</f>
        <v>100638721.97</v>
      </c>
      <c r="D22" s="382">
        <f t="shared" ref="D22:S22" si="1">SUM(D8:D21)</f>
        <v>0</v>
      </c>
      <c r="E22" s="382">
        <f t="shared" si="1"/>
        <v>20468167.969999999</v>
      </c>
      <c r="F22" s="382">
        <f t="shared" si="1"/>
        <v>0</v>
      </c>
      <c r="G22" s="382">
        <f t="shared" si="1"/>
        <v>0</v>
      </c>
      <c r="H22" s="382">
        <f t="shared" si="1"/>
        <v>0</v>
      </c>
      <c r="I22" s="382">
        <f>SUM(I8:I21)</f>
        <v>6311229.2800000003</v>
      </c>
      <c r="J22" s="382">
        <f t="shared" si="1"/>
        <v>0</v>
      </c>
      <c r="K22" s="382">
        <f t="shared" si="1"/>
        <v>209857283.93000001</v>
      </c>
      <c r="L22" s="382">
        <f t="shared" si="1"/>
        <v>5681372.7169999965</v>
      </c>
      <c r="M22" s="382">
        <f t="shared" si="1"/>
        <v>578336523.69999945</v>
      </c>
      <c r="N22" s="382">
        <f>SUM(N8:N21)</f>
        <v>28158048.620999992</v>
      </c>
      <c r="O22" s="382">
        <f t="shared" si="1"/>
        <v>38187625.700000189</v>
      </c>
      <c r="P22" s="382">
        <f t="shared" si="1"/>
        <v>0</v>
      </c>
      <c r="Q22" s="382">
        <f t="shared" si="1"/>
        <v>0</v>
      </c>
      <c r="R22" s="382">
        <f t="shared" si="1"/>
        <v>0</v>
      </c>
      <c r="S22" s="383">
        <f t="shared" si="1"/>
        <v>832679251.5902499</v>
      </c>
    </row>
    <row r="24" spans="1:19" x14ac:dyDescent="0.2">
      <c r="S24" s="184"/>
    </row>
    <row r="25" spans="1:19" x14ac:dyDescent="0.2">
      <c r="N25" s="293"/>
      <c r="S25" s="184"/>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zoomScaleNormal="100" workbookViewId="0">
      <pane xSplit="2" ySplit="6" topLeftCell="R7"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x14ac:dyDescent="0.2"/>
  <cols>
    <col min="1" max="1" width="10.5703125" style="23" bestFit="1" customWidth="1"/>
    <col min="2" max="2" width="74.5703125" style="23" customWidth="1"/>
    <col min="3" max="3" width="19" style="23" customWidth="1"/>
    <col min="4" max="4" width="19.5703125" style="23" customWidth="1"/>
    <col min="5" max="5" width="31.140625" style="23" customWidth="1"/>
    <col min="6" max="6" width="29.140625" style="23" customWidth="1"/>
    <col min="7" max="7" width="28.5703125" style="23" customWidth="1"/>
    <col min="8" max="8" width="26.42578125" style="23" customWidth="1"/>
    <col min="9" max="9" width="23.7109375" style="23" customWidth="1"/>
    <col min="10" max="10" width="21.5703125" style="23" customWidth="1"/>
    <col min="11" max="11" width="15.7109375" style="23" customWidth="1"/>
    <col min="12" max="12" width="13.28515625" style="23" customWidth="1"/>
    <col min="13" max="13" width="20.85546875" style="23" customWidth="1"/>
    <col min="14" max="14" width="19.28515625" style="23" customWidth="1"/>
    <col min="15" max="15" width="18.42578125" style="23" customWidth="1"/>
    <col min="16" max="16" width="19" style="23" customWidth="1"/>
    <col min="17" max="17" width="20.28515625" style="23" customWidth="1"/>
    <col min="18" max="18" width="18" style="23" customWidth="1"/>
    <col min="19" max="19" width="36" style="23" customWidth="1"/>
    <col min="20" max="20" width="19.42578125" style="23" customWidth="1"/>
    <col min="21" max="21" width="19.140625" style="23" customWidth="1"/>
    <col min="22" max="22" width="20" style="23" customWidth="1"/>
    <col min="23" max="16384" width="9.140625" style="123"/>
  </cols>
  <sheetData>
    <row r="1" spans="1:22" x14ac:dyDescent="0.2">
      <c r="A1" s="23" t="s">
        <v>29</v>
      </c>
      <c r="B1" s="23" t="str">
        <f>'1. key ratios'!B1</f>
        <v>სს ტერაბანკი</v>
      </c>
    </row>
    <row r="2" spans="1:22" x14ac:dyDescent="0.2">
      <c r="A2" s="23" t="s">
        <v>31</v>
      </c>
      <c r="B2" s="77">
        <f>'1. key ratios'!B2</f>
        <v>43555</v>
      </c>
    </row>
    <row r="4" spans="1:22" ht="27.75" thickBot="1" x14ac:dyDescent="0.35">
      <c r="A4" s="23" t="s">
        <v>393</v>
      </c>
      <c r="B4" s="384" t="s">
        <v>394</v>
      </c>
      <c r="V4" s="327" t="s">
        <v>66</v>
      </c>
    </row>
    <row r="5" spans="1:22" x14ac:dyDescent="0.2">
      <c r="A5" s="385"/>
      <c r="B5" s="386"/>
      <c r="C5" s="575" t="s">
        <v>395</v>
      </c>
      <c r="D5" s="576"/>
      <c r="E5" s="576"/>
      <c r="F5" s="576"/>
      <c r="G5" s="576"/>
      <c r="H5" s="576"/>
      <c r="I5" s="576"/>
      <c r="J5" s="576"/>
      <c r="K5" s="576"/>
      <c r="L5" s="577"/>
      <c r="M5" s="575" t="s">
        <v>396</v>
      </c>
      <c r="N5" s="576"/>
      <c r="O5" s="576"/>
      <c r="P5" s="576"/>
      <c r="Q5" s="576"/>
      <c r="R5" s="576"/>
      <c r="S5" s="577"/>
      <c r="T5" s="578" t="s">
        <v>397</v>
      </c>
      <c r="U5" s="578" t="s">
        <v>398</v>
      </c>
      <c r="V5" s="580" t="s">
        <v>399</v>
      </c>
    </row>
    <row r="6" spans="1:22" s="364" customFormat="1" ht="140.25" x14ac:dyDescent="0.25">
      <c r="A6" s="241"/>
      <c r="B6" s="387"/>
      <c r="C6" s="388" t="s">
        <v>400</v>
      </c>
      <c r="D6" s="389" t="s">
        <v>401</v>
      </c>
      <c r="E6" s="390" t="s">
        <v>402</v>
      </c>
      <c r="F6" s="391" t="s">
        <v>403</v>
      </c>
      <c r="G6" s="389" t="s">
        <v>404</v>
      </c>
      <c r="H6" s="389" t="s">
        <v>405</v>
      </c>
      <c r="I6" s="389" t="s">
        <v>406</v>
      </c>
      <c r="J6" s="389" t="s">
        <v>407</v>
      </c>
      <c r="K6" s="389" t="s">
        <v>408</v>
      </c>
      <c r="L6" s="392" t="s">
        <v>409</v>
      </c>
      <c r="M6" s="388" t="s">
        <v>410</v>
      </c>
      <c r="N6" s="389" t="s">
        <v>411</v>
      </c>
      <c r="O6" s="389" t="s">
        <v>412</v>
      </c>
      <c r="P6" s="389" t="s">
        <v>413</v>
      </c>
      <c r="Q6" s="389" t="s">
        <v>414</v>
      </c>
      <c r="R6" s="389" t="s">
        <v>415</v>
      </c>
      <c r="S6" s="392" t="s">
        <v>416</v>
      </c>
      <c r="T6" s="579"/>
      <c r="U6" s="579"/>
      <c r="V6" s="581"/>
    </row>
    <row r="7" spans="1:22" s="378" customFormat="1" x14ac:dyDescent="0.2">
      <c r="A7" s="393">
        <v>1</v>
      </c>
      <c r="B7" s="394" t="s">
        <v>379</v>
      </c>
      <c r="C7" s="395">
        <v>0</v>
      </c>
      <c r="D7" s="375">
        <f t="shared" ref="D7:D19" si="0">U7+T7</f>
        <v>0</v>
      </c>
      <c r="E7" s="375">
        <v>0</v>
      </c>
      <c r="F7" s="375">
        <v>0</v>
      </c>
      <c r="G7" s="375">
        <v>0</v>
      </c>
      <c r="H7" s="375">
        <v>0</v>
      </c>
      <c r="I7" s="375">
        <v>0</v>
      </c>
      <c r="J7" s="375">
        <v>0</v>
      </c>
      <c r="K7" s="375">
        <v>0</v>
      </c>
      <c r="L7" s="375">
        <v>0</v>
      </c>
      <c r="M7" s="396"/>
      <c r="N7" s="397"/>
      <c r="O7" s="397"/>
      <c r="P7" s="397"/>
      <c r="Q7" s="397"/>
      <c r="R7" s="397"/>
      <c r="S7" s="398"/>
      <c r="T7" s="399">
        <v>0</v>
      </c>
      <c r="U7" s="400"/>
      <c r="V7" s="401">
        <f>SUM(C7:S7)</f>
        <v>0</v>
      </c>
    </row>
    <row r="8" spans="1:22" s="378" customFormat="1" x14ac:dyDescent="0.2">
      <c r="A8" s="393">
        <v>2</v>
      </c>
      <c r="B8" s="394" t="s">
        <v>380</v>
      </c>
      <c r="C8" s="395">
        <v>0</v>
      </c>
      <c r="D8" s="375">
        <f t="shared" si="0"/>
        <v>0</v>
      </c>
      <c r="E8" s="375">
        <v>0</v>
      </c>
      <c r="F8" s="375">
        <v>0</v>
      </c>
      <c r="G8" s="375">
        <v>0</v>
      </c>
      <c r="H8" s="375">
        <v>0</v>
      </c>
      <c r="I8" s="375">
        <v>0</v>
      </c>
      <c r="J8" s="375">
        <v>0</v>
      </c>
      <c r="K8" s="375">
        <v>0</v>
      </c>
      <c r="L8" s="375">
        <v>0</v>
      </c>
      <c r="M8" s="396"/>
      <c r="N8" s="397"/>
      <c r="O8" s="397"/>
      <c r="P8" s="397"/>
      <c r="Q8" s="397"/>
      <c r="R8" s="397"/>
      <c r="S8" s="398"/>
      <c r="T8" s="399">
        <v>0</v>
      </c>
      <c r="U8" s="400"/>
      <c r="V8" s="401">
        <f t="shared" ref="V8:V20" si="1">SUM(C8:S8)</f>
        <v>0</v>
      </c>
    </row>
    <row r="9" spans="1:22" s="378" customFormat="1" x14ac:dyDescent="0.2">
      <c r="A9" s="393">
        <v>3</v>
      </c>
      <c r="B9" s="394" t="s">
        <v>381</v>
      </c>
      <c r="C9" s="395">
        <v>0</v>
      </c>
      <c r="D9" s="375">
        <f t="shared" si="0"/>
        <v>0</v>
      </c>
      <c r="E9" s="375">
        <v>0</v>
      </c>
      <c r="F9" s="375">
        <v>0</v>
      </c>
      <c r="G9" s="375">
        <v>0</v>
      </c>
      <c r="H9" s="375">
        <v>0</v>
      </c>
      <c r="I9" s="375">
        <v>0</v>
      </c>
      <c r="J9" s="375">
        <v>0</v>
      </c>
      <c r="K9" s="375">
        <v>0</v>
      </c>
      <c r="L9" s="375">
        <v>0</v>
      </c>
      <c r="M9" s="396"/>
      <c r="N9" s="397"/>
      <c r="O9" s="397"/>
      <c r="P9" s="397"/>
      <c r="Q9" s="397"/>
      <c r="R9" s="397"/>
      <c r="S9" s="398"/>
      <c r="T9" s="399">
        <v>0</v>
      </c>
      <c r="U9" s="400"/>
      <c r="V9" s="401">
        <f>SUM(C9:S9)</f>
        <v>0</v>
      </c>
    </row>
    <row r="10" spans="1:22" s="378" customFormat="1" x14ac:dyDescent="0.2">
      <c r="A10" s="393">
        <v>4</v>
      </c>
      <c r="B10" s="394" t="s">
        <v>382</v>
      </c>
      <c r="C10" s="395">
        <v>0</v>
      </c>
      <c r="D10" s="375">
        <f t="shared" si="0"/>
        <v>0</v>
      </c>
      <c r="E10" s="375">
        <v>0</v>
      </c>
      <c r="F10" s="375">
        <v>0</v>
      </c>
      <c r="G10" s="375">
        <v>0</v>
      </c>
      <c r="H10" s="375">
        <v>0</v>
      </c>
      <c r="I10" s="375">
        <v>0</v>
      </c>
      <c r="J10" s="375">
        <v>0</v>
      </c>
      <c r="K10" s="375">
        <v>0</v>
      </c>
      <c r="L10" s="375">
        <v>0</v>
      </c>
      <c r="M10" s="396"/>
      <c r="N10" s="397"/>
      <c r="O10" s="397"/>
      <c r="P10" s="397"/>
      <c r="Q10" s="397"/>
      <c r="R10" s="397"/>
      <c r="S10" s="398"/>
      <c r="T10" s="399">
        <v>0</v>
      </c>
      <c r="U10" s="400"/>
      <c r="V10" s="401">
        <f t="shared" si="1"/>
        <v>0</v>
      </c>
    </row>
    <row r="11" spans="1:22" s="378" customFormat="1" x14ac:dyDescent="0.2">
      <c r="A11" s="393">
        <v>5</v>
      </c>
      <c r="B11" s="394" t="s">
        <v>383</v>
      </c>
      <c r="C11" s="395">
        <v>0</v>
      </c>
      <c r="D11" s="375">
        <f t="shared" si="0"/>
        <v>0</v>
      </c>
      <c r="E11" s="375">
        <v>0</v>
      </c>
      <c r="F11" s="375">
        <v>0</v>
      </c>
      <c r="G11" s="375">
        <v>0</v>
      </c>
      <c r="H11" s="375">
        <v>0</v>
      </c>
      <c r="I11" s="375">
        <v>0</v>
      </c>
      <c r="J11" s="375">
        <v>0</v>
      </c>
      <c r="K11" s="375">
        <v>0</v>
      </c>
      <c r="L11" s="375">
        <v>0</v>
      </c>
      <c r="M11" s="396"/>
      <c r="N11" s="397"/>
      <c r="O11" s="397"/>
      <c r="P11" s="397"/>
      <c r="Q11" s="397"/>
      <c r="R11" s="397"/>
      <c r="S11" s="398"/>
      <c r="T11" s="399">
        <v>0</v>
      </c>
      <c r="U11" s="400"/>
      <c r="V11" s="401">
        <f t="shared" si="1"/>
        <v>0</v>
      </c>
    </row>
    <row r="12" spans="1:22" s="378" customFormat="1" x14ac:dyDescent="0.2">
      <c r="A12" s="393">
        <v>6</v>
      </c>
      <c r="B12" s="394" t="s">
        <v>384</v>
      </c>
      <c r="C12" s="395">
        <v>0</v>
      </c>
      <c r="D12" s="375">
        <f t="shared" si="0"/>
        <v>0</v>
      </c>
      <c r="E12" s="375">
        <v>0</v>
      </c>
      <c r="F12" s="375">
        <v>0</v>
      </c>
      <c r="G12" s="375">
        <v>0</v>
      </c>
      <c r="H12" s="375">
        <v>0</v>
      </c>
      <c r="I12" s="375">
        <v>0</v>
      </c>
      <c r="J12" s="375">
        <v>0</v>
      </c>
      <c r="K12" s="375">
        <v>0</v>
      </c>
      <c r="L12" s="375">
        <v>0</v>
      </c>
      <c r="M12" s="396"/>
      <c r="N12" s="397"/>
      <c r="O12" s="397"/>
      <c r="P12" s="397"/>
      <c r="Q12" s="397"/>
      <c r="R12" s="397"/>
      <c r="S12" s="398"/>
      <c r="T12" s="399">
        <v>0</v>
      </c>
      <c r="U12" s="400"/>
      <c r="V12" s="401">
        <f t="shared" si="1"/>
        <v>0</v>
      </c>
    </row>
    <row r="13" spans="1:22" s="378" customFormat="1" x14ac:dyDescent="0.2">
      <c r="A13" s="393">
        <v>7</v>
      </c>
      <c r="B13" s="394" t="s">
        <v>385</v>
      </c>
      <c r="C13" s="395">
        <v>0</v>
      </c>
      <c r="D13" s="375">
        <f t="shared" si="0"/>
        <v>32395616.937070005</v>
      </c>
      <c r="E13" s="375">
        <v>0</v>
      </c>
      <c r="F13" s="375">
        <v>0</v>
      </c>
      <c r="G13" s="375">
        <v>0</v>
      </c>
      <c r="H13" s="375">
        <v>0</v>
      </c>
      <c r="I13" s="375">
        <v>0</v>
      </c>
      <c r="J13" s="375">
        <v>0</v>
      </c>
      <c r="K13" s="375">
        <v>0</v>
      </c>
      <c r="L13" s="375">
        <v>0</v>
      </c>
      <c r="M13" s="396"/>
      <c r="N13" s="397"/>
      <c r="O13" s="397"/>
      <c r="P13" s="397"/>
      <c r="Q13" s="397"/>
      <c r="R13" s="397"/>
      <c r="S13" s="398"/>
      <c r="T13" s="399">
        <v>21821823.332220003</v>
      </c>
      <c r="U13" s="400">
        <v>10573793.60485</v>
      </c>
      <c r="V13" s="401">
        <f t="shared" si="1"/>
        <v>32395616.937070005</v>
      </c>
    </row>
    <row r="14" spans="1:22" s="378" customFormat="1" x14ac:dyDescent="0.2">
      <c r="A14" s="393">
        <v>8</v>
      </c>
      <c r="B14" s="394" t="s">
        <v>386</v>
      </c>
      <c r="C14" s="395">
        <v>0</v>
      </c>
      <c r="D14" s="375">
        <f t="shared" si="0"/>
        <v>3181873.4956575008</v>
      </c>
      <c r="E14" s="375">
        <v>0</v>
      </c>
      <c r="F14" s="375">
        <v>0</v>
      </c>
      <c r="G14" s="375">
        <v>0</v>
      </c>
      <c r="H14" s="375">
        <v>0</v>
      </c>
      <c r="I14" s="375">
        <v>0</v>
      </c>
      <c r="J14" s="375">
        <v>0</v>
      </c>
      <c r="K14" s="375">
        <v>0</v>
      </c>
      <c r="L14" s="375">
        <v>0</v>
      </c>
      <c r="M14" s="396"/>
      <c r="N14" s="397"/>
      <c r="O14" s="397"/>
      <c r="P14" s="397"/>
      <c r="Q14" s="397"/>
      <c r="R14" s="397"/>
      <c r="S14" s="398"/>
      <c r="T14" s="399">
        <v>2439350.6140800007</v>
      </c>
      <c r="U14" s="400">
        <v>742522.88157749991</v>
      </c>
      <c r="V14" s="401">
        <f t="shared" si="1"/>
        <v>3181873.4956575008</v>
      </c>
    </row>
    <row r="15" spans="1:22" s="378" customFormat="1" x14ac:dyDescent="0.2">
      <c r="A15" s="393">
        <v>9</v>
      </c>
      <c r="B15" s="394" t="s">
        <v>387</v>
      </c>
      <c r="C15" s="395">
        <v>0</v>
      </c>
      <c r="D15" s="375">
        <f t="shared" si="0"/>
        <v>0</v>
      </c>
      <c r="E15" s="375">
        <v>0</v>
      </c>
      <c r="F15" s="375">
        <v>0</v>
      </c>
      <c r="G15" s="375">
        <v>0</v>
      </c>
      <c r="H15" s="375">
        <v>0</v>
      </c>
      <c r="I15" s="375">
        <v>0</v>
      </c>
      <c r="J15" s="375">
        <v>0</v>
      </c>
      <c r="K15" s="375">
        <v>0</v>
      </c>
      <c r="L15" s="375">
        <v>0</v>
      </c>
      <c r="M15" s="396"/>
      <c r="N15" s="397"/>
      <c r="O15" s="397"/>
      <c r="P15" s="397"/>
      <c r="Q15" s="397"/>
      <c r="R15" s="397"/>
      <c r="S15" s="398"/>
      <c r="T15" s="399">
        <v>0</v>
      </c>
      <c r="U15" s="400"/>
      <c r="V15" s="401">
        <f t="shared" si="1"/>
        <v>0</v>
      </c>
    </row>
    <row r="16" spans="1:22" s="378" customFormat="1" x14ac:dyDescent="0.2">
      <c r="A16" s="393">
        <v>10</v>
      </c>
      <c r="B16" s="394" t="s">
        <v>388</v>
      </c>
      <c r="C16" s="395">
        <v>0</v>
      </c>
      <c r="D16" s="375">
        <f t="shared" si="0"/>
        <v>0</v>
      </c>
      <c r="E16" s="375">
        <v>0</v>
      </c>
      <c r="F16" s="375">
        <v>0</v>
      </c>
      <c r="G16" s="375">
        <v>0</v>
      </c>
      <c r="H16" s="375">
        <v>0</v>
      </c>
      <c r="I16" s="375">
        <v>0</v>
      </c>
      <c r="J16" s="375">
        <v>0</v>
      </c>
      <c r="K16" s="375">
        <v>0</v>
      </c>
      <c r="L16" s="375">
        <v>0</v>
      </c>
      <c r="M16" s="396"/>
      <c r="N16" s="397"/>
      <c r="O16" s="397"/>
      <c r="P16" s="397"/>
      <c r="Q16" s="397"/>
      <c r="R16" s="397"/>
      <c r="S16" s="398"/>
      <c r="T16" s="399">
        <v>0</v>
      </c>
      <c r="U16" s="400"/>
      <c r="V16" s="401">
        <f t="shared" si="1"/>
        <v>0</v>
      </c>
    </row>
    <row r="17" spans="1:22" s="378" customFormat="1" x14ac:dyDescent="0.2">
      <c r="A17" s="393">
        <v>11</v>
      </c>
      <c r="B17" s="394" t="s">
        <v>389</v>
      </c>
      <c r="C17" s="395">
        <v>0</v>
      </c>
      <c r="D17" s="375">
        <f t="shared" si="0"/>
        <v>0</v>
      </c>
      <c r="E17" s="375">
        <v>0</v>
      </c>
      <c r="F17" s="375">
        <v>0</v>
      </c>
      <c r="G17" s="375">
        <v>0</v>
      </c>
      <c r="H17" s="375">
        <v>0</v>
      </c>
      <c r="I17" s="375">
        <v>0</v>
      </c>
      <c r="J17" s="375">
        <v>0</v>
      </c>
      <c r="K17" s="375">
        <v>0</v>
      </c>
      <c r="L17" s="375">
        <v>0</v>
      </c>
      <c r="M17" s="396"/>
      <c r="N17" s="397"/>
      <c r="O17" s="397"/>
      <c r="P17" s="397"/>
      <c r="Q17" s="397"/>
      <c r="R17" s="397"/>
      <c r="S17" s="398"/>
      <c r="T17" s="399">
        <v>0</v>
      </c>
      <c r="U17" s="400"/>
      <c r="V17" s="401">
        <f t="shared" si="1"/>
        <v>0</v>
      </c>
    </row>
    <row r="18" spans="1:22" s="378" customFormat="1" x14ac:dyDescent="0.2">
      <c r="A18" s="393">
        <v>12</v>
      </c>
      <c r="B18" s="394" t="s">
        <v>390</v>
      </c>
      <c r="C18" s="395">
        <v>0</v>
      </c>
      <c r="D18" s="375">
        <f t="shared" si="0"/>
        <v>0</v>
      </c>
      <c r="E18" s="375">
        <v>0</v>
      </c>
      <c r="F18" s="375">
        <v>0</v>
      </c>
      <c r="G18" s="375">
        <v>0</v>
      </c>
      <c r="H18" s="375">
        <v>0</v>
      </c>
      <c r="I18" s="375">
        <v>0</v>
      </c>
      <c r="J18" s="375">
        <v>0</v>
      </c>
      <c r="K18" s="375">
        <v>0</v>
      </c>
      <c r="L18" s="375">
        <v>0</v>
      </c>
      <c r="M18" s="396"/>
      <c r="N18" s="397"/>
      <c r="O18" s="397"/>
      <c r="P18" s="397"/>
      <c r="Q18" s="397"/>
      <c r="R18" s="397"/>
      <c r="S18" s="398"/>
      <c r="T18" s="399">
        <v>0</v>
      </c>
      <c r="U18" s="400"/>
      <c r="V18" s="401">
        <f t="shared" si="1"/>
        <v>0</v>
      </c>
    </row>
    <row r="19" spans="1:22" s="378" customFormat="1" x14ac:dyDescent="0.2">
      <c r="A19" s="393">
        <v>13</v>
      </c>
      <c r="B19" s="394" t="s">
        <v>391</v>
      </c>
      <c r="C19" s="395">
        <v>0</v>
      </c>
      <c r="D19" s="375">
        <f t="shared" si="0"/>
        <v>0</v>
      </c>
      <c r="E19" s="375">
        <v>0</v>
      </c>
      <c r="F19" s="375">
        <v>0</v>
      </c>
      <c r="G19" s="375">
        <v>0</v>
      </c>
      <c r="H19" s="375">
        <v>0</v>
      </c>
      <c r="I19" s="375">
        <v>0</v>
      </c>
      <c r="J19" s="375">
        <v>0</v>
      </c>
      <c r="K19" s="375">
        <v>0</v>
      </c>
      <c r="L19" s="375">
        <v>0</v>
      </c>
      <c r="M19" s="396"/>
      <c r="N19" s="397"/>
      <c r="O19" s="397"/>
      <c r="P19" s="397"/>
      <c r="Q19" s="397"/>
      <c r="R19" s="397"/>
      <c r="S19" s="398"/>
      <c r="T19" s="399">
        <v>0</v>
      </c>
      <c r="U19" s="400"/>
      <c r="V19" s="401">
        <f t="shared" si="1"/>
        <v>0</v>
      </c>
    </row>
    <row r="20" spans="1:22" s="378" customFormat="1" x14ac:dyDescent="0.2">
      <c r="A20" s="393">
        <v>14</v>
      </c>
      <c r="B20" s="394" t="s">
        <v>392</v>
      </c>
      <c r="C20" s="395">
        <v>0</v>
      </c>
      <c r="D20" s="375">
        <f>U20+T20</f>
        <v>0</v>
      </c>
      <c r="E20" s="375">
        <v>0</v>
      </c>
      <c r="F20" s="375">
        <v>0</v>
      </c>
      <c r="G20" s="375">
        <v>0</v>
      </c>
      <c r="H20" s="375">
        <v>0</v>
      </c>
      <c r="I20" s="375">
        <v>0</v>
      </c>
      <c r="J20" s="375">
        <v>0</v>
      </c>
      <c r="K20" s="375">
        <v>0</v>
      </c>
      <c r="L20" s="375">
        <v>0</v>
      </c>
      <c r="M20" s="396"/>
      <c r="N20" s="397"/>
      <c r="O20" s="397"/>
      <c r="P20" s="397"/>
      <c r="Q20" s="397"/>
      <c r="R20" s="397"/>
      <c r="S20" s="398"/>
      <c r="T20" s="399">
        <v>0</v>
      </c>
      <c r="U20" s="400">
        <v>0</v>
      </c>
      <c r="V20" s="401">
        <f t="shared" si="1"/>
        <v>0</v>
      </c>
    </row>
    <row r="21" spans="1:22" ht="13.5" thickBot="1" x14ac:dyDescent="0.25">
      <c r="A21" s="380"/>
      <c r="B21" s="402" t="s">
        <v>72</v>
      </c>
      <c r="C21" s="403">
        <f>SUM(C7:C20)</f>
        <v>0</v>
      </c>
      <c r="D21" s="404">
        <f t="shared" ref="D21:V21" si="2">SUM(D7:D20)</f>
        <v>35577490.432727508</v>
      </c>
      <c r="E21" s="404">
        <f t="shared" si="2"/>
        <v>0</v>
      </c>
      <c r="F21" s="404">
        <f t="shared" si="2"/>
        <v>0</v>
      </c>
      <c r="G21" s="404">
        <f t="shared" si="2"/>
        <v>0</v>
      </c>
      <c r="H21" s="404">
        <f t="shared" si="2"/>
        <v>0</v>
      </c>
      <c r="I21" s="404">
        <f t="shared" si="2"/>
        <v>0</v>
      </c>
      <c r="J21" s="404">
        <f t="shared" si="2"/>
        <v>0</v>
      </c>
      <c r="K21" s="404">
        <f t="shared" si="2"/>
        <v>0</v>
      </c>
      <c r="L21" s="405">
        <f t="shared" si="2"/>
        <v>0</v>
      </c>
      <c r="M21" s="403">
        <f t="shared" si="2"/>
        <v>0</v>
      </c>
      <c r="N21" s="404">
        <f t="shared" si="2"/>
        <v>0</v>
      </c>
      <c r="O21" s="404">
        <f t="shared" si="2"/>
        <v>0</v>
      </c>
      <c r="P21" s="404">
        <f t="shared" si="2"/>
        <v>0</v>
      </c>
      <c r="Q21" s="404">
        <f t="shared" si="2"/>
        <v>0</v>
      </c>
      <c r="R21" s="404">
        <f t="shared" si="2"/>
        <v>0</v>
      </c>
      <c r="S21" s="405">
        <f t="shared" si="2"/>
        <v>0</v>
      </c>
      <c r="T21" s="405">
        <f>SUM(T7:T20)</f>
        <v>24261173.946300004</v>
      </c>
      <c r="U21" s="405">
        <f t="shared" si="2"/>
        <v>11316316.486427499</v>
      </c>
      <c r="V21" s="406">
        <f t="shared" si="2"/>
        <v>35577490.432727508</v>
      </c>
    </row>
    <row r="24" spans="1:22" x14ac:dyDescent="0.2">
      <c r="A24" s="28"/>
      <c r="B24" s="28"/>
      <c r="C24" s="407"/>
      <c r="D24" s="407"/>
      <c r="E24" s="407"/>
      <c r="V24" s="184"/>
    </row>
    <row r="25" spans="1:22" x14ac:dyDescent="0.2">
      <c r="A25" s="408"/>
      <c r="B25" s="408"/>
      <c r="C25" s="28"/>
      <c r="D25" s="407"/>
      <c r="E25" s="407"/>
      <c r="V25" s="232"/>
    </row>
    <row r="26" spans="1:22" x14ac:dyDescent="0.2">
      <c r="A26" s="408"/>
      <c r="B26" s="409"/>
      <c r="C26" s="28"/>
      <c r="D26" s="407"/>
      <c r="E26" s="407"/>
    </row>
    <row r="27" spans="1:22" x14ac:dyDescent="0.2">
      <c r="A27" s="408"/>
      <c r="B27" s="408"/>
      <c r="C27" s="28"/>
      <c r="D27" s="407"/>
      <c r="E27" s="407"/>
    </row>
    <row r="28" spans="1:22" x14ac:dyDescent="0.2">
      <c r="A28" s="408"/>
      <c r="B28" s="409"/>
      <c r="C28" s="28"/>
      <c r="D28" s="407"/>
      <c r="E28" s="407"/>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zoomScaleNormal="100" workbookViewId="0">
      <pane xSplit="1" ySplit="7" topLeftCell="B20"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x14ac:dyDescent="0.2"/>
  <cols>
    <col min="1" max="1" width="10.5703125" style="23" bestFit="1" customWidth="1"/>
    <col min="2" max="2" width="101.85546875" style="23" customWidth="1"/>
    <col min="3" max="3" width="13.7109375" style="23" customWidth="1"/>
    <col min="4" max="4" width="14.85546875" style="23" bestFit="1" customWidth="1"/>
    <col min="5" max="5" width="17.7109375" style="23" customWidth="1"/>
    <col min="6" max="6" width="15.85546875" style="23" customWidth="1"/>
    <col min="7" max="7" width="17.42578125" style="23" customWidth="1"/>
    <col min="8" max="8" width="15.28515625" style="23" customWidth="1"/>
    <col min="9" max="16384" width="9.140625" style="123"/>
  </cols>
  <sheetData>
    <row r="1" spans="1:9" x14ac:dyDescent="0.2">
      <c r="A1" s="23" t="s">
        <v>29</v>
      </c>
      <c r="B1" s="23" t="str">
        <f>'1. key ratios'!B1</f>
        <v>სს ტერაბანკი</v>
      </c>
    </row>
    <row r="2" spans="1:9" x14ac:dyDescent="0.2">
      <c r="A2" s="23" t="s">
        <v>31</v>
      </c>
      <c r="B2" s="77">
        <f>'1. key ratios'!B2</f>
        <v>43555</v>
      </c>
    </row>
    <row r="4" spans="1:9" ht="13.5" thickBot="1" x14ac:dyDescent="0.25">
      <c r="A4" s="23" t="s">
        <v>417</v>
      </c>
      <c r="B4" s="410" t="s">
        <v>418</v>
      </c>
    </row>
    <row r="5" spans="1:9" x14ac:dyDescent="0.2">
      <c r="A5" s="385"/>
      <c r="B5" s="411"/>
      <c r="C5" s="412" t="s">
        <v>252</v>
      </c>
      <c r="D5" s="412" t="s">
        <v>253</v>
      </c>
      <c r="E5" s="412" t="s">
        <v>254</v>
      </c>
      <c r="F5" s="412" t="s">
        <v>361</v>
      </c>
      <c r="G5" s="413" t="s">
        <v>362</v>
      </c>
      <c r="H5" s="414" t="s">
        <v>363</v>
      </c>
      <c r="I5" s="415"/>
    </row>
    <row r="6" spans="1:9" ht="15" customHeight="1" x14ac:dyDescent="0.2">
      <c r="A6" s="371"/>
      <c r="B6" s="416"/>
      <c r="C6" s="582" t="s">
        <v>419</v>
      </c>
      <c r="D6" s="584" t="s">
        <v>420</v>
      </c>
      <c r="E6" s="585"/>
      <c r="F6" s="582" t="s">
        <v>421</v>
      </c>
      <c r="G6" s="582" t="s">
        <v>422</v>
      </c>
      <c r="H6" s="586" t="s">
        <v>423</v>
      </c>
      <c r="I6" s="415"/>
    </row>
    <row r="7" spans="1:9" ht="76.5" x14ac:dyDescent="0.2">
      <c r="A7" s="371"/>
      <c r="B7" s="416"/>
      <c r="C7" s="583"/>
      <c r="D7" s="417" t="s">
        <v>424</v>
      </c>
      <c r="E7" s="417" t="s">
        <v>425</v>
      </c>
      <c r="F7" s="583"/>
      <c r="G7" s="583"/>
      <c r="H7" s="587"/>
      <c r="I7" s="415"/>
    </row>
    <row r="8" spans="1:9" x14ac:dyDescent="0.2">
      <c r="A8" s="418">
        <v>1</v>
      </c>
      <c r="B8" s="277" t="s">
        <v>379</v>
      </c>
      <c r="C8" s="419">
        <v>182195075.81999999</v>
      </c>
      <c r="D8" s="420">
        <v>0</v>
      </c>
      <c r="E8" s="419">
        <v>0</v>
      </c>
      <c r="F8" s="419">
        <f>'11. CRWA'!S8</f>
        <v>122410136.77</v>
      </c>
      <c r="G8" s="421">
        <f>'11. CRWA'!S8-'12. CRM'!V7</f>
        <v>122410136.77</v>
      </c>
      <c r="H8" s="422">
        <f>IFERROR(G8/(C8+E8),"")</f>
        <v>0.67186303591945229</v>
      </c>
    </row>
    <row r="9" spans="1:9" ht="15" customHeight="1" x14ac:dyDescent="0.2">
      <c r="A9" s="418">
        <v>2</v>
      </c>
      <c r="B9" s="277" t="s">
        <v>380</v>
      </c>
      <c r="C9" s="419">
        <v>0</v>
      </c>
      <c r="D9" s="420">
        <v>0</v>
      </c>
      <c r="E9" s="419">
        <v>0</v>
      </c>
      <c r="F9" s="419">
        <f>'11. CRWA'!S9</f>
        <v>0</v>
      </c>
      <c r="G9" s="421">
        <f>'11. CRWA'!S9-'12. CRM'!V8</f>
        <v>0</v>
      </c>
      <c r="H9" s="422" t="str">
        <f t="shared" ref="H9:H22" si="0">IFERROR(G9/(C9+E9),"")</f>
        <v/>
      </c>
    </row>
    <row r="10" spans="1:9" x14ac:dyDescent="0.2">
      <c r="A10" s="418">
        <v>3</v>
      </c>
      <c r="B10" s="277" t="s">
        <v>381</v>
      </c>
      <c r="C10" s="419">
        <v>0</v>
      </c>
      <c r="D10" s="420">
        <v>0</v>
      </c>
      <c r="E10" s="419">
        <v>0</v>
      </c>
      <c r="F10" s="419">
        <f>'11. CRWA'!S10</f>
        <v>0</v>
      </c>
      <c r="G10" s="421">
        <f>'11. CRWA'!S10-'12. CRM'!V9</f>
        <v>0</v>
      </c>
      <c r="H10" s="422" t="str">
        <f t="shared" si="0"/>
        <v/>
      </c>
    </row>
    <row r="11" spans="1:9" x14ac:dyDescent="0.2">
      <c r="A11" s="418">
        <v>4</v>
      </c>
      <c r="B11" s="277" t="s">
        <v>382</v>
      </c>
      <c r="C11" s="419">
        <v>0</v>
      </c>
      <c r="D11" s="420">
        <v>0</v>
      </c>
      <c r="E11" s="419">
        <v>0</v>
      </c>
      <c r="F11" s="419">
        <f>'11. CRWA'!S11</f>
        <v>0</v>
      </c>
      <c r="G11" s="421">
        <f>'11. CRWA'!S11-'12. CRM'!V10</f>
        <v>0</v>
      </c>
      <c r="H11" s="422" t="str">
        <f t="shared" si="0"/>
        <v/>
      </c>
    </row>
    <row r="12" spans="1:9" x14ac:dyDescent="0.2">
      <c r="A12" s="418">
        <v>5</v>
      </c>
      <c r="B12" s="277" t="s">
        <v>383</v>
      </c>
      <c r="C12" s="419">
        <v>0</v>
      </c>
      <c r="D12" s="420">
        <v>0</v>
      </c>
      <c r="E12" s="419">
        <v>0</v>
      </c>
      <c r="F12" s="419">
        <f>'11. CRWA'!S12</f>
        <v>0</v>
      </c>
      <c r="G12" s="421">
        <f>'11. CRWA'!S12-'12. CRM'!V11</f>
        <v>0</v>
      </c>
      <c r="H12" s="422" t="str">
        <f t="shared" si="0"/>
        <v/>
      </c>
    </row>
    <row r="13" spans="1:9" x14ac:dyDescent="0.2">
      <c r="A13" s="418">
        <v>6</v>
      </c>
      <c r="B13" s="277" t="s">
        <v>384</v>
      </c>
      <c r="C13" s="419">
        <v>28138979.579999998</v>
      </c>
      <c r="D13" s="420">
        <v>0</v>
      </c>
      <c r="E13" s="419">
        <v>0</v>
      </c>
      <c r="F13" s="419">
        <f>'11. CRWA'!S13</f>
        <v>8618974.459999999</v>
      </c>
      <c r="G13" s="421">
        <f>'11. CRWA'!S13-'12. CRM'!V12</f>
        <v>8618974.459999999</v>
      </c>
      <c r="H13" s="422">
        <f t="shared" si="0"/>
        <v>0.30630017820994487</v>
      </c>
    </row>
    <row r="14" spans="1:9" x14ac:dyDescent="0.2">
      <c r="A14" s="418">
        <v>7</v>
      </c>
      <c r="B14" s="277" t="s">
        <v>385</v>
      </c>
      <c r="C14" s="419">
        <v>332887270.81999964</v>
      </c>
      <c r="D14" s="420">
        <v>50899324.689999998</v>
      </c>
      <c r="E14" s="419">
        <v>28158048.621000003</v>
      </c>
      <c r="F14" s="419">
        <f>'11. CRWA'!S14</f>
        <v>361045319.44099963</v>
      </c>
      <c r="G14" s="421">
        <f>'11. CRWA'!S14-'12. CRM'!V13</f>
        <v>328649702.50392962</v>
      </c>
      <c r="H14" s="422">
        <f t="shared" si="0"/>
        <v>0.91027271316734526</v>
      </c>
    </row>
    <row r="15" spans="1:9" x14ac:dyDescent="0.2">
      <c r="A15" s="418">
        <v>8</v>
      </c>
      <c r="B15" s="277" t="s">
        <v>386</v>
      </c>
      <c r="C15" s="419">
        <v>209857283.93000001</v>
      </c>
      <c r="D15" s="420">
        <v>11942080.269999992</v>
      </c>
      <c r="E15" s="419">
        <v>5681372.7169999965</v>
      </c>
      <c r="F15" s="419">
        <f>'11. CRWA'!S15</f>
        <v>161653992.48525</v>
      </c>
      <c r="G15" s="421">
        <f>'11. CRWA'!S15-'12. CRM'!V14</f>
        <v>158472118.98959249</v>
      </c>
      <c r="H15" s="422">
        <f t="shared" si="0"/>
        <v>0.73523757387581457</v>
      </c>
    </row>
    <row r="16" spans="1:9" x14ac:dyDescent="0.2">
      <c r="A16" s="418">
        <v>9</v>
      </c>
      <c r="B16" s="277" t="s">
        <v>387</v>
      </c>
      <c r="C16" s="419">
        <v>0</v>
      </c>
      <c r="D16" s="420">
        <v>0</v>
      </c>
      <c r="E16" s="419">
        <v>0</v>
      </c>
      <c r="F16" s="419">
        <f>'11. CRWA'!S16</f>
        <v>0</v>
      </c>
      <c r="G16" s="421">
        <f>'11. CRWA'!S16-'12. CRM'!V15</f>
        <v>0</v>
      </c>
      <c r="H16" s="422" t="str">
        <f t="shared" si="0"/>
        <v/>
      </c>
    </row>
    <row r="17" spans="1:8" x14ac:dyDescent="0.2">
      <c r="A17" s="418">
        <v>10</v>
      </c>
      <c r="B17" s="277" t="s">
        <v>388</v>
      </c>
      <c r="C17" s="419">
        <v>17130660.209999997</v>
      </c>
      <c r="D17" s="420">
        <v>0</v>
      </c>
      <c r="E17" s="419">
        <v>0</v>
      </c>
      <c r="F17" s="419">
        <f>'11. CRWA'!S17</f>
        <v>17801402.899999995</v>
      </c>
      <c r="G17" s="421">
        <f>'11. CRWA'!S17-'12. CRM'!V16</f>
        <v>17801402.899999995</v>
      </c>
      <c r="H17" s="422">
        <f t="shared" si="0"/>
        <v>1.0391545148743568</v>
      </c>
    </row>
    <row r="18" spans="1:8" x14ac:dyDescent="0.2">
      <c r="A18" s="418">
        <v>11</v>
      </c>
      <c r="B18" s="277" t="s">
        <v>389</v>
      </c>
      <c r="C18" s="419">
        <v>121136604.48000011</v>
      </c>
      <c r="D18" s="420">
        <v>0</v>
      </c>
      <c r="E18" s="419">
        <v>0</v>
      </c>
      <c r="F18" s="419">
        <f>'11. CRWA'!S18</f>
        <v>139559674.64000019</v>
      </c>
      <c r="G18" s="421">
        <f>'11. CRWA'!S18-'12. CRM'!V17</f>
        <v>139559674.64000019</v>
      </c>
      <c r="H18" s="422">
        <f t="shared" si="0"/>
        <v>1.1520850798079103</v>
      </c>
    </row>
    <row r="19" spans="1:8" x14ac:dyDescent="0.2">
      <c r="A19" s="418">
        <v>12</v>
      </c>
      <c r="B19" s="277" t="s">
        <v>390</v>
      </c>
      <c r="C19" s="419">
        <v>0</v>
      </c>
      <c r="D19" s="420">
        <v>0</v>
      </c>
      <c r="E19" s="419">
        <v>0</v>
      </c>
      <c r="F19" s="419">
        <f>'11. CRWA'!S19</f>
        <v>0</v>
      </c>
      <c r="G19" s="421">
        <f>'11. CRWA'!S19-'12. CRM'!V18</f>
        <v>0</v>
      </c>
      <c r="H19" s="422" t="str">
        <f t="shared" si="0"/>
        <v/>
      </c>
    </row>
    <row r="20" spans="1:8" x14ac:dyDescent="0.2">
      <c r="A20" s="418">
        <v>13</v>
      </c>
      <c r="B20" s="277" t="s">
        <v>391</v>
      </c>
      <c r="C20" s="419">
        <v>0</v>
      </c>
      <c r="D20" s="420">
        <v>0</v>
      </c>
      <c r="E20" s="419">
        <v>0</v>
      </c>
      <c r="F20" s="419">
        <f>'11. CRWA'!S20</f>
        <v>0</v>
      </c>
      <c r="G20" s="421">
        <f>'11. CRWA'!S20-'12. CRM'!V19</f>
        <v>0</v>
      </c>
      <c r="H20" s="422" t="str">
        <f t="shared" si="0"/>
        <v/>
      </c>
    </row>
    <row r="21" spans="1:8" x14ac:dyDescent="0.2">
      <c r="A21" s="418">
        <v>14</v>
      </c>
      <c r="B21" s="277" t="s">
        <v>392</v>
      </c>
      <c r="C21" s="419">
        <v>62453677.710000001</v>
      </c>
      <c r="D21" s="420">
        <v>0</v>
      </c>
      <c r="E21" s="419">
        <v>0</v>
      </c>
      <c r="F21" s="419">
        <f>'11. CRWA'!S21</f>
        <v>21589750.894000009</v>
      </c>
      <c r="G21" s="421">
        <f>'11. CRWA'!S21-'12. CRM'!V20</f>
        <v>21589750.894000009</v>
      </c>
      <c r="H21" s="422">
        <f t="shared" si="0"/>
        <v>0.34569222639298769</v>
      </c>
    </row>
    <row r="22" spans="1:8" ht="13.5" thickBot="1" x14ac:dyDescent="0.25">
      <c r="A22" s="423"/>
      <c r="B22" s="424" t="s">
        <v>72</v>
      </c>
      <c r="C22" s="382">
        <f>SUM(C8:C21)</f>
        <v>953799552.54999983</v>
      </c>
      <c r="D22" s="382">
        <f>SUM(D8:D21)</f>
        <v>62841404.959999993</v>
      </c>
      <c r="E22" s="382">
        <f>SUM(E8:E21)</f>
        <v>33839421.338</v>
      </c>
      <c r="F22" s="382">
        <f>SUM(F8:F21)</f>
        <v>832679251.5902499</v>
      </c>
      <c r="G22" s="382">
        <f>SUM(G8:G21)</f>
        <v>797101761.15752244</v>
      </c>
      <c r="H22" s="425">
        <f t="shared" si="0"/>
        <v>0.80707807430847234</v>
      </c>
    </row>
    <row r="24" spans="1:8" x14ac:dyDescent="0.2">
      <c r="C24" s="184"/>
      <c r="D24" s="184"/>
      <c r="E24" s="184"/>
      <c r="F24" s="184"/>
      <c r="G24" s="184"/>
    </row>
    <row r="25" spans="1:8" x14ac:dyDescent="0.2">
      <c r="C25" s="102"/>
      <c r="D25" s="102"/>
      <c r="E25" s="102"/>
      <c r="F25" s="426"/>
      <c r="G25" s="426"/>
    </row>
    <row r="28" spans="1:8" ht="10.5" customHeight="1" x14ac:dyDescent="0.2"/>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28"/>
  <sheetViews>
    <sheetView zoomScale="90" zoomScaleNormal="90" workbookViewId="0">
      <pane xSplit="2" ySplit="6" topLeftCell="C7"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x14ac:dyDescent="0.2"/>
  <cols>
    <col min="1" max="1" width="10.5703125" style="23" bestFit="1" customWidth="1"/>
    <col min="2" max="2" width="104.140625" style="23" customWidth="1"/>
    <col min="3" max="3" width="12.7109375" style="23" customWidth="1"/>
    <col min="4" max="4" width="14.5703125" style="23" bestFit="1" customWidth="1"/>
    <col min="5" max="11" width="12.7109375" style="23" customWidth="1"/>
    <col min="12" max="16384" width="9.140625" style="23"/>
  </cols>
  <sheetData>
    <row r="1" spans="1:11" x14ac:dyDescent="0.2">
      <c r="A1" s="23" t="s">
        <v>29</v>
      </c>
    </row>
    <row r="2" spans="1:11" x14ac:dyDescent="0.2">
      <c r="A2" s="23" t="s">
        <v>31</v>
      </c>
      <c r="B2" s="21"/>
      <c r="C2" s="21"/>
      <c r="D2" s="21"/>
    </row>
    <row r="3" spans="1:11" x14ac:dyDescent="0.2">
      <c r="B3" s="21"/>
      <c r="C3" s="21"/>
      <c r="D3" s="21"/>
    </row>
    <row r="4" spans="1:11" ht="13.5" thickBot="1" x14ac:dyDescent="0.25">
      <c r="A4" s="23" t="s">
        <v>426</v>
      </c>
      <c r="B4" s="410" t="s">
        <v>26</v>
      </c>
      <c r="C4" s="21"/>
      <c r="D4" s="21"/>
    </row>
    <row r="5" spans="1:11" ht="30" customHeight="1" x14ac:dyDescent="0.2">
      <c r="A5" s="588"/>
      <c r="B5" s="589"/>
      <c r="C5" s="590" t="s">
        <v>427</v>
      </c>
      <c r="D5" s="590"/>
      <c r="E5" s="590"/>
      <c r="F5" s="590" t="s">
        <v>428</v>
      </c>
      <c r="G5" s="590"/>
      <c r="H5" s="590"/>
      <c r="I5" s="590" t="s">
        <v>429</v>
      </c>
      <c r="J5" s="590"/>
      <c r="K5" s="591"/>
    </row>
    <row r="6" spans="1:11" x14ac:dyDescent="0.2">
      <c r="A6" s="427"/>
      <c r="B6" s="428"/>
      <c r="C6" s="417" t="s">
        <v>70</v>
      </c>
      <c r="D6" s="417" t="s">
        <v>110</v>
      </c>
      <c r="E6" s="417" t="s">
        <v>72</v>
      </c>
      <c r="F6" s="417" t="s">
        <v>70</v>
      </c>
      <c r="G6" s="417" t="s">
        <v>110</v>
      </c>
      <c r="H6" s="417" t="s">
        <v>72</v>
      </c>
      <c r="I6" s="417" t="s">
        <v>70</v>
      </c>
      <c r="J6" s="417" t="s">
        <v>110</v>
      </c>
      <c r="K6" s="429" t="s">
        <v>72</v>
      </c>
    </row>
    <row r="7" spans="1:11" x14ac:dyDescent="0.2">
      <c r="A7" s="430" t="s">
        <v>430</v>
      </c>
      <c r="B7" s="431"/>
      <c r="C7" s="431"/>
      <c r="D7" s="431"/>
      <c r="E7" s="431"/>
      <c r="F7" s="431"/>
      <c r="G7" s="431"/>
      <c r="H7" s="431"/>
      <c r="I7" s="431"/>
      <c r="J7" s="431"/>
      <c r="K7" s="432"/>
    </row>
    <row r="8" spans="1:11" x14ac:dyDescent="0.2">
      <c r="A8" s="433">
        <v>1</v>
      </c>
      <c r="B8" s="434" t="s">
        <v>430</v>
      </c>
      <c r="C8" s="37"/>
      <c r="D8" s="37"/>
      <c r="E8" s="37"/>
      <c r="F8" s="435">
        <v>54615732.453977771</v>
      </c>
      <c r="G8" s="435">
        <v>127790419.92443916</v>
      </c>
      <c r="H8" s="435">
        <v>182406152.37841693</v>
      </c>
      <c r="I8" s="435">
        <v>53436676.356977768</v>
      </c>
      <c r="J8" s="435">
        <v>134909541.69522226</v>
      </c>
      <c r="K8" s="436">
        <v>188346218.05219999</v>
      </c>
    </row>
    <row r="9" spans="1:11" x14ac:dyDescent="0.2">
      <c r="A9" s="430" t="s">
        <v>431</v>
      </c>
      <c r="B9" s="431"/>
      <c r="C9" s="431"/>
      <c r="D9" s="431"/>
      <c r="E9" s="431"/>
      <c r="F9" s="431"/>
      <c r="G9" s="431"/>
      <c r="H9" s="431"/>
      <c r="I9" s="431"/>
      <c r="J9" s="431"/>
      <c r="K9" s="432"/>
    </row>
    <row r="10" spans="1:11" x14ac:dyDescent="0.2">
      <c r="A10" s="143">
        <v>2</v>
      </c>
      <c r="B10" s="437" t="s">
        <v>432</v>
      </c>
      <c r="C10" s="438">
        <v>62424742.315510981</v>
      </c>
      <c r="D10" s="439">
        <v>211095471.23889551</v>
      </c>
      <c r="E10" s="439">
        <f>SUM(C10:D10)</f>
        <v>273520213.55440646</v>
      </c>
      <c r="F10" s="439">
        <v>10301542.594173109</v>
      </c>
      <c r="G10" s="439">
        <v>38885245.333416589</v>
      </c>
      <c r="H10" s="439">
        <f>SUM(F10:G10)</f>
        <v>49186787.9275897</v>
      </c>
      <c r="I10" s="439">
        <v>2674712.5858036601</v>
      </c>
      <c r="J10" s="439">
        <v>9464897.060358664</v>
      </c>
      <c r="K10" s="440">
        <f>SUM(I10:J10)</f>
        <v>12139609.646162324</v>
      </c>
    </row>
    <row r="11" spans="1:11" x14ac:dyDescent="0.2">
      <c r="A11" s="143">
        <v>3</v>
      </c>
      <c r="B11" s="437" t="s">
        <v>433</v>
      </c>
      <c r="C11" s="438">
        <v>169002756.67273331</v>
      </c>
      <c r="D11" s="441">
        <v>316983798.37555635</v>
      </c>
      <c r="E11" s="439">
        <f t="shared" ref="E11:E21" si="0">SUM(C11:D11)</f>
        <v>485986555.04828966</v>
      </c>
      <c r="F11" s="439">
        <v>41725643.695073299</v>
      </c>
      <c r="G11" s="439">
        <v>85817805.01878041</v>
      </c>
      <c r="H11" s="439">
        <f t="shared" ref="H11:H21" si="1">SUM(F11:G11)</f>
        <v>127543448.71385372</v>
      </c>
      <c r="I11" s="439">
        <v>37846173.901148453</v>
      </c>
      <c r="J11" s="439">
        <v>70620463.392901585</v>
      </c>
      <c r="K11" s="440">
        <f t="shared" ref="K11:K16" si="2">SUM(I11:J11)</f>
        <v>108466637.29405004</v>
      </c>
    </row>
    <row r="12" spans="1:11" x14ac:dyDescent="0.2">
      <c r="A12" s="143">
        <v>4</v>
      </c>
      <c r="B12" s="437" t="s">
        <v>434</v>
      </c>
      <c r="C12" s="438">
        <v>24244444.444444444</v>
      </c>
      <c r="D12" s="439">
        <v>0</v>
      </c>
      <c r="E12" s="439">
        <f t="shared" si="0"/>
        <v>24244444.444444444</v>
      </c>
      <c r="F12" s="439">
        <v>0</v>
      </c>
      <c r="G12" s="439">
        <v>0</v>
      </c>
      <c r="H12" s="439">
        <f t="shared" si="1"/>
        <v>0</v>
      </c>
      <c r="I12" s="439">
        <v>0</v>
      </c>
      <c r="J12" s="439">
        <v>0</v>
      </c>
      <c r="K12" s="440">
        <f t="shared" si="2"/>
        <v>0</v>
      </c>
    </row>
    <row r="13" spans="1:11" x14ac:dyDescent="0.2">
      <c r="A13" s="143">
        <v>5</v>
      </c>
      <c r="B13" s="437" t="s">
        <v>435</v>
      </c>
      <c r="C13" s="438">
        <v>36330009.641084448</v>
      </c>
      <c r="D13" s="439">
        <v>24602669.12194889</v>
      </c>
      <c r="E13" s="439">
        <f t="shared" si="0"/>
        <v>60932678.763033338</v>
      </c>
      <c r="F13" s="439">
        <v>5020386.8028083332</v>
      </c>
      <c r="G13" s="439">
        <v>2981033.1779157994</v>
      </c>
      <c r="H13" s="439">
        <f t="shared" si="1"/>
        <v>8001419.9807241326</v>
      </c>
      <c r="I13" s="439">
        <v>1992260.8880195555</v>
      </c>
      <c r="J13" s="439">
        <v>1359895.1640612776</v>
      </c>
      <c r="K13" s="440">
        <f t="shared" si="2"/>
        <v>3352156.0520808334</v>
      </c>
    </row>
    <row r="14" spans="1:11" x14ac:dyDescent="0.2">
      <c r="A14" s="143">
        <v>6</v>
      </c>
      <c r="B14" s="437" t="s">
        <v>436</v>
      </c>
      <c r="C14" s="438">
        <v>5971100.6375555564</v>
      </c>
      <c r="D14" s="439">
        <v>2219255.9615033343</v>
      </c>
      <c r="E14" s="439">
        <f t="shared" si="0"/>
        <v>8190356.5990588907</v>
      </c>
      <c r="F14" s="439">
        <v>0</v>
      </c>
      <c r="G14" s="439">
        <v>0</v>
      </c>
      <c r="H14" s="439">
        <f t="shared" si="1"/>
        <v>0</v>
      </c>
      <c r="I14" s="439">
        <v>0</v>
      </c>
      <c r="J14" s="439">
        <v>0</v>
      </c>
      <c r="K14" s="440">
        <f t="shared" si="2"/>
        <v>0</v>
      </c>
    </row>
    <row r="15" spans="1:11" x14ac:dyDescent="0.2">
      <c r="A15" s="143">
        <v>7</v>
      </c>
      <c r="B15" s="437" t="s">
        <v>437</v>
      </c>
      <c r="C15" s="438">
        <v>2940454.4490000028</v>
      </c>
      <c r="D15" s="439">
        <v>5537279.4886733331</v>
      </c>
      <c r="E15" s="439">
        <f t="shared" si="0"/>
        <v>8477733.9376733359</v>
      </c>
      <c r="F15" s="439">
        <v>1296116.8355555553</v>
      </c>
      <c r="G15" s="439">
        <v>2687514.2572488892</v>
      </c>
      <c r="H15" s="439">
        <f t="shared" si="1"/>
        <v>3983631.0928044445</v>
      </c>
      <c r="I15" s="439">
        <v>1296116.8355555553</v>
      </c>
      <c r="J15" s="439">
        <v>2687514.2572488892</v>
      </c>
      <c r="K15" s="440">
        <f t="shared" si="2"/>
        <v>3983631.0928044445</v>
      </c>
    </row>
    <row r="16" spans="1:11" x14ac:dyDescent="0.2">
      <c r="A16" s="143">
        <v>8</v>
      </c>
      <c r="B16" s="442" t="s">
        <v>438</v>
      </c>
      <c r="C16" s="438">
        <f>SUM(C10:C15)</f>
        <v>300913508.16032875</v>
      </c>
      <c r="D16" s="439">
        <f>SUM(D10:D15)</f>
        <v>560438474.18657744</v>
      </c>
      <c r="E16" s="439">
        <f t="shared" si="0"/>
        <v>861351982.34690619</v>
      </c>
      <c r="F16" s="439">
        <f>SUM(F10:F15)</f>
        <v>58343689.927610293</v>
      </c>
      <c r="G16" s="439">
        <f>SUM(G10:G15)</f>
        <v>130371597.78736168</v>
      </c>
      <c r="H16" s="439">
        <f t="shared" si="1"/>
        <v>188715287.71497196</v>
      </c>
      <c r="I16" s="439">
        <f>SUM(I10:I15)</f>
        <v>43809264.210527219</v>
      </c>
      <c r="J16" s="439">
        <f>SUM(J10:J15)</f>
        <v>84132769.874570414</v>
      </c>
      <c r="K16" s="440">
        <f t="shared" si="2"/>
        <v>127942034.08509764</v>
      </c>
    </row>
    <row r="17" spans="1:11" x14ac:dyDescent="0.2">
      <c r="A17" s="430" t="s">
        <v>439</v>
      </c>
      <c r="B17" s="431"/>
      <c r="C17" s="443"/>
      <c r="D17" s="443"/>
      <c r="E17" s="443"/>
      <c r="F17" s="443"/>
      <c r="G17" s="443"/>
      <c r="H17" s="443"/>
      <c r="I17" s="443"/>
      <c r="J17" s="443"/>
      <c r="K17" s="444"/>
    </row>
    <row r="18" spans="1:11" x14ac:dyDescent="0.2">
      <c r="A18" s="143">
        <v>9</v>
      </c>
      <c r="B18" s="437" t="s">
        <v>440</v>
      </c>
      <c r="C18" s="438">
        <v>0</v>
      </c>
      <c r="D18" s="439">
        <v>0</v>
      </c>
      <c r="E18" s="439">
        <f t="shared" si="0"/>
        <v>0</v>
      </c>
      <c r="F18" s="439">
        <v>0</v>
      </c>
      <c r="G18" s="439">
        <v>0</v>
      </c>
      <c r="H18" s="439">
        <f t="shared" si="1"/>
        <v>0</v>
      </c>
      <c r="I18" s="439">
        <v>0</v>
      </c>
      <c r="J18" s="439">
        <v>0</v>
      </c>
      <c r="K18" s="440">
        <f>SUM(I18:J18)</f>
        <v>0</v>
      </c>
    </row>
    <row r="19" spans="1:11" x14ac:dyDescent="0.2">
      <c r="A19" s="143">
        <v>10</v>
      </c>
      <c r="B19" s="437" t="s">
        <v>441</v>
      </c>
      <c r="C19" s="438">
        <v>228133859.64211094</v>
      </c>
      <c r="D19" s="439">
        <v>399122274.35259873</v>
      </c>
      <c r="E19" s="439">
        <f t="shared" si="0"/>
        <v>627256133.99470973</v>
      </c>
      <c r="F19" s="439">
        <v>16996970.873277776</v>
      </c>
      <c r="G19" s="439">
        <v>11952161.64855889</v>
      </c>
      <c r="H19" s="439">
        <f t="shared" si="1"/>
        <v>28949132.521836668</v>
      </c>
      <c r="I19" s="439">
        <v>18176026.970277775</v>
      </c>
      <c r="J19" s="439">
        <v>34413361.576055557</v>
      </c>
      <c r="K19" s="440">
        <f>SUM(I19:J19)</f>
        <v>52589388.546333328</v>
      </c>
    </row>
    <row r="20" spans="1:11" x14ac:dyDescent="0.2">
      <c r="A20" s="143">
        <v>11</v>
      </c>
      <c r="B20" s="437" t="s">
        <v>442</v>
      </c>
      <c r="C20" s="438">
        <v>1614592.3125555555</v>
      </c>
      <c r="D20" s="439">
        <v>374798.6163488889</v>
      </c>
      <c r="E20" s="439">
        <f t="shared" si="0"/>
        <v>1989390.9289044444</v>
      </c>
      <c r="F20" s="439">
        <v>558892.66144444456</v>
      </c>
      <c r="G20" s="439">
        <v>358127.58355444449</v>
      </c>
      <c r="H20" s="439">
        <f t="shared" si="1"/>
        <v>917020.24499888904</v>
      </c>
      <c r="I20" s="439">
        <v>558892.66144444456</v>
      </c>
      <c r="J20" s="439">
        <v>358127.58355444449</v>
      </c>
      <c r="K20" s="440">
        <f>SUM(I20:J20)</f>
        <v>917020.24499888904</v>
      </c>
    </row>
    <row r="21" spans="1:11" ht="13.5" thickBot="1" x14ac:dyDescent="0.25">
      <c r="A21" s="152">
        <v>12</v>
      </c>
      <c r="B21" s="445" t="s">
        <v>443</v>
      </c>
      <c r="C21" s="446">
        <f>SUM(C18:C20)</f>
        <v>229748451.9546665</v>
      </c>
      <c r="D21" s="446">
        <f>SUM(D18:D20)</f>
        <v>399497072.96894759</v>
      </c>
      <c r="E21" s="446">
        <f t="shared" si="0"/>
        <v>629245524.92361403</v>
      </c>
      <c r="F21" s="447">
        <f>SUM(F18:F20)</f>
        <v>17555863.53472222</v>
      </c>
      <c r="G21" s="447">
        <f>SUM(G18:G20)</f>
        <v>12310289.232113335</v>
      </c>
      <c r="H21" s="439">
        <f t="shared" si="1"/>
        <v>29866152.766835555</v>
      </c>
      <c r="I21" s="447">
        <f>SUM(I18:I20)</f>
        <v>18734919.631722219</v>
      </c>
      <c r="J21" s="447">
        <f>SUM(J18:J20)</f>
        <v>34771489.159610003</v>
      </c>
      <c r="K21" s="440">
        <f>SUM(I21:J21)</f>
        <v>53506408.791332223</v>
      </c>
    </row>
    <row r="22" spans="1:11" ht="38.25" customHeight="1" thickBot="1" x14ac:dyDescent="0.25">
      <c r="A22" s="448"/>
      <c r="B22" s="449"/>
      <c r="C22" s="449"/>
      <c r="D22" s="449"/>
      <c r="E22" s="449"/>
      <c r="F22" s="592" t="s">
        <v>444</v>
      </c>
      <c r="G22" s="590"/>
      <c r="H22" s="590"/>
      <c r="I22" s="592" t="s">
        <v>445</v>
      </c>
      <c r="J22" s="590"/>
      <c r="K22" s="591"/>
    </row>
    <row r="23" spans="1:11" x14ac:dyDescent="0.2">
      <c r="A23" s="450">
        <v>13</v>
      </c>
      <c r="B23" s="451" t="s">
        <v>430</v>
      </c>
      <c r="C23" s="452"/>
      <c r="D23" s="452"/>
      <c r="E23" s="452"/>
      <c r="F23" s="453">
        <f t="shared" ref="F23:K23" si="3">F8</f>
        <v>54615732.453977771</v>
      </c>
      <c r="G23" s="453">
        <f t="shared" si="3"/>
        <v>127790419.92443916</v>
      </c>
      <c r="H23" s="453">
        <f t="shared" si="3"/>
        <v>182406152.37841693</v>
      </c>
      <c r="I23" s="453">
        <f t="shared" si="3"/>
        <v>53436676.356977768</v>
      </c>
      <c r="J23" s="453">
        <f t="shared" si="3"/>
        <v>134909541.69522226</v>
      </c>
      <c r="K23" s="454">
        <f t="shared" si="3"/>
        <v>188346218.05219999</v>
      </c>
    </row>
    <row r="24" spans="1:11" ht="13.5" thickBot="1" x14ac:dyDescent="0.25">
      <c r="A24" s="455">
        <v>14</v>
      </c>
      <c r="B24" s="456" t="s">
        <v>446</v>
      </c>
      <c r="C24" s="457"/>
      <c r="D24" s="458"/>
      <c r="E24" s="459"/>
      <c r="F24" s="460">
        <f t="shared" ref="F24:K24" si="4">MAX(F16-F21,F16*0.25)</f>
        <v>40787826.392888069</v>
      </c>
      <c r="G24" s="460">
        <f t="shared" si="4"/>
        <v>118061308.55524835</v>
      </c>
      <c r="H24" s="460">
        <f t="shared" si="4"/>
        <v>158849134.94813639</v>
      </c>
      <c r="I24" s="460">
        <f t="shared" si="4"/>
        <v>25074344.578805</v>
      </c>
      <c r="J24" s="460">
        <f t="shared" si="4"/>
        <v>49361280.714960411</v>
      </c>
      <c r="K24" s="461">
        <f t="shared" si="4"/>
        <v>74435625.293765426</v>
      </c>
    </row>
    <row r="25" spans="1:11" ht="13.5" thickBot="1" x14ac:dyDescent="0.25">
      <c r="A25" s="462">
        <v>15</v>
      </c>
      <c r="B25" s="463" t="s">
        <v>62</v>
      </c>
      <c r="C25" s="464"/>
      <c r="D25" s="464"/>
      <c r="E25" s="464"/>
      <c r="F25" s="465">
        <f t="shared" ref="F25:K25" si="5">F23/F24</f>
        <v>1.3390204206493532</v>
      </c>
      <c r="G25" s="465">
        <f t="shared" si="5"/>
        <v>1.0824072804905254</v>
      </c>
      <c r="H25" s="465">
        <f t="shared" si="5"/>
        <v>1.1482980529794626</v>
      </c>
      <c r="I25" s="466">
        <f t="shared" si="5"/>
        <v>2.1311295371663297</v>
      </c>
      <c r="J25" s="466">
        <f t="shared" si="5"/>
        <v>2.7331045657884214</v>
      </c>
      <c r="K25" s="467">
        <f t="shared" si="5"/>
        <v>2.5303235824093422</v>
      </c>
    </row>
    <row r="28" spans="1:11" ht="48.75" customHeight="1" x14ac:dyDescent="0.2">
      <c r="B28" s="468" t="s">
        <v>447</v>
      </c>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zoomScaleNormal="100" workbookViewId="0">
      <pane xSplit="1" ySplit="5" topLeftCell="D15" activePane="bottomRight" state="frozen"/>
      <selection activeCell="C9" sqref="C9"/>
      <selection pane="topRight" activeCell="C9" sqref="C9"/>
      <selection pane="bottomLeft" activeCell="C9" sqref="C9"/>
      <selection pane="bottomRight" activeCell="C9" sqref="C9"/>
    </sheetView>
  </sheetViews>
  <sheetFormatPr defaultColWidth="9.140625" defaultRowHeight="15" x14ac:dyDescent="0.3"/>
  <cols>
    <col min="1" max="1" width="10.5703125" style="324" bestFit="1" customWidth="1"/>
    <col min="2" max="2" width="95" style="324" customWidth="1"/>
    <col min="3" max="3" width="14.7109375" style="324" bestFit="1" customWidth="1"/>
    <col min="4" max="4" width="10" style="324" bestFit="1" customWidth="1"/>
    <col min="5" max="5" width="18.28515625" style="324" bestFit="1" customWidth="1"/>
    <col min="6" max="10" width="4.85546875" style="324" bestFit="1" customWidth="1"/>
    <col min="11" max="11" width="8.5703125" style="324" bestFit="1" customWidth="1"/>
    <col min="12" max="13" width="5.7109375" style="324" bestFit="1" customWidth="1"/>
    <col min="14" max="14" width="31" style="324" bestFit="1" customWidth="1"/>
    <col min="15" max="16384" width="9.140625" style="123"/>
  </cols>
  <sheetData>
    <row r="1" spans="1:15" x14ac:dyDescent="0.3">
      <c r="A1" s="324" t="s">
        <v>448</v>
      </c>
      <c r="B1" s="23" t="str">
        <f>'1. key ratios'!B1</f>
        <v>სს ტერაბანკი</v>
      </c>
    </row>
    <row r="2" spans="1:15" ht="14.25" customHeight="1" x14ac:dyDescent="0.3">
      <c r="A2" s="324" t="s">
        <v>31</v>
      </c>
      <c r="B2" s="77">
        <f>'1. key ratios'!B2</f>
        <v>43555</v>
      </c>
    </row>
    <row r="3" spans="1:15" ht="14.25" customHeight="1" x14ac:dyDescent="0.3"/>
    <row r="4" spans="1:15" ht="15.75" thickBot="1" x14ac:dyDescent="0.35">
      <c r="A4" s="23" t="s">
        <v>449</v>
      </c>
      <c r="B4" s="469" t="s">
        <v>27</v>
      </c>
    </row>
    <row r="5" spans="1:15" s="474" customFormat="1" ht="12.75" x14ac:dyDescent="0.2">
      <c r="A5" s="470"/>
      <c r="B5" s="471"/>
      <c r="C5" s="472" t="s">
        <v>252</v>
      </c>
      <c r="D5" s="472" t="s">
        <v>253</v>
      </c>
      <c r="E5" s="472" t="s">
        <v>254</v>
      </c>
      <c r="F5" s="472" t="s">
        <v>361</v>
      </c>
      <c r="G5" s="472" t="s">
        <v>362</v>
      </c>
      <c r="H5" s="472" t="s">
        <v>363</v>
      </c>
      <c r="I5" s="472" t="s">
        <v>364</v>
      </c>
      <c r="J5" s="472" t="s">
        <v>365</v>
      </c>
      <c r="K5" s="472" t="s">
        <v>366</v>
      </c>
      <c r="L5" s="472" t="s">
        <v>367</v>
      </c>
      <c r="M5" s="472" t="s">
        <v>368</v>
      </c>
      <c r="N5" s="473" t="s">
        <v>369</v>
      </c>
    </row>
    <row r="6" spans="1:15" ht="45" x14ac:dyDescent="0.3">
      <c r="A6" s="475"/>
      <c r="B6" s="476"/>
      <c r="C6" s="477" t="s">
        <v>450</v>
      </c>
      <c r="D6" s="478" t="s">
        <v>451</v>
      </c>
      <c r="E6" s="479" t="s">
        <v>452</v>
      </c>
      <c r="F6" s="480">
        <v>0</v>
      </c>
      <c r="G6" s="480">
        <v>0.2</v>
      </c>
      <c r="H6" s="480">
        <v>0.35</v>
      </c>
      <c r="I6" s="480">
        <v>0.5</v>
      </c>
      <c r="J6" s="480">
        <v>0.75</v>
      </c>
      <c r="K6" s="480">
        <v>1</v>
      </c>
      <c r="L6" s="480">
        <v>1.5</v>
      </c>
      <c r="M6" s="480">
        <v>2.5</v>
      </c>
      <c r="N6" s="481" t="s">
        <v>27</v>
      </c>
    </row>
    <row r="7" spans="1:15" x14ac:dyDescent="0.3">
      <c r="A7" s="482">
        <v>1</v>
      </c>
      <c r="B7" s="483" t="s">
        <v>453</v>
      </c>
      <c r="C7" s="484">
        <f>SUM(C8:C13)</f>
        <v>27533022</v>
      </c>
      <c r="D7" s="485"/>
      <c r="E7" s="486">
        <f>SUM(E8:E12)</f>
        <v>550660.44000000006</v>
      </c>
      <c r="F7" s="487">
        <v>0</v>
      </c>
      <c r="G7" s="487">
        <v>0</v>
      </c>
      <c r="H7" s="487">
        <v>0</v>
      </c>
      <c r="I7" s="487">
        <v>0</v>
      </c>
      <c r="J7" s="487">
        <v>0</v>
      </c>
      <c r="K7" s="487">
        <v>550660.44000000006</v>
      </c>
      <c r="L7" s="487">
        <v>0</v>
      </c>
      <c r="M7" s="487">
        <v>0</v>
      </c>
      <c r="N7" s="488">
        <v>550660.44000000006</v>
      </c>
      <c r="O7" s="489"/>
    </row>
    <row r="8" spans="1:15" x14ac:dyDescent="0.3">
      <c r="A8" s="482">
        <v>1.1000000000000001</v>
      </c>
      <c r="B8" s="490" t="s">
        <v>454</v>
      </c>
      <c r="C8" s="487">
        <v>27533022</v>
      </c>
      <c r="D8" s="491">
        <v>0.02</v>
      </c>
      <c r="E8" s="486">
        <f>C8*D8</f>
        <v>550660.44000000006</v>
      </c>
      <c r="F8" s="487">
        <v>0</v>
      </c>
      <c r="G8" s="487">
        <v>0</v>
      </c>
      <c r="H8" s="487">
        <v>0</v>
      </c>
      <c r="I8" s="487">
        <v>0</v>
      </c>
      <c r="J8" s="487">
        <v>0</v>
      </c>
      <c r="K8" s="487">
        <v>550660.44000000006</v>
      </c>
      <c r="L8" s="487">
        <v>0</v>
      </c>
      <c r="M8" s="487">
        <v>0</v>
      </c>
      <c r="N8" s="488">
        <v>550660.44000000006</v>
      </c>
      <c r="O8" s="489"/>
    </row>
    <row r="9" spans="1:15" x14ac:dyDescent="0.3">
      <c r="A9" s="482">
        <v>1.2</v>
      </c>
      <c r="B9" s="490" t="s">
        <v>455</v>
      </c>
      <c r="C9" s="487">
        <v>0</v>
      </c>
      <c r="D9" s="491">
        <v>0.05</v>
      </c>
      <c r="E9" s="486">
        <f>C9*D9</f>
        <v>0</v>
      </c>
      <c r="F9" s="487">
        <v>0</v>
      </c>
      <c r="G9" s="487">
        <v>0</v>
      </c>
      <c r="H9" s="487">
        <v>0</v>
      </c>
      <c r="I9" s="487">
        <v>0</v>
      </c>
      <c r="J9" s="487">
        <v>0</v>
      </c>
      <c r="K9" s="487">
        <v>0</v>
      </c>
      <c r="L9" s="487">
        <v>0</v>
      </c>
      <c r="M9" s="487">
        <v>0</v>
      </c>
      <c r="N9" s="488">
        <v>0</v>
      </c>
      <c r="O9" s="489"/>
    </row>
    <row r="10" spans="1:15" x14ac:dyDescent="0.3">
      <c r="A10" s="482">
        <v>1.3</v>
      </c>
      <c r="B10" s="490" t="s">
        <v>456</v>
      </c>
      <c r="C10" s="487">
        <v>0</v>
      </c>
      <c r="D10" s="491">
        <v>0.08</v>
      </c>
      <c r="E10" s="486">
        <f>C10*D10</f>
        <v>0</v>
      </c>
      <c r="F10" s="487">
        <v>0</v>
      </c>
      <c r="G10" s="487">
        <v>0</v>
      </c>
      <c r="H10" s="487">
        <v>0</v>
      </c>
      <c r="I10" s="487">
        <v>0</v>
      </c>
      <c r="J10" s="487">
        <v>0</v>
      </c>
      <c r="K10" s="487">
        <v>0</v>
      </c>
      <c r="L10" s="487">
        <v>0</v>
      </c>
      <c r="M10" s="487">
        <v>0</v>
      </c>
      <c r="N10" s="488">
        <v>0</v>
      </c>
      <c r="O10" s="489"/>
    </row>
    <row r="11" spans="1:15" x14ac:dyDescent="0.3">
      <c r="A11" s="482">
        <v>1.4</v>
      </c>
      <c r="B11" s="490" t="s">
        <v>457</v>
      </c>
      <c r="C11" s="487">
        <v>0</v>
      </c>
      <c r="D11" s="491">
        <v>0.11</v>
      </c>
      <c r="E11" s="486">
        <f>C11*D11</f>
        <v>0</v>
      </c>
      <c r="F11" s="487">
        <v>0</v>
      </c>
      <c r="G11" s="487">
        <v>0</v>
      </c>
      <c r="H11" s="487">
        <v>0</v>
      </c>
      <c r="I11" s="487">
        <v>0</v>
      </c>
      <c r="J11" s="487">
        <v>0</v>
      </c>
      <c r="K11" s="487">
        <v>0</v>
      </c>
      <c r="L11" s="487">
        <v>0</v>
      </c>
      <c r="M11" s="487">
        <v>0</v>
      </c>
      <c r="N11" s="488">
        <v>0</v>
      </c>
      <c r="O11" s="489"/>
    </row>
    <row r="12" spans="1:15" x14ac:dyDescent="0.3">
      <c r="A12" s="482">
        <v>1.5</v>
      </c>
      <c r="B12" s="490" t="s">
        <v>458</v>
      </c>
      <c r="C12" s="487">
        <v>0</v>
      </c>
      <c r="D12" s="491">
        <v>0.14000000000000001</v>
      </c>
      <c r="E12" s="486">
        <f>C12*D12</f>
        <v>0</v>
      </c>
      <c r="F12" s="487">
        <v>0</v>
      </c>
      <c r="G12" s="487">
        <v>0</v>
      </c>
      <c r="H12" s="487">
        <v>0</v>
      </c>
      <c r="I12" s="487">
        <v>0</v>
      </c>
      <c r="J12" s="487">
        <v>0</v>
      </c>
      <c r="K12" s="487">
        <v>0</v>
      </c>
      <c r="L12" s="487">
        <v>0</v>
      </c>
      <c r="M12" s="487">
        <v>0</v>
      </c>
      <c r="N12" s="488">
        <v>0</v>
      </c>
      <c r="O12" s="489"/>
    </row>
    <row r="13" spans="1:15" x14ac:dyDescent="0.3">
      <c r="A13" s="482">
        <v>1.6</v>
      </c>
      <c r="B13" s="492" t="s">
        <v>459</v>
      </c>
      <c r="C13" s="487">
        <v>0</v>
      </c>
      <c r="D13" s="493"/>
      <c r="E13" s="487"/>
      <c r="F13" s="487">
        <v>0</v>
      </c>
      <c r="G13" s="487">
        <v>0</v>
      </c>
      <c r="H13" s="487">
        <v>0</v>
      </c>
      <c r="I13" s="487">
        <v>0</v>
      </c>
      <c r="J13" s="487">
        <v>0</v>
      </c>
      <c r="K13" s="487">
        <v>0</v>
      </c>
      <c r="L13" s="487">
        <v>0</v>
      </c>
      <c r="M13" s="487">
        <v>0</v>
      </c>
      <c r="N13" s="488">
        <v>0</v>
      </c>
      <c r="O13" s="489"/>
    </row>
    <row r="14" spans="1:15" x14ac:dyDescent="0.3">
      <c r="A14" s="482">
        <v>2</v>
      </c>
      <c r="B14" s="494" t="s">
        <v>460</v>
      </c>
      <c r="C14" s="484">
        <f>SUM(C15:C20)</f>
        <v>0</v>
      </c>
      <c r="D14" s="485"/>
      <c r="E14" s="486">
        <f>SUM(E15:E19)</f>
        <v>0</v>
      </c>
      <c r="F14" s="487">
        <v>0</v>
      </c>
      <c r="G14" s="487">
        <v>0</v>
      </c>
      <c r="H14" s="487">
        <v>0</v>
      </c>
      <c r="I14" s="487">
        <v>0</v>
      </c>
      <c r="J14" s="487">
        <v>0</v>
      </c>
      <c r="K14" s="487">
        <v>0</v>
      </c>
      <c r="L14" s="487">
        <v>0</v>
      </c>
      <c r="M14" s="487">
        <v>0</v>
      </c>
      <c r="N14" s="488">
        <v>0</v>
      </c>
      <c r="O14" s="489"/>
    </row>
    <row r="15" spans="1:15" x14ac:dyDescent="0.3">
      <c r="A15" s="482">
        <v>2.1</v>
      </c>
      <c r="B15" s="492" t="s">
        <v>454</v>
      </c>
      <c r="C15" s="487">
        <v>0</v>
      </c>
      <c r="D15" s="491">
        <v>5.0000000000000001E-3</v>
      </c>
      <c r="E15" s="486">
        <f>D15*C15</f>
        <v>0</v>
      </c>
      <c r="F15" s="487">
        <v>0</v>
      </c>
      <c r="G15" s="487">
        <v>0</v>
      </c>
      <c r="H15" s="487">
        <v>0</v>
      </c>
      <c r="I15" s="487">
        <v>0</v>
      </c>
      <c r="J15" s="487">
        <v>0</v>
      </c>
      <c r="K15" s="487">
        <v>0</v>
      </c>
      <c r="L15" s="487">
        <v>0</v>
      </c>
      <c r="M15" s="487">
        <v>0</v>
      </c>
      <c r="N15" s="488">
        <v>0</v>
      </c>
      <c r="O15" s="489"/>
    </row>
    <row r="16" spans="1:15" x14ac:dyDescent="0.3">
      <c r="A16" s="482">
        <v>2.2000000000000002</v>
      </c>
      <c r="B16" s="492" t="s">
        <v>455</v>
      </c>
      <c r="C16" s="487">
        <v>0</v>
      </c>
      <c r="D16" s="491">
        <v>0.01</v>
      </c>
      <c r="E16" s="486">
        <f>D16*C16</f>
        <v>0</v>
      </c>
      <c r="F16" s="487">
        <v>0</v>
      </c>
      <c r="G16" s="487">
        <v>0</v>
      </c>
      <c r="H16" s="487">
        <v>0</v>
      </c>
      <c r="I16" s="487">
        <v>0</v>
      </c>
      <c r="J16" s="487">
        <v>0</v>
      </c>
      <c r="K16" s="487">
        <v>0</v>
      </c>
      <c r="L16" s="487">
        <v>0</v>
      </c>
      <c r="M16" s="487">
        <v>0</v>
      </c>
      <c r="N16" s="488">
        <v>0</v>
      </c>
      <c r="O16" s="489"/>
    </row>
    <row r="17" spans="1:15" x14ac:dyDescent="0.3">
      <c r="A17" s="482">
        <v>2.2999999999999998</v>
      </c>
      <c r="B17" s="492" t="s">
        <v>456</v>
      </c>
      <c r="C17" s="487">
        <v>0</v>
      </c>
      <c r="D17" s="491">
        <v>0.02</v>
      </c>
      <c r="E17" s="486">
        <f>D17*C17</f>
        <v>0</v>
      </c>
      <c r="F17" s="487">
        <v>0</v>
      </c>
      <c r="G17" s="487">
        <v>0</v>
      </c>
      <c r="H17" s="487">
        <v>0</v>
      </c>
      <c r="I17" s="487">
        <v>0</v>
      </c>
      <c r="J17" s="487">
        <v>0</v>
      </c>
      <c r="K17" s="487">
        <v>0</v>
      </c>
      <c r="L17" s="487">
        <v>0</v>
      </c>
      <c r="M17" s="487">
        <v>0</v>
      </c>
      <c r="N17" s="488">
        <v>0</v>
      </c>
      <c r="O17" s="489"/>
    </row>
    <row r="18" spans="1:15" x14ac:dyDescent="0.3">
      <c r="A18" s="482">
        <v>2.4</v>
      </c>
      <c r="B18" s="492" t="s">
        <v>457</v>
      </c>
      <c r="C18" s="487">
        <v>0</v>
      </c>
      <c r="D18" s="491">
        <v>0.03</v>
      </c>
      <c r="E18" s="486">
        <f>D18*C18</f>
        <v>0</v>
      </c>
      <c r="F18" s="487">
        <v>0</v>
      </c>
      <c r="G18" s="487">
        <v>0</v>
      </c>
      <c r="H18" s="487">
        <v>0</v>
      </c>
      <c r="I18" s="487">
        <v>0</v>
      </c>
      <c r="J18" s="487">
        <v>0</v>
      </c>
      <c r="K18" s="487">
        <v>0</v>
      </c>
      <c r="L18" s="487">
        <v>0</v>
      </c>
      <c r="M18" s="487">
        <v>0</v>
      </c>
      <c r="N18" s="488">
        <v>0</v>
      </c>
      <c r="O18" s="489"/>
    </row>
    <row r="19" spans="1:15" x14ac:dyDescent="0.3">
      <c r="A19" s="482">
        <v>2.5</v>
      </c>
      <c r="B19" s="492" t="s">
        <v>458</v>
      </c>
      <c r="C19" s="487">
        <v>0</v>
      </c>
      <c r="D19" s="491">
        <v>0.04</v>
      </c>
      <c r="E19" s="486">
        <f>D19*C19</f>
        <v>0</v>
      </c>
      <c r="F19" s="487">
        <v>0</v>
      </c>
      <c r="G19" s="487">
        <v>0</v>
      </c>
      <c r="H19" s="487">
        <v>0</v>
      </c>
      <c r="I19" s="487">
        <v>0</v>
      </c>
      <c r="J19" s="487">
        <v>0</v>
      </c>
      <c r="K19" s="487">
        <v>0</v>
      </c>
      <c r="L19" s="487">
        <v>0</v>
      </c>
      <c r="M19" s="487">
        <v>0</v>
      </c>
      <c r="N19" s="488">
        <v>0</v>
      </c>
      <c r="O19" s="489"/>
    </row>
    <row r="20" spans="1:15" x14ac:dyDescent="0.3">
      <c r="A20" s="482">
        <v>2.6</v>
      </c>
      <c r="B20" s="492" t="s">
        <v>459</v>
      </c>
      <c r="C20" s="487">
        <v>0</v>
      </c>
      <c r="D20" s="493"/>
      <c r="E20" s="495"/>
      <c r="F20" s="487">
        <v>0</v>
      </c>
      <c r="G20" s="487">
        <v>0</v>
      </c>
      <c r="H20" s="487">
        <v>0</v>
      </c>
      <c r="I20" s="487">
        <v>0</v>
      </c>
      <c r="J20" s="487">
        <v>0</v>
      </c>
      <c r="K20" s="487">
        <v>0</v>
      </c>
      <c r="L20" s="487">
        <v>0</v>
      </c>
      <c r="M20" s="487">
        <v>0</v>
      </c>
      <c r="N20" s="488">
        <v>0</v>
      </c>
      <c r="O20" s="489"/>
    </row>
    <row r="21" spans="1:15" ht="15.75" thickBot="1" x14ac:dyDescent="0.35">
      <c r="A21" s="496">
        <v>3</v>
      </c>
      <c r="B21" s="497" t="s">
        <v>72</v>
      </c>
      <c r="C21" s="498">
        <f>C7+C14</f>
        <v>27533022</v>
      </c>
      <c r="D21" s="499"/>
      <c r="E21" s="500">
        <f>SUM(E7+E14)</f>
        <v>550660.44000000006</v>
      </c>
      <c r="F21" s="487">
        <v>0</v>
      </c>
      <c r="G21" s="487">
        <v>0</v>
      </c>
      <c r="H21" s="487">
        <v>0</v>
      </c>
      <c r="I21" s="487">
        <v>0</v>
      </c>
      <c r="J21" s="487">
        <v>0</v>
      </c>
      <c r="K21" s="487">
        <v>0</v>
      </c>
      <c r="L21" s="487">
        <v>0</v>
      </c>
      <c r="M21" s="487">
        <v>0</v>
      </c>
      <c r="N21" s="488">
        <v>550660.44000000006</v>
      </c>
      <c r="O21" s="489"/>
    </row>
    <row r="22" spans="1:15" x14ac:dyDescent="0.3">
      <c r="C22" s="501"/>
      <c r="D22" s="501"/>
      <c r="E22" s="502"/>
      <c r="F22" s="502"/>
      <c r="G22" s="502"/>
      <c r="H22" s="502"/>
      <c r="I22" s="502"/>
      <c r="J22" s="502"/>
      <c r="K22" s="502"/>
      <c r="L22" s="502"/>
      <c r="M22" s="502"/>
      <c r="N22" s="501"/>
      <c r="O22" s="489"/>
    </row>
    <row r="23" spans="1:15" x14ac:dyDescent="0.3">
      <c r="C23" s="501"/>
      <c r="D23" s="501"/>
      <c r="E23" s="501"/>
      <c r="F23" s="501"/>
      <c r="G23" s="501"/>
      <c r="H23" s="501"/>
      <c r="I23" s="501"/>
      <c r="J23" s="501"/>
      <c r="K23" s="501"/>
      <c r="L23" s="501"/>
      <c r="M23" s="501"/>
      <c r="N23" s="501"/>
      <c r="O23" s="489"/>
    </row>
    <row r="24" spans="1:15" x14ac:dyDescent="0.3">
      <c r="C24" s="501"/>
      <c r="D24" s="501"/>
      <c r="E24" s="501"/>
      <c r="F24" s="501"/>
      <c r="G24" s="501"/>
      <c r="H24" s="501"/>
      <c r="I24" s="501"/>
      <c r="J24" s="501"/>
      <c r="K24" s="501"/>
      <c r="L24" s="501"/>
      <c r="M24" s="501"/>
      <c r="N24" s="501"/>
      <c r="O24" s="4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2" tint="-0.249977111117893"/>
  </sheetPr>
  <dimension ref="A1:C41"/>
  <sheetViews>
    <sheetView workbookViewId="0">
      <selection activeCell="C9" sqref="C9"/>
    </sheetView>
  </sheetViews>
  <sheetFormatPr defaultColWidth="9.140625" defaultRowHeight="12.75" x14ac:dyDescent="0.2"/>
  <cols>
    <col min="1" max="1" width="12.28515625" style="503" customWidth="1"/>
    <col min="2" max="2" width="62.7109375" style="504" customWidth="1"/>
    <col min="3" max="3" width="12.28515625" style="503" customWidth="1"/>
    <col min="4" max="16384" width="9.140625" style="503"/>
  </cols>
  <sheetData>
    <row r="1" spans="1:3" ht="15" x14ac:dyDescent="0.3">
      <c r="A1" s="324" t="s">
        <v>448</v>
      </c>
      <c r="B1" s="23" t="str">
        <f>'1. key ratios'!B1</f>
        <v>სს ტერაბანკი</v>
      </c>
    </row>
    <row r="2" spans="1:3" ht="15" x14ac:dyDescent="0.3">
      <c r="A2" s="324" t="s">
        <v>31</v>
      </c>
      <c r="B2" s="77">
        <f>'1. key ratios'!B2</f>
        <v>43555</v>
      </c>
    </row>
    <row r="3" spans="1:3" ht="15" x14ac:dyDescent="0.3">
      <c r="A3" s="324"/>
    </row>
    <row r="4" spans="1:3" ht="18.75" x14ac:dyDescent="0.25">
      <c r="A4" s="543" t="s">
        <v>461</v>
      </c>
      <c r="B4" s="505" t="s">
        <v>28</v>
      </c>
      <c r="C4" s="506"/>
    </row>
    <row r="5" spans="1:3" x14ac:dyDescent="0.2">
      <c r="A5" s="507"/>
      <c r="B5" s="507" t="s">
        <v>462</v>
      </c>
      <c r="C5" s="508"/>
    </row>
    <row r="6" spans="1:3" x14ac:dyDescent="0.2">
      <c r="A6" s="509">
        <v>1</v>
      </c>
      <c r="B6" s="510" t="s">
        <v>462</v>
      </c>
      <c r="C6" s="511">
        <v>964681313.63999999</v>
      </c>
    </row>
    <row r="7" spans="1:3" x14ac:dyDescent="0.2">
      <c r="A7" s="509">
        <v>2</v>
      </c>
      <c r="B7" s="510" t="s">
        <v>463</v>
      </c>
      <c r="C7" s="511">
        <v>-22958343.41</v>
      </c>
    </row>
    <row r="8" spans="1:3" x14ac:dyDescent="0.2">
      <c r="A8" s="512">
        <v>3</v>
      </c>
      <c r="B8" s="513" t="s">
        <v>464</v>
      </c>
      <c r="C8" s="514">
        <f>C6+C7</f>
        <v>941722970.23000002</v>
      </c>
    </row>
    <row r="9" spans="1:3" x14ac:dyDescent="0.2">
      <c r="A9" s="515"/>
      <c r="B9" s="515" t="s">
        <v>465</v>
      </c>
      <c r="C9" s="516"/>
    </row>
    <row r="10" spans="1:3" x14ac:dyDescent="0.2">
      <c r="A10" s="517">
        <v>4</v>
      </c>
      <c r="B10" s="518" t="s">
        <v>466</v>
      </c>
      <c r="C10" s="511"/>
    </row>
    <row r="11" spans="1:3" x14ac:dyDescent="0.2">
      <c r="A11" s="517">
        <v>5</v>
      </c>
      <c r="B11" s="519" t="s">
        <v>467</v>
      </c>
      <c r="C11" s="511"/>
    </row>
    <row r="12" spans="1:3" ht="24.75" customHeight="1" x14ac:dyDescent="0.2">
      <c r="A12" s="517" t="s">
        <v>468</v>
      </c>
      <c r="B12" s="510" t="s">
        <v>469</v>
      </c>
      <c r="C12" s="511">
        <v>550660.44000000006</v>
      </c>
    </row>
    <row r="13" spans="1:3" ht="24" x14ac:dyDescent="0.2">
      <c r="A13" s="520">
        <v>6</v>
      </c>
      <c r="B13" s="521" t="s">
        <v>470</v>
      </c>
      <c r="C13" s="511"/>
    </row>
    <row r="14" spans="1:3" ht="17.25" customHeight="1" x14ac:dyDescent="0.2">
      <c r="A14" s="520">
        <v>7</v>
      </c>
      <c r="B14" s="522" t="s">
        <v>471</v>
      </c>
      <c r="C14" s="511"/>
    </row>
    <row r="15" spans="1:3" ht="17.25" customHeight="1" x14ac:dyDescent="0.2">
      <c r="A15" s="523">
        <v>8</v>
      </c>
      <c r="B15" s="510" t="s">
        <v>472</v>
      </c>
      <c r="C15" s="511"/>
    </row>
    <row r="16" spans="1:3" ht="22.5" customHeight="1" x14ac:dyDescent="0.2">
      <c r="A16" s="520">
        <v>9</v>
      </c>
      <c r="B16" s="522" t="s">
        <v>473</v>
      </c>
      <c r="C16" s="511"/>
    </row>
    <row r="17" spans="1:3" ht="15.75" customHeight="1" x14ac:dyDescent="0.2">
      <c r="A17" s="520">
        <v>10</v>
      </c>
      <c r="B17" s="522" t="s">
        <v>474</v>
      </c>
      <c r="C17" s="511"/>
    </row>
    <row r="18" spans="1:3" x14ac:dyDescent="0.2">
      <c r="A18" s="524">
        <v>11</v>
      </c>
      <c r="B18" s="525" t="s">
        <v>475</v>
      </c>
      <c r="C18" s="526">
        <f>SUM(C10:C17)</f>
        <v>550660.44000000006</v>
      </c>
    </row>
    <row r="19" spans="1:3" x14ac:dyDescent="0.2">
      <c r="A19" s="515"/>
      <c r="B19" s="515" t="s">
        <v>476</v>
      </c>
      <c r="C19" s="527"/>
    </row>
    <row r="20" spans="1:3" ht="24" x14ac:dyDescent="0.2">
      <c r="A20" s="520">
        <v>12</v>
      </c>
      <c r="B20" s="518" t="s">
        <v>477</v>
      </c>
      <c r="C20" s="511"/>
    </row>
    <row r="21" spans="1:3" x14ac:dyDescent="0.2">
      <c r="A21" s="520">
        <v>13</v>
      </c>
      <c r="B21" s="518" t="s">
        <v>478</v>
      </c>
      <c r="C21" s="511"/>
    </row>
    <row r="22" spans="1:3" ht="24" x14ac:dyDescent="0.2">
      <c r="A22" s="520">
        <v>14</v>
      </c>
      <c r="B22" s="518" t="s">
        <v>479</v>
      </c>
      <c r="C22" s="511"/>
    </row>
    <row r="23" spans="1:3" ht="24" x14ac:dyDescent="0.2">
      <c r="A23" s="520" t="s">
        <v>480</v>
      </c>
      <c r="B23" s="518" t="s">
        <v>481</v>
      </c>
      <c r="C23" s="511"/>
    </row>
    <row r="24" spans="1:3" x14ac:dyDescent="0.2">
      <c r="A24" s="520">
        <v>15</v>
      </c>
      <c r="B24" s="518" t="s">
        <v>482</v>
      </c>
      <c r="C24" s="511"/>
    </row>
    <row r="25" spans="1:3" x14ac:dyDescent="0.2">
      <c r="A25" s="520" t="s">
        <v>483</v>
      </c>
      <c r="B25" s="510" t="s">
        <v>484</v>
      </c>
      <c r="C25" s="511"/>
    </row>
    <row r="26" spans="1:3" x14ac:dyDescent="0.2">
      <c r="A26" s="524">
        <v>16</v>
      </c>
      <c r="B26" s="525" t="s">
        <v>485</v>
      </c>
      <c r="C26" s="526">
        <f>SUM(C20:C25)</f>
        <v>0</v>
      </c>
    </row>
    <row r="27" spans="1:3" x14ac:dyDescent="0.2">
      <c r="A27" s="515"/>
      <c r="B27" s="515" t="s">
        <v>486</v>
      </c>
      <c r="C27" s="516"/>
    </row>
    <row r="28" spans="1:3" x14ac:dyDescent="0.2">
      <c r="A28" s="517">
        <v>17</v>
      </c>
      <c r="B28" s="510" t="s">
        <v>487</v>
      </c>
      <c r="C28" s="511">
        <v>62841404.959999986</v>
      </c>
    </row>
    <row r="29" spans="1:3" x14ac:dyDescent="0.2">
      <c r="A29" s="517">
        <v>18</v>
      </c>
      <c r="B29" s="510" t="s">
        <v>488</v>
      </c>
      <c r="C29" s="511">
        <v>-29001983.621999994</v>
      </c>
    </row>
    <row r="30" spans="1:3" x14ac:dyDescent="0.2">
      <c r="A30" s="524">
        <v>19</v>
      </c>
      <c r="B30" s="525" t="s">
        <v>489</v>
      </c>
      <c r="C30" s="526">
        <f>C28+C29</f>
        <v>33839421.337999992</v>
      </c>
    </row>
    <row r="31" spans="1:3" x14ac:dyDescent="0.2">
      <c r="A31" s="528"/>
      <c r="B31" s="515" t="s">
        <v>490</v>
      </c>
      <c r="C31" s="516"/>
    </row>
    <row r="32" spans="1:3" x14ac:dyDescent="0.2">
      <c r="A32" s="517" t="s">
        <v>491</v>
      </c>
      <c r="B32" s="518" t="s">
        <v>492</v>
      </c>
      <c r="C32" s="529"/>
    </row>
    <row r="33" spans="1:3" ht="24" x14ac:dyDescent="0.2">
      <c r="A33" s="517" t="s">
        <v>493</v>
      </c>
      <c r="B33" s="519" t="s">
        <v>494</v>
      </c>
      <c r="C33" s="529"/>
    </row>
    <row r="34" spans="1:3" x14ac:dyDescent="0.2">
      <c r="A34" s="515"/>
      <c r="B34" s="515" t="s">
        <v>495</v>
      </c>
      <c r="C34" s="516"/>
    </row>
    <row r="35" spans="1:3" x14ac:dyDescent="0.2">
      <c r="A35" s="524">
        <v>20</v>
      </c>
      <c r="B35" s="525" t="s">
        <v>37</v>
      </c>
      <c r="C35" s="511">
        <v>110978440.77000006</v>
      </c>
    </row>
    <row r="36" spans="1:3" ht="24" x14ac:dyDescent="0.2">
      <c r="A36" s="524">
        <v>21</v>
      </c>
      <c r="B36" s="525" t="s">
        <v>496</v>
      </c>
      <c r="C36" s="526">
        <f>C8+C18+C26+C30</f>
        <v>976113052.00800002</v>
      </c>
    </row>
    <row r="37" spans="1:3" x14ac:dyDescent="0.2">
      <c r="A37" s="593" t="s">
        <v>28</v>
      </c>
      <c r="B37" s="594"/>
      <c r="C37" s="516"/>
    </row>
    <row r="38" spans="1:3" x14ac:dyDescent="0.2">
      <c r="A38" s="524">
        <v>22</v>
      </c>
      <c r="B38" s="530" t="s">
        <v>28</v>
      </c>
      <c r="C38" s="531">
        <f>IFERROR(C35/C36,0)</f>
        <v>0.11369424939222153</v>
      </c>
    </row>
    <row r="39" spans="1:3" x14ac:dyDescent="0.2">
      <c r="A39" s="532"/>
      <c r="B39" s="532" t="s">
        <v>497</v>
      </c>
      <c r="C39" s="516"/>
    </row>
    <row r="40" spans="1:3" x14ac:dyDescent="0.2">
      <c r="A40" s="533" t="s">
        <v>498</v>
      </c>
      <c r="B40" s="518" t="s">
        <v>499</v>
      </c>
      <c r="C40" s="529"/>
    </row>
    <row r="41" spans="1:3" ht="24" x14ac:dyDescent="0.2">
      <c r="A41" s="534" t="s">
        <v>500</v>
      </c>
      <c r="B41" s="519" t="s">
        <v>501</v>
      </c>
      <c r="C41" s="529"/>
    </row>
  </sheetData>
  <mergeCells count="1">
    <mergeCell ref="A37:B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L40"/>
  <sheetViews>
    <sheetView showGridLines="0" zoomScaleNormal="100" workbookViewId="0">
      <pane xSplit="1" ySplit="5" topLeftCell="B33" activePane="bottomRight" state="frozen"/>
      <selection activeCell="C9" sqref="C9"/>
      <selection pane="topRight" activeCell="C9" sqref="C9"/>
      <selection pane="bottomLeft" activeCell="C9" sqref="C9"/>
      <selection pane="bottomRight" activeCell="C9" sqref="C9"/>
    </sheetView>
  </sheetViews>
  <sheetFormatPr defaultRowHeight="15.75" x14ac:dyDescent="0.3"/>
  <cols>
    <col min="1" max="1" width="9.5703125" style="75" bestFit="1" customWidth="1"/>
    <col min="2" max="2" width="86" style="25" customWidth="1"/>
    <col min="3" max="3" width="12.7109375" style="25" customWidth="1"/>
    <col min="4" max="4" width="12" style="23" bestFit="1" customWidth="1"/>
    <col min="5" max="5" width="14" style="23" bestFit="1" customWidth="1"/>
    <col min="6" max="6" width="13.7109375" style="23" bestFit="1" customWidth="1"/>
    <col min="7" max="7" width="13.28515625" style="23" bestFit="1" customWidth="1"/>
    <col min="8" max="13" width="6.7109375" customWidth="1"/>
  </cols>
  <sheetData>
    <row r="1" spans="1:12" x14ac:dyDescent="0.3">
      <c r="A1" s="24" t="s">
        <v>29</v>
      </c>
      <c r="B1" s="25" t="s">
        <v>30</v>
      </c>
    </row>
    <row r="2" spans="1:12" x14ac:dyDescent="0.3">
      <c r="A2" s="24" t="s">
        <v>31</v>
      </c>
      <c r="B2" s="26">
        <v>43555</v>
      </c>
      <c r="C2" s="27"/>
      <c r="D2" s="28"/>
      <c r="E2" s="28"/>
      <c r="F2" s="28"/>
      <c r="G2" s="28"/>
      <c r="H2" s="29"/>
    </row>
    <row r="3" spans="1:12" x14ac:dyDescent="0.3">
      <c r="A3" s="24"/>
      <c r="C3" s="27"/>
      <c r="D3" s="28"/>
      <c r="E3" s="28"/>
      <c r="F3" s="28"/>
      <c r="G3" s="28"/>
      <c r="H3" s="29"/>
    </row>
    <row r="4" spans="1:12" ht="16.5" thickBot="1" x14ac:dyDescent="0.35">
      <c r="A4" s="535" t="s">
        <v>32</v>
      </c>
      <c r="B4" s="536" t="s">
        <v>12</v>
      </c>
      <c r="C4" s="537"/>
      <c r="D4" s="538"/>
      <c r="E4" s="538"/>
      <c r="F4" s="538"/>
      <c r="G4" s="538"/>
      <c r="H4" s="29"/>
    </row>
    <row r="5" spans="1:12" ht="15" x14ac:dyDescent="0.25">
      <c r="A5" s="30" t="s">
        <v>33</v>
      </c>
      <c r="B5" s="31"/>
      <c r="C5" s="32">
        <f>B2</f>
        <v>43555</v>
      </c>
      <c r="D5" s="33">
        <f>EOMONTH(C5,-3)</f>
        <v>43465</v>
      </c>
      <c r="E5" s="33">
        <f>EOMONTH(D5,-3)</f>
        <v>43373</v>
      </c>
      <c r="F5" s="33">
        <f>EOMONTH(E5,-3)</f>
        <v>43281</v>
      </c>
      <c r="G5" s="34">
        <f>EOMONTH(F5,-3)</f>
        <v>43190</v>
      </c>
    </row>
    <row r="6" spans="1:12" ht="15" x14ac:dyDescent="0.25">
      <c r="A6" s="35"/>
      <c r="B6" s="36" t="s">
        <v>34</v>
      </c>
      <c r="C6" s="37"/>
      <c r="D6" s="37"/>
      <c r="E6" s="37"/>
      <c r="F6" s="37"/>
      <c r="G6" s="38"/>
    </row>
    <row r="7" spans="1:12" ht="15" x14ac:dyDescent="0.25">
      <c r="A7" s="35"/>
      <c r="B7" s="39" t="s">
        <v>35</v>
      </c>
      <c r="C7" s="37"/>
      <c r="D7" s="37"/>
      <c r="E7" s="37"/>
      <c r="F7" s="37"/>
      <c r="G7" s="38"/>
    </row>
    <row r="8" spans="1:12" ht="15" x14ac:dyDescent="0.25">
      <c r="A8" s="40">
        <v>1</v>
      </c>
      <c r="B8" s="41" t="s">
        <v>36</v>
      </c>
      <c r="C8" s="42">
        <v>110978440.77000006</v>
      </c>
      <c r="D8" s="43">
        <v>104601554.61000024</v>
      </c>
      <c r="E8" s="43">
        <v>102318427.43000002</v>
      </c>
      <c r="F8" s="43">
        <v>94908862.550000057</v>
      </c>
      <c r="G8" s="44">
        <v>92825052.120000005</v>
      </c>
    </row>
    <row r="9" spans="1:12" ht="15" x14ac:dyDescent="0.25">
      <c r="A9" s="40">
        <v>2</v>
      </c>
      <c r="B9" s="41" t="s">
        <v>37</v>
      </c>
      <c r="C9" s="42">
        <v>110978440.77000006</v>
      </c>
      <c r="D9" s="43">
        <v>104601554.61000024</v>
      </c>
      <c r="E9" s="43">
        <v>102318427.43000002</v>
      </c>
      <c r="F9" s="43">
        <v>94908862.550000057</v>
      </c>
      <c r="G9" s="44">
        <v>92825052.120000005</v>
      </c>
    </row>
    <row r="10" spans="1:12" ht="15" x14ac:dyDescent="0.25">
      <c r="A10" s="40">
        <v>3</v>
      </c>
      <c r="B10" s="41" t="s">
        <v>20</v>
      </c>
      <c r="C10" s="42">
        <v>164715332.73996907</v>
      </c>
      <c r="D10" s="43">
        <v>156412413.60750985</v>
      </c>
      <c r="E10" s="43">
        <v>145542151.71401042</v>
      </c>
      <c r="F10" s="43">
        <v>136088077.15687615</v>
      </c>
      <c r="G10" s="44">
        <v>132953520.73705798</v>
      </c>
    </row>
    <row r="11" spans="1:12" ht="15" x14ac:dyDescent="0.25">
      <c r="A11" s="35"/>
      <c r="B11" s="36" t="s">
        <v>38</v>
      </c>
      <c r="C11" s="45"/>
      <c r="D11" s="45"/>
      <c r="E11" s="45"/>
      <c r="F11" s="45"/>
      <c r="G11" s="46"/>
    </row>
    <row r="12" spans="1:12" ht="15" customHeight="1" x14ac:dyDescent="0.25">
      <c r="A12" s="40">
        <v>4</v>
      </c>
      <c r="B12" s="41" t="s">
        <v>39</v>
      </c>
      <c r="C12" s="47">
        <v>889510858.74627233</v>
      </c>
      <c r="D12" s="43">
        <v>872383342.71952081</v>
      </c>
      <c r="E12" s="48">
        <v>849999538.21958256</v>
      </c>
      <c r="F12" s="48">
        <v>794408612.00883698</v>
      </c>
      <c r="G12" s="49">
        <v>747728329.12338781</v>
      </c>
      <c r="I12" s="50"/>
      <c r="J12" s="50"/>
      <c r="K12" s="50"/>
      <c r="L12" s="50"/>
    </row>
    <row r="13" spans="1:12" ht="15" x14ac:dyDescent="0.25">
      <c r="A13" s="35"/>
      <c r="B13" s="36" t="s">
        <v>40</v>
      </c>
      <c r="C13" s="37"/>
      <c r="D13" s="37"/>
      <c r="E13" s="37"/>
      <c r="F13" s="37"/>
      <c r="G13" s="38"/>
    </row>
    <row r="14" spans="1:12" s="22" customFormat="1" ht="15" x14ac:dyDescent="0.25">
      <c r="A14" s="40"/>
      <c r="B14" s="39" t="s">
        <v>41</v>
      </c>
      <c r="C14" s="37"/>
      <c r="D14" s="37"/>
      <c r="E14" s="37"/>
      <c r="F14" s="37"/>
      <c r="G14" s="38"/>
    </row>
    <row r="15" spans="1:12" ht="15" x14ac:dyDescent="0.25">
      <c r="A15" s="51">
        <v>5</v>
      </c>
      <c r="B15" s="52" t="str">
        <f>"ძირითადი პირველადი კაპიტალის კოეფიციენტი &gt;="&amp;ROUND('9.1. Capital Requirements'!$C$19*100,2)&amp;"%"</f>
        <v>ძირითადი პირველადი კაპიტალის კოეფიციენტი &gt;=9.13%</v>
      </c>
      <c r="C15" s="53">
        <f>C8/C12</f>
        <v>0.12476344687508306</v>
      </c>
      <c r="D15" s="54">
        <v>0.11990320021920753</v>
      </c>
      <c r="E15" s="54">
        <v>0.12037468590196791</v>
      </c>
      <c r="F15" s="54">
        <v>0.11947108970785464</v>
      </c>
      <c r="G15" s="55">
        <v>0.12414275145737096</v>
      </c>
    </row>
    <row r="16" spans="1:12" ht="15" customHeight="1" x14ac:dyDescent="0.25">
      <c r="A16" s="51">
        <v>6</v>
      </c>
      <c r="B16" s="52" t="str">
        <f>"პირველადი კაპიტალის კოეფიციენტი &gt;="&amp;ROUND('9.1. Capital Requirements'!$C$20*100,2)&amp;"%"</f>
        <v>პირველადი კაპიტალის კოეფიციენტი &gt;=11.35%</v>
      </c>
      <c r="C16" s="53">
        <f>C9/C12</f>
        <v>0.12476344687508306</v>
      </c>
      <c r="D16" s="54">
        <v>0.11990320021920753</v>
      </c>
      <c r="E16" s="54">
        <v>0.12037468590196791</v>
      </c>
      <c r="F16" s="54">
        <v>0.11947108970785464</v>
      </c>
      <c r="G16" s="55">
        <v>0.12414275145737096</v>
      </c>
    </row>
    <row r="17" spans="1:7" ht="15" x14ac:dyDescent="0.25">
      <c r="A17" s="51">
        <v>7</v>
      </c>
      <c r="B17" s="52" t="str">
        <f>"საზედამხედველო კაპიტალის კოეფიციენტი &gt;="&amp;ROUND('9.1. Capital Requirements'!$C$21*100,2)&amp;"%"</f>
        <v>საზედამხედველო კაპიტალის კოეფიციენტი &gt;=17.36%</v>
      </c>
      <c r="C17" s="53">
        <f>C10/C12</f>
        <v>0.18517517928013641</v>
      </c>
      <c r="D17" s="54">
        <v>0.17929321428801956</v>
      </c>
      <c r="E17" s="54">
        <v>0.17122615386222967</v>
      </c>
      <c r="F17" s="54">
        <v>0.1713074041490405</v>
      </c>
      <c r="G17" s="55">
        <v>0.17780992849759797</v>
      </c>
    </row>
    <row r="18" spans="1:7" ht="15" x14ac:dyDescent="0.25">
      <c r="A18" s="35"/>
      <c r="B18" s="36" t="s">
        <v>42</v>
      </c>
      <c r="C18" s="56"/>
      <c r="D18" s="56"/>
      <c r="E18" s="56"/>
      <c r="F18" s="56"/>
      <c r="G18" s="57"/>
    </row>
    <row r="19" spans="1:7" ht="15" customHeight="1" x14ac:dyDescent="0.25">
      <c r="A19" s="58">
        <v>8</v>
      </c>
      <c r="B19" s="59" t="s">
        <v>43</v>
      </c>
      <c r="C19" s="60">
        <v>8.0620064004284259E-2</v>
      </c>
      <c r="D19" s="61">
        <v>8.7209657253758191E-2</v>
      </c>
      <c r="E19" s="61">
        <v>8.7749481022180331E-2</v>
      </c>
      <c r="F19" s="61">
        <v>8.741940406276659E-2</v>
      </c>
      <c r="G19" s="62">
        <v>8.671732191171054E-2</v>
      </c>
    </row>
    <row r="20" spans="1:7" ht="15" x14ac:dyDescent="0.25">
      <c r="A20" s="58">
        <v>9</v>
      </c>
      <c r="B20" s="59" t="s">
        <v>44</v>
      </c>
      <c r="C20" s="60">
        <v>3.6482096493412206E-2</v>
      </c>
      <c r="D20" s="61">
        <v>4.0230121878041272E-2</v>
      </c>
      <c r="E20" s="61">
        <v>4.0678512150027372E-2</v>
      </c>
      <c r="F20" s="61">
        <v>4.1009941820879421E-2</v>
      </c>
      <c r="G20" s="62">
        <v>4.0575690364854707E-2</v>
      </c>
    </row>
    <row r="21" spans="1:7" ht="15" x14ac:dyDescent="0.25">
      <c r="A21" s="58">
        <v>10</v>
      </c>
      <c r="B21" s="59" t="s">
        <v>45</v>
      </c>
      <c r="C21" s="60">
        <v>2.9192501328584378E-2</v>
      </c>
      <c r="D21" s="61">
        <v>3.1456099138050357E-2</v>
      </c>
      <c r="E21" s="61">
        <v>3.7646700987958602E-2</v>
      </c>
      <c r="F21" s="61">
        <v>4.0445877118280446E-2</v>
      </c>
      <c r="G21" s="62">
        <v>4.2470864108732423E-2</v>
      </c>
    </row>
    <row r="22" spans="1:7" ht="15" x14ac:dyDescent="0.25">
      <c r="A22" s="58">
        <v>11</v>
      </c>
      <c r="B22" s="59" t="s">
        <v>46</v>
      </c>
      <c r="C22" s="60">
        <v>4.413796751087206E-2</v>
      </c>
      <c r="D22" s="61">
        <v>4.6979535375716919E-2</v>
      </c>
      <c r="E22" s="61">
        <v>4.7070968872152966E-2</v>
      </c>
      <c r="F22" s="61">
        <v>4.6409462241887176E-2</v>
      </c>
      <c r="G22" s="62">
        <v>4.6141631546855841E-2</v>
      </c>
    </row>
    <row r="23" spans="1:7" ht="15" x14ac:dyDescent="0.25">
      <c r="A23" s="58">
        <v>12</v>
      </c>
      <c r="B23" s="59" t="s">
        <v>47</v>
      </c>
      <c r="C23" s="60">
        <v>2.6254096797861583E-2</v>
      </c>
      <c r="D23" s="61">
        <v>2.0909463443805971E-2</v>
      </c>
      <c r="E23" s="61">
        <v>2.5025089458836823E-2</v>
      </c>
      <c r="F23" s="61">
        <v>2.0847637079722849E-2</v>
      </c>
      <c r="G23" s="62">
        <v>3.0768530429161476E-2</v>
      </c>
    </row>
    <row r="24" spans="1:7" ht="15" x14ac:dyDescent="0.25">
      <c r="A24" s="58">
        <v>13</v>
      </c>
      <c r="B24" s="59" t="s">
        <v>48</v>
      </c>
      <c r="C24" s="60">
        <v>0.18968679165280927</v>
      </c>
      <c r="D24" s="61">
        <v>0.14639560451698508</v>
      </c>
      <c r="E24" s="61">
        <v>0.17314383621091978</v>
      </c>
      <c r="F24" s="61">
        <v>0.14485253633754028</v>
      </c>
      <c r="G24" s="62">
        <v>0.21010986350153546</v>
      </c>
    </row>
    <row r="25" spans="1:7" ht="15" x14ac:dyDescent="0.25">
      <c r="A25" s="35"/>
      <c r="B25" s="36" t="s">
        <v>49</v>
      </c>
      <c r="C25" s="56"/>
      <c r="D25" s="56"/>
      <c r="E25" s="56"/>
      <c r="F25" s="56"/>
      <c r="G25" s="57"/>
    </row>
    <row r="26" spans="1:7" ht="15" x14ac:dyDescent="0.25">
      <c r="A26" s="58">
        <v>14</v>
      </c>
      <c r="B26" s="59" t="s">
        <v>50</v>
      </c>
      <c r="C26" s="60">
        <v>7.289384593086469E-2</v>
      </c>
      <c r="D26" s="61">
        <v>7.2777269111687304E-2</v>
      </c>
      <c r="E26" s="61">
        <v>8.357989394013364E-2</v>
      </c>
      <c r="F26" s="61">
        <v>8.3458272289065702E-2</v>
      </c>
      <c r="G26" s="62">
        <v>8.5745142120549747E-2</v>
      </c>
    </row>
    <row r="27" spans="1:7" ht="15" customHeight="1" x14ac:dyDescent="0.25">
      <c r="A27" s="58">
        <v>15</v>
      </c>
      <c r="B27" s="59" t="s">
        <v>51</v>
      </c>
      <c r="C27" s="60">
        <f>-'2. RC'!E13/'2. RC'!E12</f>
        <v>5.4677214531019688E-2</v>
      </c>
      <c r="D27" s="61">
        <v>5.3963741427641612E-2</v>
      </c>
      <c r="E27" s="61">
        <v>6.7837574701178849E-2</v>
      </c>
      <c r="F27" s="61">
        <v>6.7439657670493272E-2</v>
      </c>
      <c r="G27" s="62">
        <v>6.8102870081933622E-2</v>
      </c>
    </row>
    <row r="28" spans="1:7" ht="15" x14ac:dyDescent="0.25">
      <c r="A28" s="58">
        <v>16</v>
      </c>
      <c r="B28" s="59" t="s">
        <v>52</v>
      </c>
      <c r="C28" s="60">
        <f>'2. RC'!D12/'2. RC'!E12</f>
        <v>0.61322293379588433</v>
      </c>
      <c r="D28" s="61">
        <v>0.60906466379004665</v>
      </c>
      <c r="E28" s="61">
        <v>0.59247359557113433</v>
      </c>
      <c r="F28" s="61">
        <v>0.58734311606747069</v>
      </c>
      <c r="G28" s="62">
        <v>0.58183917833908239</v>
      </c>
    </row>
    <row r="29" spans="1:7" ht="15" customHeight="1" x14ac:dyDescent="0.25">
      <c r="A29" s="58">
        <v>17</v>
      </c>
      <c r="B29" s="59" t="s">
        <v>53</v>
      </c>
      <c r="C29" s="60">
        <f>'2. RC'!D20/'2. RC'!E20</f>
        <v>0.60332776039229008</v>
      </c>
      <c r="D29" s="61">
        <v>0.59237605022710837</v>
      </c>
      <c r="E29" s="61">
        <v>0.57824609957243633</v>
      </c>
      <c r="F29" s="61">
        <v>0.56651575688460065</v>
      </c>
      <c r="G29" s="62">
        <v>0.55064467670105388</v>
      </c>
    </row>
    <row r="30" spans="1:7" ht="15" x14ac:dyDescent="0.25">
      <c r="A30" s="58">
        <v>18</v>
      </c>
      <c r="B30" s="59" t="s">
        <v>54</v>
      </c>
      <c r="C30" s="60">
        <v>7.6100377495003273E-3</v>
      </c>
      <c r="D30" s="61">
        <v>0.17853816962819949</v>
      </c>
      <c r="E30" s="61">
        <v>0.1199585379078497</v>
      </c>
      <c r="F30" s="61">
        <v>7.4410624316078866E-2</v>
      </c>
      <c r="G30" s="62">
        <v>3.5698723025868219E-2</v>
      </c>
    </row>
    <row r="31" spans="1:7" ht="15" customHeight="1" x14ac:dyDescent="0.25">
      <c r="A31" s="35"/>
      <c r="B31" s="36" t="s">
        <v>55</v>
      </c>
      <c r="C31" s="56"/>
      <c r="D31" s="56"/>
      <c r="E31" s="56"/>
      <c r="F31" s="56"/>
      <c r="G31" s="57"/>
    </row>
    <row r="32" spans="1:7" ht="15" customHeight="1" x14ac:dyDescent="0.25">
      <c r="A32" s="58">
        <v>19</v>
      </c>
      <c r="B32" s="59" t="s">
        <v>56</v>
      </c>
      <c r="C32" s="60">
        <v>0.21002217714485491</v>
      </c>
      <c r="D32" s="63">
        <v>0.22443361438561152</v>
      </c>
      <c r="E32" s="60">
        <v>0.22193499831760022</v>
      </c>
      <c r="F32" s="60">
        <v>0.19620111173767418</v>
      </c>
      <c r="G32" s="64">
        <v>0.18480733631856588</v>
      </c>
    </row>
    <row r="33" spans="1:7" ht="15" customHeight="1" x14ac:dyDescent="0.25">
      <c r="A33" s="58">
        <v>20</v>
      </c>
      <c r="B33" s="59" t="s">
        <v>57</v>
      </c>
      <c r="C33" s="60">
        <f>'2. RC'!D31/'2. RC'!E31</f>
        <v>0.67879205773521678</v>
      </c>
      <c r="D33" s="63">
        <v>0.65163661836705256</v>
      </c>
      <c r="E33" s="60">
        <v>0.63706106432366538</v>
      </c>
      <c r="F33" s="60">
        <v>0.59599686044091804</v>
      </c>
      <c r="G33" s="64">
        <v>0.60297664905160531</v>
      </c>
    </row>
    <row r="34" spans="1:7" ht="15" x14ac:dyDescent="0.25">
      <c r="A34" s="58">
        <v>21</v>
      </c>
      <c r="B34" s="65" t="s">
        <v>58</v>
      </c>
      <c r="C34" s="60">
        <f>('2. RC'!E23+'2. RC'!E24)/'2. RC'!E20</f>
        <v>0.41131175259801867</v>
      </c>
      <c r="D34" s="60">
        <v>0.4375335542983817</v>
      </c>
      <c r="E34" s="60">
        <v>0.41823592464080278</v>
      </c>
      <c r="F34" s="60">
        <v>0.42671311014664604</v>
      </c>
      <c r="G34" s="64">
        <v>0.4263006892164915</v>
      </c>
    </row>
    <row r="35" spans="1:7" ht="15" x14ac:dyDescent="0.25">
      <c r="A35" s="66"/>
      <c r="B35" s="36" t="s">
        <v>59</v>
      </c>
      <c r="C35" s="37"/>
      <c r="D35" s="37"/>
      <c r="E35" s="37"/>
      <c r="F35" s="37"/>
      <c r="G35" s="38"/>
    </row>
    <row r="36" spans="1:7" ht="15" customHeight="1" x14ac:dyDescent="0.25">
      <c r="A36" s="58">
        <v>22</v>
      </c>
      <c r="B36" s="67" t="s">
        <v>60</v>
      </c>
      <c r="C36" s="68">
        <f>'14. LCR'!H23</f>
        <v>182406152.37841693</v>
      </c>
      <c r="D36" s="68">
        <v>178068288.89281896</v>
      </c>
      <c r="E36" s="68">
        <v>174272851.6386371</v>
      </c>
      <c r="F36" s="68">
        <v>152659646.98564747</v>
      </c>
      <c r="G36" s="539">
        <v>150509788.78674278</v>
      </c>
    </row>
    <row r="37" spans="1:7" ht="15" x14ac:dyDescent="0.25">
      <c r="A37" s="58">
        <v>23</v>
      </c>
      <c r="B37" s="69" t="s">
        <v>61</v>
      </c>
      <c r="C37" s="68">
        <f>'14. LCR'!$H$24</f>
        <v>158849134.94813639</v>
      </c>
      <c r="D37" s="70">
        <v>146477087.64507362</v>
      </c>
      <c r="E37" s="70">
        <v>143725543.21857831</v>
      </c>
      <c r="F37" s="70">
        <v>136318045.96331206</v>
      </c>
      <c r="G37" s="540">
        <v>140158471.51823699</v>
      </c>
    </row>
    <row r="38" spans="1:7" thickBot="1" x14ac:dyDescent="0.3">
      <c r="A38" s="71">
        <v>24</v>
      </c>
      <c r="B38" s="72" t="s">
        <v>62</v>
      </c>
      <c r="C38" s="73">
        <f>C36/C37</f>
        <v>1.1482980529794626</v>
      </c>
      <c r="D38" s="73">
        <v>1.2156733299087259</v>
      </c>
      <c r="E38" s="73">
        <v>1.2125391752640819</v>
      </c>
      <c r="F38" s="73">
        <v>1.119878486423826</v>
      </c>
      <c r="G38" s="541">
        <v>1.0738543818035209</v>
      </c>
    </row>
    <row r="39" spans="1:7" x14ac:dyDescent="0.3">
      <c r="A39" s="74"/>
    </row>
    <row r="40" spans="1:7" ht="69" customHeight="1" x14ac:dyDescent="0.3">
      <c r="B40" s="76" t="s">
        <v>63</v>
      </c>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zoomScaleNormal="100" workbookViewId="0">
      <pane xSplit="1" ySplit="5" topLeftCell="B36" activePane="bottomRight" state="frozen"/>
      <selection activeCell="C9" sqref="C9"/>
      <selection pane="topRight" activeCell="C9" sqref="C9"/>
      <selection pane="bottomLeft" activeCell="C9" sqref="C9"/>
      <selection pane="bottomRight" activeCell="C9" sqref="C9"/>
    </sheetView>
  </sheetViews>
  <sheetFormatPr defaultRowHeight="15" x14ac:dyDescent="0.25"/>
  <cols>
    <col min="1" max="1" width="9.5703125" style="23" bestFit="1" customWidth="1"/>
    <col min="2" max="2" width="55.140625" style="23" bestFit="1" customWidth="1"/>
    <col min="3" max="3" width="14.42578125" style="23" bestFit="1" customWidth="1"/>
    <col min="4" max="4" width="14.7109375" style="23" bestFit="1" customWidth="1"/>
    <col min="5" max="6" width="14.42578125" style="23" bestFit="1" customWidth="1"/>
    <col min="7" max="7" width="14" style="23" bestFit="1" customWidth="1"/>
    <col min="8" max="8" width="14.5703125" style="23" customWidth="1"/>
  </cols>
  <sheetData>
    <row r="1" spans="1:8" ht="15.75" x14ac:dyDescent="0.3">
      <c r="A1" s="24" t="s">
        <v>29</v>
      </c>
      <c r="B1" s="23" t="str">
        <f>'1. key ratios'!B1</f>
        <v>სს ტერაბანკი</v>
      </c>
    </row>
    <row r="2" spans="1:8" ht="15.75" x14ac:dyDescent="0.3">
      <c r="A2" s="24" t="s">
        <v>31</v>
      </c>
      <c r="B2" s="77">
        <f>'1. key ratios'!B2</f>
        <v>43555</v>
      </c>
    </row>
    <row r="3" spans="1:8" ht="15.75" x14ac:dyDescent="0.3">
      <c r="A3" s="24"/>
    </row>
    <row r="4" spans="1:8" ht="16.5" thickBot="1" x14ac:dyDescent="0.35">
      <c r="A4" s="78" t="s">
        <v>64</v>
      </c>
      <c r="B4" s="79" t="s">
        <v>65</v>
      </c>
      <c r="C4" s="78"/>
      <c r="D4" s="80"/>
      <c r="E4" s="80"/>
      <c r="F4" s="78"/>
      <c r="G4" s="80"/>
      <c r="H4" s="81" t="s">
        <v>66</v>
      </c>
    </row>
    <row r="5" spans="1:8" ht="15.75" x14ac:dyDescent="0.3">
      <c r="A5" s="82"/>
      <c r="B5" s="83"/>
      <c r="C5" s="546" t="s">
        <v>67</v>
      </c>
      <c r="D5" s="547"/>
      <c r="E5" s="548"/>
      <c r="F5" s="546" t="s">
        <v>68</v>
      </c>
      <c r="G5" s="547"/>
      <c r="H5" s="549"/>
    </row>
    <row r="6" spans="1:8" ht="15.75" x14ac:dyDescent="0.3">
      <c r="A6" s="84" t="s">
        <v>33</v>
      </c>
      <c r="B6" s="85" t="s">
        <v>69</v>
      </c>
      <c r="C6" s="86" t="s">
        <v>70</v>
      </c>
      <c r="D6" s="86" t="s">
        <v>71</v>
      </c>
      <c r="E6" s="86" t="s">
        <v>72</v>
      </c>
      <c r="F6" s="86" t="s">
        <v>70</v>
      </c>
      <c r="G6" s="86" t="s">
        <v>71</v>
      </c>
      <c r="H6" s="87" t="s">
        <v>72</v>
      </c>
    </row>
    <row r="7" spans="1:8" ht="15.75" x14ac:dyDescent="0.3">
      <c r="A7" s="84">
        <v>1</v>
      </c>
      <c r="B7" s="88" t="s">
        <v>73</v>
      </c>
      <c r="C7" s="89">
        <v>14456005.65</v>
      </c>
      <c r="D7" s="89">
        <v>18110717.010000013</v>
      </c>
      <c r="E7" s="90">
        <f>C7+D7</f>
        <v>32566722.660000011</v>
      </c>
      <c r="F7" s="89">
        <v>13582471.529999999</v>
      </c>
      <c r="G7" s="89">
        <v>22788197.82</v>
      </c>
      <c r="H7" s="91">
        <f>F7+G7</f>
        <v>36370669.350000001</v>
      </c>
    </row>
    <row r="8" spans="1:8" ht="15.75" x14ac:dyDescent="0.3">
      <c r="A8" s="84">
        <v>2</v>
      </c>
      <c r="B8" s="88" t="s">
        <v>74</v>
      </c>
      <c r="C8" s="89">
        <v>7213818.4399999995</v>
      </c>
      <c r="D8" s="89">
        <v>122410136.77</v>
      </c>
      <c r="E8" s="90">
        <f t="shared" ref="E8:E20" si="0">C8+D8</f>
        <v>129623955.20999999</v>
      </c>
      <c r="F8" s="89">
        <v>15792069.23</v>
      </c>
      <c r="G8" s="89">
        <v>67375611.650000006</v>
      </c>
      <c r="H8" s="91">
        <f t="shared" ref="H8:H40" si="1">F8+G8</f>
        <v>83167680.88000001</v>
      </c>
    </row>
    <row r="9" spans="1:8" ht="15.75" x14ac:dyDescent="0.3">
      <c r="A9" s="84">
        <v>3</v>
      </c>
      <c r="B9" s="88" t="s">
        <v>75</v>
      </c>
      <c r="C9" s="89">
        <v>64251.05</v>
      </c>
      <c r="D9" s="89">
        <v>28074728.529999997</v>
      </c>
      <c r="E9" s="90">
        <f t="shared" si="0"/>
        <v>28138979.579999998</v>
      </c>
      <c r="F9" s="89">
        <v>249664.27</v>
      </c>
      <c r="G9" s="89">
        <v>26291037.470000003</v>
      </c>
      <c r="H9" s="91">
        <f t="shared" si="1"/>
        <v>26540701.740000002</v>
      </c>
    </row>
    <row r="10" spans="1:8" ht="15.75" x14ac:dyDescent="0.3">
      <c r="A10" s="84">
        <v>4</v>
      </c>
      <c r="B10" s="88" t="s">
        <v>76</v>
      </c>
      <c r="C10" s="89">
        <v>0</v>
      </c>
      <c r="D10" s="89">
        <v>0</v>
      </c>
      <c r="E10" s="90">
        <f t="shared" si="0"/>
        <v>0</v>
      </c>
      <c r="F10" s="89">
        <v>0</v>
      </c>
      <c r="G10" s="89">
        <v>0</v>
      </c>
      <c r="H10" s="91">
        <f t="shared" si="1"/>
        <v>0</v>
      </c>
    </row>
    <row r="11" spans="1:8" ht="15.75" x14ac:dyDescent="0.3">
      <c r="A11" s="84">
        <v>5</v>
      </c>
      <c r="B11" s="88" t="s">
        <v>77</v>
      </c>
      <c r="C11" s="89">
        <v>50060374.970000006</v>
      </c>
      <c r="D11" s="89">
        <v>0</v>
      </c>
      <c r="E11" s="90">
        <f t="shared" si="0"/>
        <v>50060374.970000006</v>
      </c>
      <c r="F11" s="89">
        <v>45152249.909999996</v>
      </c>
      <c r="G11" s="89">
        <v>0</v>
      </c>
      <c r="H11" s="91">
        <f t="shared" si="1"/>
        <v>45152249.909999996</v>
      </c>
    </row>
    <row r="12" spans="1:8" ht="15.75" x14ac:dyDescent="0.3">
      <c r="A12" s="84">
        <v>6.1</v>
      </c>
      <c r="B12" s="92" t="s">
        <v>78</v>
      </c>
      <c r="C12" s="89">
        <v>271536149.61999941</v>
      </c>
      <c r="D12" s="89">
        <v>430512067.16000074</v>
      </c>
      <c r="E12" s="90">
        <f t="shared" si="0"/>
        <v>702048216.78000021</v>
      </c>
      <c r="F12" s="89">
        <v>256039861.6400007</v>
      </c>
      <c r="G12" s="89">
        <v>356260115.7299999</v>
      </c>
      <c r="H12" s="91">
        <f t="shared" si="1"/>
        <v>612299977.3700006</v>
      </c>
    </row>
    <row r="13" spans="1:8" ht="15.75" x14ac:dyDescent="0.3">
      <c r="A13" s="84">
        <v>6.2</v>
      </c>
      <c r="B13" s="92" t="s">
        <v>79</v>
      </c>
      <c r="C13" s="93">
        <v>-17803016.109999053</v>
      </c>
      <c r="D13" s="93">
        <v>-20583024.850000832</v>
      </c>
      <c r="E13" s="94">
        <f t="shared" si="0"/>
        <v>-38386040.959999889</v>
      </c>
      <c r="F13" s="93">
        <v>-17935183.45000026</v>
      </c>
      <c r="G13" s="93">
        <v>-23764202.359999791</v>
      </c>
      <c r="H13" s="94">
        <f t="shared" si="1"/>
        <v>-41699385.810000047</v>
      </c>
    </row>
    <row r="14" spans="1:8" ht="15.75" x14ac:dyDescent="0.3">
      <c r="A14" s="84">
        <v>6</v>
      </c>
      <c r="B14" s="88" t="s">
        <v>80</v>
      </c>
      <c r="C14" s="90">
        <f>C12+C13</f>
        <v>253733133.51000035</v>
      </c>
      <c r="D14" s="90">
        <f>D12+D13</f>
        <v>409929042.30999988</v>
      </c>
      <c r="E14" s="90">
        <f t="shared" si="0"/>
        <v>663662175.82000017</v>
      </c>
      <c r="F14" s="90">
        <f>F12+F13</f>
        <v>238104678.19000044</v>
      </c>
      <c r="G14" s="90">
        <f>G12+G13</f>
        <v>332495913.37000012</v>
      </c>
      <c r="H14" s="91">
        <f t="shared" si="1"/>
        <v>570600591.56000054</v>
      </c>
    </row>
    <row r="15" spans="1:8" ht="15.75" x14ac:dyDescent="0.3">
      <c r="A15" s="84">
        <v>7</v>
      </c>
      <c r="B15" s="88" t="s">
        <v>81</v>
      </c>
      <c r="C15" s="89">
        <v>2955352.7199999946</v>
      </c>
      <c r="D15" s="89">
        <v>3119601.0999999968</v>
      </c>
      <c r="E15" s="90">
        <f t="shared" si="0"/>
        <v>6074953.819999991</v>
      </c>
      <c r="F15" s="89">
        <v>2105543.4</v>
      </c>
      <c r="G15" s="89">
        <v>2125550.1799999997</v>
      </c>
      <c r="H15" s="91">
        <f t="shared" si="1"/>
        <v>4231093.58</v>
      </c>
    </row>
    <row r="16" spans="1:8" ht="15.75" x14ac:dyDescent="0.3">
      <c r="A16" s="84">
        <v>8</v>
      </c>
      <c r="B16" s="88" t="s">
        <v>82</v>
      </c>
      <c r="C16" s="89">
        <v>884778.9100000005</v>
      </c>
      <c r="D16" s="89">
        <v>0</v>
      </c>
      <c r="E16" s="90">
        <f t="shared" si="0"/>
        <v>884778.9100000005</v>
      </c>
      <c r="F16" s="89">
        <v>5391923.4099999983</v>
      </c>
      <c r="G16" s="89">
        <v>0</v>
      </c>
      <c r="H16" s="91">
        <f t="shared" si="1"/>
        <v>5391923.4099999983</v>
      </c>
    </row>
    <row r="17" spans="1:8" ht="15.75" x14ac:dyDescent="0.3">
      <c r="A17" s="84">
        <v>9</v>
      </c>
      <c r="B17" s="88" t="s">
        <v>83</v>
      </c>
      <c r="C17" s="89">
        <v>0</v>
      </c>
      <c r="D17" s="89">
        <v>0</v>
      </c>
      <c r="E17" s="90">
        <f t="shared" si="0"/>
        <v>0</v>
      </c>
      <c r="F17" s="89">
        <v>0</v>
      </c>
      <c r="G17" s="89">
        <v>0</v>
      </c>
      <c r="H17" s="91">
        <f t="shared" si="1"/>
        <v>0</v>
      </c>
    </row>
    <row r="18" spans="1:8" ht="15.75" x14ac:dyDescent="0.3">
      <c r="A18" s="84">
        <v>10</v>
      </c>
      <c r="B18" s="88" t="s">
        <v>84</v>
      </c>
      <c r="C18" s="89">
        <v>48403883.669999979</v>
      </c>
      <c r="D18" s="89">
        <v>0</v>
      </c>
      <c r="E18" s="90">
        <f t="shared" si="0"/>
        <v>48403883.669999979</v>
      </c>
      <c r="F18" s="89">
        <v>45161892.469999999</v>
      </c>
      <c r="G18" s="89">
        <v>0</v>
      </c>
      <c r="H18" s="91">
        <f t="shared" si="1"/>
        <v>45161892.469999999</v>
      </c>
    </row>
    <row r="19" spans="1:8" ht="15.75" x14ac:dyDescent="0.3">
      <c r="A19" s="84">
        <v>11</v>
      </c>
      <c r="B19" s="88" t="s">
        <v>85</v>
      </c>
      <c r="C19" s="89">
        <v>4890698.0649999995</v>
      </c>
      <c r="D19" s="89">
        <v>374790.42</v>
      </c>
      <c r="E19" s="90">
        <f t="shared" si="0"/>
        <v>5265488.4849999994</v>
      </c>
      <c r="F19" s="89">
        <v>3929553.8446</v>
      </c>
      <c r="G19" s="89">
        <v>1676118.6499999997</v>
      </c>
      <c r="H19" s="91">
        <f t="shared" si="1"/>
        <v>5605672.4945999999</v>
      </c>
    </row>
    <row r="20" spans="1:8" ht="15.75" x14ac:dyDescent="0.3">
      <c r="A20" s="84">
        <v>12</v>
      </c>
      <c r="B20" s="95" t="s">
        <v>86</v>
      </c>
      <c r="C20" s="90">
        <f>SUM(C7:C11)+SUM(C14:C19)</f>
        <v>382662296.98500031</v>
      </c>
      <c r="D20" s="90">
        <f>SUM(D7:D11)+SUM(D14:D19)</f>
        <v>582019016.13999987</v>
      </c>
      <c r="E20" s="90">
        <f t="shared" si="0"/>
        <v>964681313.12500024</v>
      </c>
      <c r="F20" s="90">
        <f>SUM(F7:F11)+SUM(F14:F19)</f>
        <v>369470046.25460047</v>
      </c>
      <c r="G20" s="90">
        <f>SUM(G7:G11)+SUM(G14:G19)</f>
        <v>452752429.1400001</v>
      </c>
      <c r="H20" s="91">
        <f t="shared" si="1"/>
        <v>822222475.39460063</v>
      </c>
    </row>
    <row r="21" spans="1:8" ht="15.75" x14ac:dyDescent="0.3">
      <c r="A21" s="84"/>
      <c r="B21" s="85" t="s">
        <v>87</v>
      </c>
      <c r="C21" s="96"/>
      <c r="D21" s="96"/>
      <c r="E21" s="96"/>
      <c r="F21" s="96"/>
      <c r="G21" s="96"/>
      <c r="H21" s="97"/>
    </row>
    <row r="22" spans="1:8" ht="15.75" x14ac:dyDescent="0.3">
      <c r="A22" s="84">
        <v>13</v>
      </c>
      <c r="B22" s="88" t="s">
        <v>88</v>
      </c>
      <c r="C22" s="89">
        <v>41402.009999999995</v>
      </c>
      <c r="D22" s="89">
        <v>247178.13</v>
      </c>
      <c r="E22" s="90">
        <f>C22+D22</f>
        <v>288580.14</v>
      </c>
      <c r="F22" s="89">
        <v>5124.9399999999996</v>
      </c>
      <c r="G22" s="89">
        <v>7717172.2199999997</v>
      </c>
      <c r="H22" s="91">
        <f t="shared" si="1"/>
        <v>7722297.1600000001</v>
      </c>
    </row>
    <row r="23" spans="1:8" ht="15.75" x14ac:dyDescent="0.3">
      <c r="A23" s="84">
        <v>14</v>
      </c>
      <c r="B23" s="88" t="s">
        <v>89</v>
      </c>
      <c r="C23" s="89">
        <v>55159929.439999864</v>
      </c>
      <c r="D23" s="89">
        <v>128613396.31000192</v>
      </c>
      <c r="E23" s="90">
        <f t="shared" ref="E23:E40" si="2">C23+D23</f>
        <v>183773325.75000179</v>
      </c>
      <c r="F23" s="89">
        <v>46060347.169998795</v>
      </c>
      <c r="G23" s="89">
        <v>75239221.310009181</v>
      </c>
      <c r="H23" s="91">
        <f t="shared" si="1"/>
        <v>121299568.48000798</v>
      </c>
    </row>
    <row r="24" spans="1:8" ht="15.75" x14ac:dyDescent="0.3">
      <c r="A24" s="84">
        <v>15</v>
      </c>
      <c r="B24" s="88" t="s">
        <v>90</v>
      </c>
      <c r="C24" s="89">
        <v>58740595.819999978</v>
      </c>
      <c r="D24" s="89">
        <v>154270840.03000012</v>
      </c>
      <c r="E24" s="90">
        <f t="shared" si="2"/>
        <v>213011435.85000008</v>
      </c>
      <c r="F24" s="89">
        <v>98741791.939999998</v>
      </c>
      <c r="G24" s="89">
        <v>130472647.53</v>
      </c>
      <c r="H24" s="91">
        <f t="shared" si="1"/>
        <v>229214439.47</v>
      </c>
    </row>
    <row r="25" spans="1:8" ht="15.75" x14ac:dyDescent="0.3">
      <c r="A25" s="84">
        <v>16</v>
      </c>
      <c r="B25" s="88" t="s">
        <v>91</v>
      </c>
      <c r="C25" s="89">
        <v>75098267.609999999</v>
      </c>
      <c r="D25" s="89">
        <v>180741789.70000029</v>
      </c>
      <c r="E25" s="90">
        <f t="shared" si="2"/>
        <v>255840057.3100003</v>
      </c>
      <c r="F25" s="89">
        <v>65551862.149999999</v>
      </c>
      <c r="G25" s="89">
        <v>155877000.9300001</v>
      </c>
      <c r="H25" s="91">
        <f t="shared" si="1"/>
        <v>221428863.0800001</v>
      </c>
    </row>
    <row r="26" spans="1:8" ht="15.75" x14ac:dyDescent="0.3">
      <c r="A26" s="84">
        <v>17</v>
      </c>
      <c r="B26" s="88" t="s">
        <v>92</v>
      </c>
      <c r="C26" s="89">
        <v>0</v>
      </c>
      <c r="D26" s="89">
        <v>0</v>
      </c>
      <c r="E26" s="90">
        <f t="shared" si="2"/>
        <v>0</v>
      </c>
      <c r="F26" s="89">
        <v>0</v>
      </c>
      <c r="G26" s="89">
        <v>0</v>
      </c>
      <c r="H26" s="91">
        <f t="shared" si="1"/>
        <v>0</v>
      </c>
    </row>
    <row r="27" spans="1:8" ht="15.75" x14ac:dyDescent="0.3">
      <c r="A27" s="84">
        <v>18</v>
      </c>
      <c r="B27" s="88" t="s">
        <v>93</v>
      </c>
      <c r="C27" s="89">
        <v>69055000</v>
      </c>
      <c r="D27" s="89">
        <v>30967303</v>
      </c>
      <c r="E27" s="90">
        <f t="shared" si="2"/>
        <v>100022303</v>
      </c>
      <c r="F27" s="89">
        <v>61055000</v>
      </c>
      <c r="G27" s="89">
        <v>6627528</v>
      </c>
      <c r="H27" s="91">
        <f t="shared" si="1"/>
        <v>67682528</v>
      </c>
    </row>
    <row r="28" spans="1:8" ht="15.75" x14ac:dyDescent="0.3">
      <c r="A28" s="84">
        <v>19</v>
      </c>
      <c r="B28" s="88" t="s">
        <v>94</v>
      </c>
      <c r="C28" s="89">
        <v>2533854.4499999993</v>
      </c>
      <c r="D28" s="89">
        <v>2324627.839999998</v>
      </c>
      <c r="E28" s="90">
        <f t="shared" si="2"/>
        <v>4858482.2899999972</v>
      </c>
      <c r="F28" s="89">
        <v>2266193.2199999997</v>
      </c>
      <c r="G28" s="89">
        <v>1333522.8999999999</v>
      </c>
      <c r="H28" s="91">
        <f t="shared" si="1"/>
        <v>3599716.1199999996</v>
      </c>
    </row>
    <row r="29" spans="1:8" ht="15.75" x14ac:dyDescent="0.3">
      <c r="A29" s="84">
        <v>20</v>
      </c>
      <c r="B29" s="88" t="s">
        <v>95</v>
      </c>
      <c r="C29" s="89">
        <v>6212691.320000004</v>
      </c>
      <c r="D29" s="89">
        <v>17587786.399999999</v>
      </c>
      <c r="E29" s="90">
        <f t="shared" si="2"/>
        <v>23800477.720000003</v>
      </c>
      <c r="F29" s="89">
        <v>4723024.71</v>
      </c>
      <c r="G29" s="89">
        <v>10062521.619999999</v>
      </c>
      <c r="H29" s="91">
        <f t="shared" si="1"/>
        <v>14785546.329999998</v>
      </c>
    </row>
    <row r="30" spans="1:8" ht="15.75" x14ac:dyDescent="0.3">
      <c r="A30" s="84">
        <v>21</v>
      </c>
      <c r="B30" s="88" t="s">
        <v>96</v>
      </c>
      <c r="C30" s="89">
        <v>0</v>
      </c>
      <c r="D30" s="89">
        <v>49149866.759999998</v>
      </c>
      <c r="E30" s="90">
        <f t="shared" si="2"/>
        <v>49149866.759999998</v>
      </c>
      <c r="F30" s="89">
        <v>0</v>
      </c>
      <c r="G30" s="89">
        <v>35493665.600000001</v>
      </c>
      <c r="H30" s="91">
        <f t="shared" si="1"/>
        <v>35493665.600000001</v>
      </c>
    </row>
    <row r="31" spans="1:8" ht="15.75" x14ac:dyDescent="0.3">
      <c r="A31" s="84">
        <v>22</v>
      </c>
      <c r="B31" s="95" t="s">
        <v>97</v>
      </c>
      <c r="C31" s="90">
        <f>SUM(C22:C30)</f>
        <v>266841740.6499998</v>
      </c>
      <c r="D31" s="90">
        <f>SUM(D22:D30)</f>
        <v>563902788.17000234</v>
      </c>
      <c r="E31" s="90">
        <f>C31+D31</f>
        <v>830744528.82000208</v>
      </c>
      <c r="F31" s="90">
        <f>SUM(F22:F30)</f>
        <v>278403344.1299988</v>
      </c>
      <c r="G31" s="90">
        <f>SUM(G22:G30)</f>
        <v>422823280.11000931</v>
      </c>
      <c r="H31" s="91">
        <f t="shared" si="1"/>
        <v>701226624.24000812</v>
      </c>
    </row>
    <row r="32" spans="1:8" ht="15.75" x14ac:dyDescent="0.3">
      <c r="A32" s="84"/>
      <c r="B32" s="85" t="s">
        <v>98</v>
      </c>
      <c r="C32" s="96"/>
      <c r="D32" s="96"/>
      <c r="E32" s="89"/>
      <c r="F32" s="96"/>
      <c r="G32" s="96"/>
      <c r="H32" s="97"/>
    </row>
    <row r="33" spans="1:8" ht="15.75" x14ac:dyDescent="0.3">
      <c r="A33" s="84">
        <v>23</v>
      </c>
      <c r="B33" s="88" t="s">
        <v>99</v>
      </c>
      <c r="C33" s="89">
        <v>121372000</v>
      </c>
      <c r="D33" s="96"/>
      <c r="E33" s="90">
        <f t="shared" si="2"/>
        <v>121372000</v>
      </c>
      <c r="F33" s="89">
        <v>121372000</v>
      </c>
      <c r="G33" s="96"/>
      <c r="H33" s="91">
        <f t="shared" si="1"/>
        <v>121372000</v>
      </c>
    </row>
    <row r="34" spans="1:8" ht="15.75" x14ac:dyDescent="0.3">
      <c r="A34" s="84">
        <v>24</v>
      </c>
      <c r="B34" s="88" t="s">
        <v>100</v>
      </c>
      <c r="C34" s="89">
        <v>0</v>
      </c>
      <c r="D34" s="96"/>
      <c r="E34" s="90">
        <f t="shared" si="2"/>
        <v>0</v>
      </c>
      <c r="F34" s="89">
        <v>0</v>
      </c>
      <c r="G34" s="96"/>
      <c r="H34" s="91">
        <f t="shared" si="1"/>
        <v>0</v>
      </c>
    </row>
    <row r="35" spans="1:8" ht="15.75" x14ac:dyDescent="0.3">
      <c r="A35" s="84">
        <v>25</v>
      </c>
      <c r="B35" s="92" t="s">
        <v>101</v>
      </c>
      <c r="C35" s="89">
        <v>0</v>
      </c>
      <c r="D35" s="96"/>
      <c r="E35" s="90">
        <f t="shared" si="2"/>
        <v>0</v>
      </c>
      <c r="F35" s="89">
        <v>0</v>
      </c>
      <c r="G35" s="96"/>
      <c r="H35" s="91">
        <f t="shared" si="1"/>
        <v>0</v>
      </c>
    </row>
    <row r="36" spans="1:8" ht="15.75" x14ac:dyDescent="0.3">
      <c r="A36" s="84">
        <v>26</v>
      </c>
      <c r="B36" s="88" t="s">
        <v>102</v>
      </c>
      <c r="C36" s="89">
        <v>0</v>
      </c>
      <c r="D36" s="96"/>
      <c r="E36" s="90">
        <f t="shared" si="2"/>
        <v>0</v>
      </c>
      <c r="F36" s="89">
        <v>0</v>
      </c>
      <c r="G36" s="96"/>
      <c r="H36" s="91">
        <f t="shared" si="1"/>
        <v>0</v>
      </c>
    </row>
    <row r="37" spans="1:8" ht="15.75" x14ac:dyDescent="0.3">
      <c r="A37" s="84">
        <v>27</v>
      </c>
      <c r="B37" s="88" t="s">
        <v>103</v>
      </c>
      <c r="C37" s="89">
        <v>0</v>
      </c>
      <c r="D37" s="96"/>
      <c r="E37" s="90">
        <f t="shared" si="2"/>
        <v>0</v>
      </c>
      <c r="F37" s="89">
        <v>0</v>
      </c>
      <c r="G37" s="96"/>
      <c r="H37" s="91">
        <f t="shared" si="1"/>
        <v>0</v>
      </c>
    </row>
    <row r="38" spans="1:8" ht="15.75" x14ac:dyDescent="0.3">
      <c r="A38" s="84">
        <v>28</v>
      </c>
      <c r="B38" s="88" t="s">
        <v>104</v>
      </c>
      <c r="C38" s="89">
        <v>12564783.779999988</v>
      </c>
      <c r="D38" s="96"/>
      <c r="E38" s="90">
        <f t="shared" si="2"/>
        <v>12564783.779999988</v>
      </c>
      <c r="F38" s="89">
        <v>-376149.87999999151</v>
      </c>
      <c r="G38" s="96"/>
      <c r="H38" s="91">
        <f t="shared" si="1"/>
        <v>-376149.87999999151</v>
      </c>
    </row>
    <row r="39" spans="1:8" ht="15.75" x14ac:dyDescent="0.3">
      <c r="A39" s="84">
        <v>29</v>
      </c>
      <c r="B39" s="88" t="s">
        <v>105</v>
      </c>
      <c r="C39" s="89">
        <v>0</v>
      </c>
      <c r="D39" s="96"/>
      <c r="E39" s="90">
        <f t="shared" si="2"/>
        <v>0</v>
      </c>
      <c r="F39" s="89">
        <v>0</v>
      </c>
      <c r="G39" s="96"/>
      <c r="H39" s="91">
        <f t="shared" si="1"/>
        <v>0</v>
      </c>
    </row>
    <row r="40" spans="1:8" ht="15.75" x14ac:dyDescent="0.3">
      <c r="A40" s="84">
        <v>30</v>
      </c>
      <c r="B40" s="95" t="s">
        <v>106</v>
      </c>
      <c r="C40" s="89">
        <v>133936783.77999999</v>
      </c>
      <c r="D40" s="96"/>
      <c r="E40" s="90">
        <f t="shared" si="2"/>
        <v>133936783.77999999</v>
      </c>
      <c r="F40" s="89">
        <v>120995850.12</v>
      </c>
      <c r="G40" s="96"/>
      <c r="H40" s="91">
        <f t="shared" si="1"/>
        <v>120995850.12</v>
      </c>
    </row>
    <row r="41" spans="1:8" ht="16.5" thickBot="1" x14ac:dyDescent="0.35">
      <c r="A41" s="98">
        <v>31</v>
      </c>
      <c r="B41" s="99" t="s">
        <v>107</v>
      </c>
      <c r="C41" s="100">
        <f>C31+C40</f>
        <v>400778524.42999977</v>
      </c>
      <c r="D41" s="100">
        <f>D31+D40</f>
        <v>563902788.17000234</v>
      </c>
      <c r="E41" s="100">
        <f>C41+D41</f>
        <v>964681312.60000205</v>
      </c>
      <c r="F41" s="100">
        <f>F31+F40</f>
        <v>399399194.24999881</v>
      </c>
      <c r="G41" s="100">
        <f>G31+G40</f>
        <v>422823280.11000931</v>
      </c>
      <c r="H41" s="101">
        <f>F41+G41</f>
        <v>822222474.36000812</v>
      </c>
    </row>
    <row r="42" spans="1:8" x14ac:dyDescent="0.25">
      <c r="C42" s="102"/>
      <c r="D42" s="102"/>
      <c r="E42" s="102"/>
      <c r="F42" s="102"/>
      <c r="G42" s="102"/>
      <c r="H42" s="102"/>
    </row>
    <row r="43" spans="1:8" x14ac:dyDescent="0.25">
      <c r="B43" s="103"/>
    </row>
  </sheetData>
  <mergeCells count="2">
    <mergeCell ref="C5:E5"/>
    <mergeCell ref="F5:H5"/>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zoomScaleNormal="100" workbookViewId="0">
      <pane xSplit="1" ySplit="6" topLeftCell="B58" activePane="bottomRight" state="frozen"/>
      <selection activeCell="C9" sqref="C9"/>
      <selection pane="topRight" activeCell="C9" sqref="C9"/>
      <selection pane="bottomLeft" activeCell="C9" sqref="C9"/>
      <selection pane="bottomRight" activeCell="C9" sqref="C9"/>
    </sheetView>
  </sheetViews>
  <sheetFormatPr defaultColWidth="9.140625" defaultRowHeight="15" x14ac:dyDescent="0.25"/>
  <cols>
    <col min="1" max="1" width="9.5703125" style="23" bestFit="1" customWidth="1"/>
    <col min="2" max="2" width="89.140625" style="23" customWidth="1"/>
    <col min="3" max="8" width="12.7109375" style="23" customWidth="1"/>
    <col min="9" max="9" width="8.85546875" customWidth="1"/>
    <col min="10" max="10" width="12.5703125" style="123" bestFit="1" customWidth="1"/>
    <col min="11" max="16384" width="9.140625" style="123"/>
  </cols>
  <sheetData>
    <row r="1" spans="1:8" ht="15.75" x14ac:dyDescent="0.3">
      <c r="A1" s="24" t="s">
        <v>29</v>
      </c>
      <c r="B1" s="23" t="str">
        <f>'1. key ratios'!B1</f>
        <v>სს ტერაბანკი</v>
      </c>
      <c r="C1" s="25"/>
      <c r="F1" s="25"/>
    </row>
    <row r="2" spans="1:8" ht="15.75" x14ac:dyDescent="0.3">
      <c r="A2" s="24" t="s">
        <v>31</v>
      </c>
      <c r="B2" s="77">
        <f>'1. key ratios'!B2</f>
        <v>43555</v>
      </c>
      <c r="C2" s="27"/>
      <c r="D2" s="28"/>
      <c r="E2" s="28"/>
      <c r="F2" s="27"/>
      <c r="G2" s="28"/>
      <c r="H2" s="28"/>
    </row>
    <row r="3" spans="1:8" ht="15.75" x14ac:dyDescent="0.3">
      <c r="A3" s="24"/>
      <c r="B3" s="25"/>
      <c r="C3" s="27"/>
      <c r="D3" s="28"/>
      <c r="E3" s="28"/>
      <c r="F3" s="27"/>
      <c r="G3" s="28"/>
      <c r="H3" s="28"/>
    </row>
    <row r="4" spans="1:8" ht="16.5" thickBot="1" x14ac:dyDescent="0.35">
      <c r="A4" s="104" t="s">
        <v>108</v>
      </c>
      <c r="B4" s="105" t="s">
        <v>109</v>
      </c>
      <c r="C4" s="106"/>
      <c r="D4" s="106"/>
      <c r="E4" s="106"/>
      <c r="F4" s="106"/>
      <c r="G4" s="106"/>
      <c r="H4" s="107" t="s">
        <v>66</v>
      </c>
    </row>
    <row r="5" spans="1:8" ht="15.75" x14ac:dyDescent="0.3">
      <c r="A5" s="108"/>
      <c r="B5" s="109"/>
      <c r="C5" s="546" t="s">
        <v>67</v>
      </c>
      <c r="D5" s="547"/>
      <c r="E5" s="548"/>
      <c r="F5" s="546" t="s">
        <v>68</v>
      </c>
      <c r="G5" s="547"/>
      <c r="H5" s="549"/>
    </row>
    <row r="6" spans="1:8" x14ac:dyDescent="0.25">
      <c r="A6" s="110" t="s">
        <v>33</v>
      </c>
      <c r="B6" s="111"/>
      <c r="C6" s="112" t="s">
        <v>70</v>
      </c>
      <c r="D6" s="112" t="s">
        <v>110</v>
      </c>
      <c r="E6" s="112" t="s">
        <v>72</v>
      </c>
      <c r="F6" s="112" t="s">
        <v>70</v>
      </c>
      <c r="G6" s="112" t="s">
        <v>110</v>
      </c>
      <c r="H6" s="113" t="s">
        <v>72</v>
      </c>
    </row>
    <row r="7" spans="1:8" x14ac:dyDescent="0.25">
      <c r="A7" s="114"/>
      <c r="B7" s="115" t="s">
        <v>111</v>
      </c>
      <c r="C7" s="116"/>
      <c r="D7" s="116"/>
      <c r="E7" s="116"/>
      <c r="F7" s="116"/>
      <c r="G7" s="116"/>
      <c r="H7" s="117"/>
    </row>
    <row r="8" spans="1:8" ht="15.75" x14ac:dyDescent="0.3">
      <c r="A8" s="114">
        <v>1</v>
      </c>
      <c r="B8" s="118" t="s">
        <v>112</v>
      </c>
      <c r="C8" s="119">
        <v>165008.60999999999</v>
      </c>
      <c r="D8" s="120">
        <v>85671.459999999992</v>
      </c>
      <c r="E8" s="90">
        <f>C8+D8</f>
        <v>250680.06999999998</v>
      </c>
      <c r="F8" s="119">
        <v>137392.87</v>
      </c>
      <c r="G8" s="120">
        <v>120893.99</v>
      </c>
      <c r="H8" s="91">
        <f>F8+G8</f>
        <v>258286.86</v>
      </c>
    </row>
    <row r="9" spans="1:8" ht="15.75" x14ac:dyDescent="0.3">
      <c r="A9" s="114">
        <v>2</v>
      </c>
      <c r="B9" s="118" t="s">
        <v>113</v>
      </c>
      <c r="C9" s="121">
        <f>SUM(C10:C18)</f>
        <v>8253069.4700000007</v>
      </c>
      <c r="D9" s="121">
        <f>SUM(D10:D18)</f>
        <v>8585699.3000000007</v>
      </c>
      <c r="E9" s="90">
        <f>C9+D9</f>
        <v>16838768.770000003</v>
      </c>
      <c r="F9" s="121">
        <f>SUM(F10:F18)</f>
        <v>7533687.6300000008</v>
      </c>
      <c r="G9" s="121">
        <f>SUM(G10:G18)</f>
        <v>7698516.4400000004</v>
      </c>
      <c r="H9" s="91">
        <f t="shared" ref="H9:H67" si="0">F9+G9</f>
        <v>15232204.07</v>
      </c>
    </row>
    <row r="10" spans="1:8" ht="15.75" x14ac:dyDescent="0.3">
      <c r="A10" s="114">
        <v>2.1</v>
      </c>
      <c r="B10" s="122" t="s">
        <v>114</v>
      </c>
      <c r="C10" s="119">
        <v>0</v>
      </c>
      <c r="D10" s="119">
        <v>0</v>
      </c>
      <c r="E10" s="90">
        <f t="shared" ref="E10:E67" si="1">C10+D10</f>
        <v>0</v>
      </c>
      <c r="F10" s="119">
        <v>0</v>
      </c>
      <c r="G10" s="119">
        <v>0</v>
      </c>
      <c r="H10" s="91">
        <f t="shared" si="0"/>
        <v>0</v>
      </c>
    </row>
    <row r="11" spans="1:8" ht="15.75" x14ac:dyDescent="0.3">
      <c r="A11" s="114">
        <v>2.2000000000000002</v>
      </c>
      <c r="B11" s="122" t="s">
        <v>115</v>
      </c>
      <c r="C11" s="119">
        <v>1405467.1600000001</v>
      </c>
      <c r="D11" s="119">
        <v>3166474.23</v>
      </c>
      <c r="E11" s="90">
        <f t="shared" si="1"/>
        <v>4571941.3900000006</v>
      </c>
      <c r="F11" s="119">
        <v>1586331.15</v>
      </c>
      <c r="G11" s="119">
        <v>3080869.8200000003</v>
      </c>
      <c r="H11" s="91">
        <f t="shared" si="0"/>
        <v>4667200.9700000007</v>
      </c>
    </row>
    <row r="12" spans="1:8" ht="15.75" x14ac:dyDescent="0.3">
      <c r="A12" s="114">
        <v>2.2999999999999998</v>
      </c>
      <c r="B12" s="122" t="s">
        <v>116</v>
      </c>
      <c r="C12" s="119">
        <v>0</v>
      </c>
      <c r="D12" s="119">
        <v>58915.63</v>
      </c>
      <c r="E12" s="90">
        <f t="shared" si="1"/>
        <v>58915.63</v>
      </c>
      <c r="F12" s="119">
        <v>0</v>
      </c>
      <c r="G12" s="119">
        <v>63333.43</v>
      </c>
      <c r="H12" s="91">
        <f t="shared" si="0"/>
        <v>63333.43</v>
      </c>
    </row>
    <row r="13" spans="1:8" ht="15.75" x14ac:dyDescent="0.3">
      <c r="A13" s="114">
        <v>2.4</v>
      </c>
      <c r="B13" s="122" t="s">
        <v>117</v>
      </c>
      <c r="C13" s="119">
        <v>214171.51999999996</v>
      </c>
      <c r="D13" s="119">
        <v>74319.53</v>
      </c>
      <c r="E13" s="90">
        <f t="shared" si="1"/>
        <v>288491.04999999993</v>
      </c>
      <c r="F13" s="119">
        <v>214602.63</v>
      </c>
      <c r="G13" s="119">
        <v>86796.39</v>
      </c>
      <c r="H13" s="91">
        <f t="shared" si="0"/>
        <v>301399.02</v>
      </c>
    </row>
    <row r="14" spans="1:8" ht="15.75" x14ac:dyDescent="0.3">
      <c r="A14" s="114">
        <v>2.5</v>
      </c>
      <c r="B14" s="122" t="s">
        <v>118</v>
      </c>
      <c r="C14" s="119">
        <v>100842.31999999998</v>
      </c>
      <c r="D14" s="119">
        <v>881052.18</v>
      </c>
      <c r="E14" s="90">
        <f t="shared" si="1"/>
        <v>981894.5</v>
      </c>
      <c r="F14" s="119">
        <v>165590.94</v>
      </c>
      <c r="G14" s="119">
        <v>894706.96000000008</v>
      </c>
      <c r="H14" s="91">
        <f t="shared" si="0"/>
        <v>1060297.9000000001</v>
      </c>
    </row>
    <row r="15" spans="1:8" ht="15.75" x14ac:dyDescent="0.3">
      <c r="A15" s="114">
        <v>2.6</v>
      </c>
      <c r="B15" s="122" t="s">
        <v>119</v>
      </c>
      <c r="C15" s="119">
        <v>599.98</v>
      </c>
      <c r="D15" s="119">
        <v>577.32999999999993</v>
      </c>
      <c r="E15" s="90">
        <f t="shared" si="1"/>
        <v>1177.31</v>
      </c>
      <c r="F15" s="119">
        <v>-36.159999999999997</v>
      </c>
      <c r="G15" s="119">
        <v>5285.72</v>
      </c>
      <c r="H15" s="91">
        <f t="shared" si="0"/>
        <v>5249.56</v>
      </c>
    </row>
    <row r="16" spans="1:8" ht="15.75" x14ac:dyDescent="0.3">
      <c r="A16" s="114">
        <v>2.7</v>
      </c>
      <c r="B16" s="122" t="s">
        <v>120</v>
      </c>
      <c r="C16" s="119">
        <v>150.22</v>
      </c>
      <c r="D16" s="119">
        <v>331939.81</v>
      </c>
      <c r="E16" s="90">
        <f t="shared" si="1"/>
        <v>332090.02999999997</v>
      </c>
      <c r="F16" s="119">
        <v>1042.3899999999999</v>
      </c>
      <c r="G16" s="119">
        <v>36907.160000000003</v>
      </c>
      <c r="H16" s="91">
        <f t="shared" si="0"/>
        <v>37949.550000000003</v>
      </c>
    </row>
    <row r="17" spans="1:10" ht="15.75" x14ac:dyDescent="0.3">
      <c r="A17" s="114">
        <v>2.8</v>
      </c>
      <c r="B17" s="122" t="s">
        <v>121</v>
      </c>
      <c r="C17" s="119">
        <v>5365059.0100000007</v>
      </c>
      <c r="D17" s="119">
        <v>3449766.8000000012</v>
      </c>
      <c r="E17" s="90">
        <f t="shared" si="1"/>
        <v>8814825.8100000024</v>
      </c>
      <c r="F17" s="119">
        <v>4015649.12</v>
      </c>
      <c r="G17" s="119">
        <v>2551236.0699999998</v>
      </c>
      <c r="H17" s="91">
        <f t="shared" si="0"/>
        <v>6566885.1899999995</v>
      </c>
    </row>
    <row r="18" spans="1:10" ht="15.75" x14ac:dyDescent="0.3">
      <c r="A18" s="114">
        <v>2.9</v>
      </c>
      <c r="B18" s="122" t="s">
        <v>122</v>
      </c>
      <c r="C18" s="119">
        <v>1166779.2599999998</v>
      </c>
      <c r="D18" s="119">
        <v>622653.7899999998</v>
      </c>
      <c r="E18" s="90">
        <f t="shared" si="1"/>
        <v>1789433.0499999996</v>
      </c>
      <c r="F18" s="119">
        <v>1550507.56</v>
      </c>
      <c r="G18" s="119">
        <v>979380.8899999999</v>
      </c>
      <c r="H18" s="91">
        <f t="shared" si="0"/>
        <v>2529888.4500000002</v>
      </c>
    </row>
    <row r="19" spans="1:10" ht="15.75" x14ac:dyDescent="0.3">
      <c r="A19" s="114">
        <v>3</v>
      </c>
      <c r="B19" s="118" t="s">
        <v>123</v>
      </c>
      <c r="C19" s="119">
        <v>328511.12999999977</v>
      </c>
      <c r="D19" s="119">
        <v>306568.90000000002</v>
      </c>
      <c r="E19" s="90">
        <f t="shared" si="1"/>
        <v>635080.0299999998</v>
      </c>
      <c r="F19" s="119">
        <v>296720.53000000003</v>
      </c>
      <c r="G19" s="119">
        <v>228690.85</v>
      </c>
      <c r="H19" s="91">
        <f t="shared" si="0"/>
        <v>525411.38</v>
      </c>
    </row>
    <row r="20" spans="1:10" ht="15.75" x14ac:dyDescent="0.3">
      <c r="A20" s="114">
        <v>4</v>
      </c>
      <c r="B20" s="118" t="s">
        <v>124</v>
      </c>
      <c r="C20" s="119">
        <v>1074193.6499999999</v>
      </c>
      <c r="D20" s="119">
        <v>0</v>
      </c>
      <c r="E20" s="90">
        <f t="shared" si="1"/>
        <v>1074193.6499999999</v>
      </c>
      <c r="F20" s="119">
        <v>1050561.49</v>
      </c>
      <c r="G20" s="119">
        <v>0</v>
      </c>
      <c r="H20" s="91">
        <f t="shared" si="0"/>
        <v>1050561.49</v>
      </c>
    </row>
    <row r="21" spans="1:10" ht="15.75" x14ac:dyDescent="0.3">
      <c r="A21" s="114">
        <v>5</v>
      </c>
      <c r="B21" s="118" t="s">
        <v>125</v>
      </c>
      <c r="C21" s="119">
        <v>207147.03</v>
      </c>
      <c r="D21" s="119">
        <v>94425.81</v>
      </c>
      <c r="E21" s="90">
        <f t="shared" si="1"/>
        <v>301572.83999999997</v>
      </c>
      <c r="F21" s="119">
        <v>310215.11</v>
      </c>
      <c r="G21" s="119">
        <v>118218.07</v>
      </c>
      <c r="H21" s="91">
        <f>F21+G21</f>
        <v>428433.18</v>
      </c>
    </row>
    <row r="22" spans="1:10" ht="15.75" x14ac:dyDescent="0.3">
      <c r="A22" s="114">
        <v>6</v>
      </c>
      <c r="B22" s="124" t="s">
        <v>126</v>
      </c>
      <c r="C22" s="121">
        <f>C8+C9+C19+C20+C21</f>
        <v>10027929.889999999</v>
      </c>
      <c r="D22" s="121">
        <f>D8+D9+D19+D20+D21</f>
        <v>9072365.4700000025</v>
      </c>
      <c r="E22" s="90">
        <f>C22+D22</f>
        <v>19100295.359999999</v>
      </c>
      <c r="F22" s="121">
        <f>F8+F9+F19+F20+F21</f>
        <v>9328577.6300000008</v>
      </c>
      <c r="G22" s="121">
        <f>G8+G9+G19+G20+G21</f>
        <v>8166319.3500000006</v>
      </c>
      <c r="H22" s="91">
        <f>F22+G22</f>
        <v>17494896.98</v>
      </c>
      <c r="J22" s="125"/>
    </row>
    <row r="23" spans="1:10" ht="15.75" x14ac:dyDescent="0.3">
      <c r="A23" s="114"/>
      <c r="B23" s="115" t="s">
        <v>127</v>
      </c>
      <c r="C23" s="119"/>
      <c r="D23" s="119"/>
      <c r="E23" s="89"/>
      <c r="F23" s="119"/>
      <c r="G23" s="119"/>
      <c r="H23" s="97"/>
    </row>
    <row r="24" spans="1:10" ht="15.75" x14ac:dyDescent="0.3">
      <c r="A24" s="114">
        <v>7</v>
      </c>
      <c r="B24" s="118" t="s">
        <v>128</v>
      </c>
      <c r="C24" s="119">
        <v>1278327.2399999998</v>
      </c>
      <c r="D24" s="119">
        <v>914877.05</v>
      </c>
      <c r="E24" s="90">
        <f t="shared" si="1"/>
        <v>2193204.29</v>
      </c>
      <c r="F24" s="119">
        <v>1551156.29</v>
      </c>
      <c r="G24" s="119">
        <v>841168.08000000007</v>
      </c>
      <c r="H24" s="91">
        <f t="shared" si="0"/>
        <v>2392324.37</v>
      </c>
    </row>
    <row r="25" spans="1:10" ht="15.75" x14ac:dyDescent="0.3">
      <c r="A25" s="114">
        <v>8</v>
      </c>
      <c r="B25" s="118" t="s">
        <v>129</v>
      </c>
      <c r="C25" s="119">
        <v>2169937.6199999996</v>
      </c>
      <c r="D25" s="119">
        <v>1964811.5</v>
      </c>
      <c r="E25" s="90">
        <f t="shared" si="1"/>
        <v>4134749.1199999996</v>
      </c>
      <c r="F25" s="119">
        <v>2010471.8</v>
      </c>
      <c r="G25" s="119">
        <v>1550661.1600000001</v>
      </c>
      <c r="H25" s="91">
        <f t="shared" si="0"/>
        <v>3561132.96</v>
      </c>
    </row>
    <row r="26" spans="1:10" ht="15.75" x14ac:dyDescent="0.3">
      <c r="A26" s="114">
        <v>9</v>
      </c>
      <c r="B26" s="118" t="s">
        <v>130</v>
      </c>
      <c r="C26" s="119">
        <v>3875.33</v>
      </c>
      <c r="D26" s="119">
        <v>127.5</v>
      </c>
      <c r="E26" s="90">
        <f t="shared" si="1"/>
        <v>4002.83</v>
      </c>
      <c r="F26" s="119">
        <v>113447.96</v>
      </c>
      <c r="G26" s="119">
        <v>32709.72</v>
      </c>
      <c r="H26" s="91">
        <f t="shared" si="0"/>
        <v>146157.68</v>
      </c>
      <c r="J26" s="126"/>
    </row>
    <row r="27" spans="1:10" ht="15.75" x14ac:dyDescent="0.3">
      <c r="A27" s="114">
        <v>10</v>
      </c>
      <c r="B27" s="118" t="s">
        <v>131</v>
      </c>
      <c r="C27" s="119">
        <v>0</v>
      </c>
      <c r="D27" s="119">
        <v>0</v>
      </c>
      <c r="E27" s="90">
        <f t="shared" si="1"/>
        <v>0</v>
      </c>
      <c r="F27" s="119">
        <v>0</v>
      </c>
      <c r="G27" s="119">
        <v>0</v>
      </c>
      <c r="H27" s="91">
        <f t="shared" si="0"/>
        <v>0</v>
      </c>
    </row>
    <row r="28" spans="1:10" ht="15.75" x14ac:dyDescent="0.3">
      <c r="A28" s="114">
        <v>11</v>
      </c>
      <c r="B28" s="118" t="s">
        <v>132</v>
      </c>
      <c r="C28" s="119">
        <v>1324851.3700000001</v>
      </c>
      <c r="D28" s="119">
        <v>986435.57000000007</v>
      </c>
      <c r="E28" s="90">
        <f t="shared" si="1"/>
        <v>2311286.9400000004</v>
      </c>
      <c r="F28" s="119">
        <v>1394102.94</v>
      </c>
      <c r="G28" s="119">
        <v>692276.58</v>
      </c>
      <c r="H28" s="91">
        <f t="shared" si="0"/>
        <v>2086379.52</v>
      </c>
    </row>
    <row r="29" spans="1:10" ht="15.75" x14ac:dyDescent="0.3">
      <c r="A29" s="114">
        <v>12</v>
      </c>
      <c r="B29" s="118" t="s">
        <v>133</v>
      </c>
      <c r="C29" s="119">
        <v>0</v>
      </c>
      <c r="D29" s="119">
        <v>0</v>
      </c>
      <c r="E29" s="90">
        <f t="shared" si="1"/>
        <v>0</v>
      </c>
      <c r="F29" s="119">
        <v>0</v>
      </c>
      <c r="G29" s="119">
        <v>0</v>
      </c>
      <c r="H29" s="91">
        <f t="shared" si="0"/>
        <v>0</v>
      </c>
    </row>
    <row r="30" spans="1:10" ht="15.75" x14ac:dyDescent="0.3">
      <c r="A30" s="114">
        <v>13</v>
      </c>
      <c r="B30" s="127" t="s">
        <v>134</v>
      </c>
      <c r="C30" s="121">
        <f>SUM(C24:C29)</f>
        <v>4776991.5599999996</v>
      </c>
      <c r="D30" s="121">
        <f>SUM(D24:D29)</f>
        <v>3866251.62</v>
      </c>
      <c r="E30" s="90">
        <f t="shared" si="1"/>
        <v>8643243.1799999997</v>
      </c>
      <c r="F30" s="121">
        <f>SUM(F24:F29)</f>
        <v>5069178.99</v>
      </c>
      <c r="G30" s="121">
        <f>SUM(G24:G29)</f>
        <v>3116815.5400000005</v>
      </c>
      <c r="H30" s="91">
        <f t="shared" si="0"/>
        <v>8185994.5300000012</v>
      </c>
    </row>
    <row r="31" spans="1:10" ht="15.75" x14ac:dyDescent="0.3">
      <c r="A31" s="114">
        <v>14</v>
      </c>
      <c r="B31" s="127" t="s">
        <v>135</v>
      </c>
      <c r="C31" s="121">
        <f>C22-C30</f>
        <v>5250938.3299999991</v>
      </c>
      <c r="D31" s="121">
        <f>D22-D30</f>
        <v>5206113.8500000024</v>
      </c>
      <c r="E31" s="90">
        <f t="shared" si="1"/>
        <v>10457052.180000002</v>
      </c>
      <c r="F31" s="121">
        <f>F22-F30</f>
        <v>4259398.6400000006</v>
      </c>
      <c r="G31" s="121">
        <f>G22-G30</f>
        <v>5049503.8100000005</v>
      </c>
      <c r="H31" s="91">
        <f t="shared" si="0"/>
        <v>9308902.4500000011</v>
      </c>
    </row>
    <row r="32" spans="1:10" x14ac:dyDescent="0.25">
      <c r="A32" s="114"/>
      <c r="B32" s="115"/>
      <c r="C32" s="128"/>
      <c r="D32" s="128"/>
      <c r="E32" s="128"/>
      <c r="F32" s="128"/>
      <c r="G32" s="128"/>
      <c r="H32" s="129"/>
    </row>
    <row r="33" spans="1:8" ht="15.75" x14ac:dyDescent="0.3">
      <c r="A33" s="114"/>
      <c r="B33" s="115" t="s">
        <v>136</v>
      </c>
      <c r="C33" s="119"/>
      <c r="D33" s="119"/>
      <c r="E33" s="89"/>
      <c r="F33" s="119"/>
      <c r="G33" s="119"/>
      <c r="H33" s="97"/>
    </row>
    <row r="34" spans="1:8" ht="15.75" x14ac:dyDescent="0.3">
      <c r="A34" s="114">
        <v>15</v>
      </c>
      <c r="B34" s="130" t="s">
        <v>137</v>
      </c>
      <c r="C34" s="121">
        <f>C35-C36</f>
        <v>817863.08000000042</v>
      </c>
      <c r="D34" s="121">
        <f>D35-D36</f>
        <v>204719.45999999996</v>
      </c>
      <c r="E34" s="90">
        <f t="shared" si="1"/>
        <v>1022582.5400000004</v>
      </c>
      <c r="F34" s="121">
        <f>F35-F36</f>
        <v>860203.58000000031</v>
      </c>
      <c r="G34" s="121">
        <f>G35-G36</f>
        <v>338162.18000000017</v>
      </c>
      <c r="H34" s="91">
        <f t="shared" si="0"/>
        <v>1198365.7600000005</v>
      </c>
    </row>
    <row r="35" spans="1:8" ht="15.75" x14ac:dyDescent="0.3">
      <c r="A35" s="114">
        <v>15.1</v>
      </c>
      <c r="B35" s="122" t="s">
        <v>138</v>
      </c>
      <c r="C35" s="119">
        <v>1279793.1700000004</v>
      </c>
      <c r="D35" s="119">
        <v>917949.71</v>
      </c>
      <c r="E35" s="90">
        <f t="shared" si="1"/>
        <v>2197742.8800000004</v>
      </c>
      <c r="F35" s="119">
        <v>1272010.0500000003</v>
      </c>
      <c r="G35" s="119">
        <v>856381.89000000013</v>
      </c>
      <c r="H35" s="91">
        <f t="shared" si="0"/>
        <v>2128391.9400000004</v>
      </c>
    </row>
    <row r="36" spans="1:8" ht="15.75" x14ac:dyDescent="0.3">
      <c r="A36" s="114">
        <v>15.2</v>
      </c>
      <c r="B36" s="122" t="s">
        <v>139</v>
      </c>
      <c r="C36" s="119">
        <v>461930.08999999997</v>
      </c>
      <c r="D36" s="119">
        <v>713230.25</v>
      </c>
      <c r="E36" s="90">
        <f t="shared" si="1"/>
        <v>1175160.3399999999</v>
      </c>
      <c r="F36" s="119">
        <v>411806.47000000003</v>
      </c>
      <c r="G36" s="119">
        <v>518219.70999999996</v>
      </c>
      <c r="H36" s="91">
        <f t="shared" si="0"/>
        <v>930026.17999999993</v>
      </c>
    </row>
    <row r="37" spans="1:8" ht="15.75" x14ac:dyDescent="0.3">
      <c r="A37" s="114">
        <v>16</v>
      </c>
      <c r="B37" s="118" t="s">
        <v>140</v>
      </c>
      <c r="C37" s="119">
        <v>0</v>
      </c>
      <c r="D37" s="119">
        <v>0</v>
      </c>
      <c r="E37" s="90">
        <f t="shared" si="1"/>
        <v>0</v>
      </c>
      <c r="F37" s="119">
        <v>0</v>
      </c>
      <c r="G37" s="119">
        <v>0</v>
      </c>
      <c r="H37" s="91">
        <f t="shared" si="0"/>
        <v>0</v>
      </c>
    </row>
    <row r="38" spans="1:8" ht="15.75" x14ac:dyDescent="0.3">
      <c r="A38" s="114">
        <v>17</v>
      </c>
      <c r="B38" s="118" t="s">
        <v>141</v>
      </c>
      <c r="C38" s="119">
        <v>0</v>
      </c>
      <c r="D38" s="119">
        <v>0</v>
      </c>
      <c r="E38" s="90">
        <f t="shared" si="1"/>
        <v>0</v>
      </c>
      <c r="F38" s="119">
        <v>0</v>
      </c>
      <c r="G38" s="119">
        <v>0</v>
      </c>
      <c r="H38" s="91">
        <f t="shared" si="0"/>
        <v>0</v>
      </c>
    </row>
    <row r="39" spans="1:8" ht="15.75" x14ac:dyDescent="0.3">
      <c r="A39" s="114">
        <v>18</v>
      </c>
      <c r="B39" s="118" t="s">
        <v>142</v>
      </c>
      <c r="C39" s="119">
        <v>0</v>
      </c>
      <c r="D39" s="119">
        <v>0</v>
      </c>
      <c r="E39" s="90">
        <f t="shared" si="1"/>
        <v>0</v>
      </c>
      <c r="F39" s="119">
        <v>0</v>
      </c>
      <c r="G39" s="119">
        <v>0</v>
      </c>
      <c r="H39" s="91">
        <f t="shared" si="0"/>
        <v>0</v>
      </c>
    </row>
    <row r="40" spans="1:8" ht="15.75" x14ac:dyDescent="0.3">
      <c r="A40" s="114">
        <v>19</v>
      </c>
      <c r="B40" s="118" t="s">
        <v>143</v>
      </c>
      <c r="C40" s="119">
        <v>1180064.1899999995</v>
      </c>
      <c r="D40" s="119">
        <v>0</v>
      </c>
      <c r="E40" s="90">
        <f t="shared" si="1"/>
        <v>1180064.1899999995</v>
      </c>
      <c r="F40" s="119">
        <v>2980854.96</v>
      </c>
      <c r="G40" s="119">
        <v>0</v>
      </c>
      <c r="H40" s="91">
        <f t="shared" si="0"/>
        <v>2980854.96</v>
      </c>
    </row>
    <row r="41" spans="1:8" ht="15.75" x14ac:dyDescent="0.3">
      <c r="A41" s="114">
        <v>20</v>
      </c>
      <c r="B41" s="118" t="s">
        <v>144</v>
      </c>
      <c r="C41" s="119">
        <v>105244.73999999976</v>
      </c>
      <c r="D41" s="119">
        <v>0</v>
      </c>
      <c r="E41" s="90">
        <f t="shared" si="1"/>
        <v>105244.73999999976</v>
      </c>
      <c r="F41" s="119">
        <v>-2630401.7199999997</v>
      </c>
      <c r="G41" s="119">
        <v>0</v>
      </c>
      <c r="H41" s="91">
        <f t="shared" si="0"/>
        <v>-2630401.7199999997</v>
      </c>
    </row>
    <row r="42" spans="1:8" ht="15.75" x14ac:dyDescent="0.3">
      <c r="A42" s="114">
        <v>21</v>
      </c>
      <c r="B42" s="118" t="s">
        <v>145</v>
      </c>
      <c r="C42" s="119">
        <v>11624.05</v>
      </c>
      <c r="D42" s="119">
        <v>0</v>
      </c>
      <c r="E42" s="90">
        <f t="shared" si="1"/>
        <v>11624.05</v>
      </c>
      <c r="F42" s="119">
        <v>19396.09</v>
      </c>
      <c r="G42" s="119">
        <v>0</v>
      </c>
      <c r="H42" s="91">
        <f t="shared" si="0"/>
        <v>19396.09</v>
      </c>
    </row>
    <row r="43" spans="1:8" ht="15.75" x14ac:dyDescent="0.3">
      <c r="A43" s="114">
        <v>22</v>
      </c>
      <c r="B43" s="118" t="s">
        <v>146</v>
      </c>
      <c r="C43" s="119">
        <v>3900</v>
      </c>
      <c r="D43" s="119">
        <v>2174.0500000000002</v>
      </c>
      <c r="E43" s="90">
        <f t="shared" si="1"/>
        <v>6074.05</v>
      </c>
      <c r="F43" s="119">
        <v>11300</v>
      </c>
      <c r="G43" s="119">
        <v>183233.88</v>
      </c>
      <c r="H43" s="91">
        <f t="shared" si="0"/>
        <v>194533.88</v>
      </c>
    </row>
    <row r="44" spans="1:8" ht="15.75" x14ac:dyDescent="0.3">
      <c r="A44" s="114">
        <v>23</v>
      </c>
      <c r="B44" s="118" t="s">
        <v>147</v>
      </c>
      <c r="C44" s="119">
        <v>35712.79</v>
      </c>
      <c r="D44" s="119">
        <v>4050</v>
      </c>
      <c r="E44" s="90">
        <f t="shared" si="1"/>
        <v>39762.79</v>
      </c>
      <c r="F44" s="119">
        <v>83628.92</v>
      </c>
      <c r="G44" s="119">
        <v>76155.88</v>
      </c>
      <c r="H44" s="91">
        <f t="shared" si="0"/>
        <v>159784.79999999999</v>
      </c>
    </row>
    <row r="45" spans="1:8" ht="15.75" x14ac:dyDescent="0.3">
      <c r="A45" s="114">
        <v>24</v>
      </c>
      <c r="B45" s="127" t="s">
        <v>148</v>
      </c>
      <c r="C45" s="121">
        <f>C34+C37+C38+C39+C40+C41+C42+C43+C44</f>
        <v>2154408.8499999996</v>
      </c>
      <c r="D45" s="121">
        <f>D34+D37+D38+D39+D40+D41+D42+D43+D44</f>
        <v>210943.50999999995</v>
      </c>
      <c r="E45" s="90">
        <f t="shared" si="1"/>
        <v>2365352.3599999994</v>
      </c>
      <c r="F45" s="121">
        <f>F34+F37+F38+F39+F40+F41+F42+F43+F44</f>
        <v>1324981.8300000003</v>
      </c>
      <c r="G45" s="121">
        <f>G34+G37+G38+G39+G40+G41+G42+G43+G44</f>
        <v>597551.94000000018</v>
      </c>
      <c r="H45" s="91">
        <f t="shared" si="0"/>
        <v>1922533.7700000005</v>
      </c>
    </row>
    <row r="46" spans="1:8" x14ac:dyDescent="0.25">
      <c r="A46" s="114"/>
      <c r="B46" s="115" t="s">
        <v>149</v>
      </c>
      <c r="C46" s="119"/>
      <c r="D46" s="119"/>
      <c r="E46" s="119"/>
      <c r="F46" s="119"/>
      <c r="G46" s="119"/>
      <c r="H46" s="131"/>
    </row>
    <row r="47" spans="1:8" ht="15.75" x14ac:dyDescent="0.3">
      <c r="A47" s="114">
        <v>25</v>
      </c>
      <c r="B47" s="118" t="s">
        <v>150</v>
      </c>
      <c r="C47" s="119">
        <v>154468.79999999999</v>
      </c>
      <c r="D47" s="119">
        <v>137402.28</v>
      </c>
      <c r="E47" s="90">
        <f t="shared" si="1"/>
        <v>291871.07999999996</v>
      </c>
      <c r="F47" s="119">
        <v>170266.18</v>
      </c>
      <c r="G47" s="119">
        <v>126175.84999999999</v>
      </c>
      <c r="H47" s="91">
        <f t="shared" si="0"/>
        <v>296442.02999999997</v>
      </c>
    </row>
    <row r="48" spans="1:8" ht="15.75" x14ac:dyDescent="0.3">
      <c r="A48" s="114">
        <v>26</v>
      </c>
      <c r="B48" s="118" t="s">
        <v>151</v>
      </c>
      <c r="C48" s="119">
        <v>269445.14000000007</v>
      </c>
      <c r="D48" s="119">
        <v>2630.44</v>
      </c>
      <c r="E48" s="90">
        <f t="shared" si="1"/>
        <v>272075.58000000007</v>
      </c>
      <c r="F48" s="119">
        <v>243355.58</v>
      </c>
      <c r="G48" s="119">
        <v>0</v>
      </c>
      <c r="H48" s="91">
        <f t="shared" si="0"/>
        <v>243355.58</v>
      </c>
    </row>
    <row r="49" spans="1:9" ht="15.75" x14ac:dyDescent="0.3">
      <c r="A49" s="114">
        <v>27</v>
      </c>
      <c r="B49" s="118" t="s">
        <v>152</v>
      </c>
      <c r="C49" s="119">
        <v>3206980.3800000004</v>
      </c>
      <c r="D49" s="119">
        <v>0</v>
      </c>
      <c r="E49" s="90">
        <f t="shared" si="1"/>
        <v>3206980.3800000004</v>
      </c>
      <c r="F49" s="119">
        <v>2497774.6399999997</v>
      </c>
      <c r="G49" s="119">
        <v>0</v>
      </c>
      <c r="H49" s="91">
        <f t="shared" si="0"/>
        <v>2497774.6399999997</v>
      </c>
    </row>
    <row r="50" spans="1:9" ht="15.75" x14ac:dyDescent="0.3">
      <c r="A50" s="114">
        <v>28</v>
      </c>
      <c r="B50" s="118" t="s">
        <v>153</v>
      </c>
      <c r="C50" s="119">
        <v>0</v>
      </c>
      <c r="D50" s="119">
        <v>0</v>
      </c>
      <c r="E50" s="90">
        <f t="shared" si="1"/>
        <v>0</v>
      </c>
      <c r="F50" s="119">
        <v>0</v>
      </c>
      <c r="G50" s="119">
        <v>0</v>
      </c>
      <c r="H50" s="91">
        <f t="shared" si="0"/>
        <v>0</v>
      </c>
    </row>
    <row r="51" spans="1:9" ht="15.75" x14ac:dyDescent="0.3">
      <c r="A51" s="114">
        <v>29</v>
      </c>
      <c r="B51" s="118" t="s">
        <v>154</v>
      </c>
      <c r="C51" s="119">
        <v>1082569.77</v>
      </c>
      <c r="D51" s="119">
        <v>0</v>
      </c>
      <c r="E51" s="90">
        <f t="shared" si="1"/>
        <v>1082569.77</v>
      </c>
      <c r="F51" s="119">
        <v>930970.88</v>
      </c>
      <c r="G51" s="119">
        <v>0</v>
      </c>
      <c r="H51" s="91">
        <f t="shared" si="0"/>
        <v>930970.88</v>
      </c>
    </row>
    <row r="52" spans="1:9" ht="15.75" x14ac:dyDescent="0.3">
      <c r="A52" s="114">
        <v>30</v>
      </c>
      <c r="B52" s="118" t="s">
        <v>155</v>
      </c>
      <c r="C52" s="119">
        <v>928588.99999999977</v>
      </c>
      <c r="D52" s="119">
        <v>7238.64</v>
      </c>
      <c r="E52" s="90">
        <f t="shared" si="1"/>
        <v>935827.63999999978</v>
      </c>
      <c r="F52" s="119">
        <v>1305303.08</v>
      </c>
      <c r="G52" s="119">
        <v>256.86</v>
      </c>
      <c r="H52" s="91">
        <f t="shared" si="0"/>
        <v>1305559.9400000002</v>
      </c>
    </row>
    <row r="53" spans="1:9" ht="15.75" x14ac:dyDescent="0.3">
      <c r="A53" s="114">
        <v>31</v>
      </c>
      <c r="B53" s="127" t="s">
        <v>156</v>
      </c>
      <c r="C53" s="121">
        <f>C47+C48+C49+C50+C51+C52</f>
        <v>5642053.0899999999</v>
      </c>
      <c r="D53" s="121">
        <f>D47+D48+D49+D50+D51+D52</f>
        <v>147271.36000000002</v>
      </c>
      <c r="E53" s="90">
        <f t="shared" si="1"/>
        <v>5789324.4500000002</v>
      </c>
      <c r="F53" s="121">
        <f>F47+F48+F49+F50+F51+F52</f>
        <v>5147670.3599999994</v>
      </c>
      <c r="G53" s="121">
        <f>G47+G48+G49+G50+G51+G52</f>
        <v>126432.70999999999</v>
      </c>
      <c r="H53" s="91">
        <f t="shared" si="0"/>
        <v>5274103.0699999994</v>
      </c>
    </row>
    <row r="54" spans="1:9" ht="15.75" x14ac:dyDescent="0.3">
      <c r="A54" s="114">
        <v>32</v>
      </c>
      <c r="B54" s="127" t="s">
        <v>157</v>
      </c>
      <c r="C54" s="121">
        <f>C45-C53</f>
        <v>-3487644.24</v>
      </c>
      <c r="D54" s="121">
        <f>D45-D53</f>
        <v>63672.149999999936</v>
      </c>
      <c r="E54" s="90">
        <f t="shared" si="1"/>
        <v>-3423972.0900000003</v>
      </c>
      <c r="F54" s="121">
        <f>F45-F53</f>
        <v>-3822688.5299999993</v>
      </c>
      <c r="G54" s="121">
        <f>G45-G53</f>
        <v>471119.23000000021</v>
      </c>
      <c r="H54" s="91">
        <f t="shared" si="0"/>
        <v>-3351569.2999999989</v>
      </c>
    </row>
    <row r="55" spans="1:9" x14ac:dyDescent="0.25">
      <c r="A55" s="114"/>
      <c r="B55" s="115"/>
      <c r="C55" s="128"/>
      <c r="D55" s="128"/>
      <c r="E55" s="128"/>
      <c r="F55" s="128"/>
      <c r="G55" s="128"/>
      <c r="H55" s="129"/>
    </row>
    <row r="56" spans="1:9" ht="15.75" x14ac:dyDescent="0.3">
      <c r="A56" s="114">
        <v>33</v>
      </c>
      <c r="B56" s="127" t="s">
        <v>158</v>
      </c>
      <c r="C56" s="121">
        <f>C31+C54</f>
        <v>1763294.0899999989</v>
      </c>
      <c r="D56" s="121">
        <f>D31+D54</f>
        <v>5269786.0000000028</v>
      </c>
      <c r="E56" s="90">
        <f t="shared" si="1"/>
        <v>7033080.0900000017</v>
      </c>
      <c r="F56" s="121">
        <f>F31+F54</f>
        <v>436710.11000000127</v>
      </c>
      <c r="G56" s="121">
        <f>G31+G54</f>
        <v>5520623.040000001</v>
      </c>
      <c r="H56" s="91">
        <f t="shared" si="0"/>
        <v>5957333.1500000022</v>
      </c>
    </row>
    <row r="57" spans="1:9" x14ac:dyDescent="0.25">
      <c r="A57" s="114"/>
      <c r="B57" s="115"/>
      <c r="C57" s="119"/>
      <c r="D57" s="128"/>
      <c r="E57" s="128"/>
      <c r="F57" s="119"/>
      <c r="G57" s="128"/>
      <c r="H57" s="129"/>
    </row>
    <row r="58" spans="1:9" ht="15.75" x14ac:dyDescent="0.3">
      <c r="A58" s="114">
        <v>34</v>
      </c>
      <c r="B58" s="118" t="s">
        <v>159</v>
      </c>
      <c r="C58" s="119">
        <v>636367.32000000286</v>
      </c>
      <c r="D58" s="119" t="s">
        <v>502</v>
      </c>
      <c r="E58" s="90">
        <f>C58</f>
        <v>636367.32000000286</v>
      </c>
      <c r="F58" s="119">
        <v>-1002016.73</v>
      </c>
      <c r="G58" s="119" t="s">
        <v>502</v>
      </c>
      <c r="H58" s="91">
        <f>F58</f>
        <v>-1002016.73</v>
      </c>
    </row>
    <row r="59" spans="1:9" s="133" customFormat="1" ht="15.75" x14ac:dyDescent="0.3">
      <c r="A59" s="114">
        <v>35</v>
      </c>
      <c r="B59" s="130" t="s">
        <v>160</v>
      </c>
      <c r="C59" s="119">
        <v>0</v>
      </c>
      <c r="D59" s="119" t="s">
        <v>502</v>
      </c>
      <c r="E59" s="90">
        <f>C59</f>
        <v>0</v>
      </c>
      <c r="F59" s="119">
        <v>0</v>
      </c>
      <c r="G59" s="119" t="s">
        <v>502</v>
      </c>
      <c r="H59" s="91">
        <f>F59</f>
        <v>0</v>
      </c>
      <c r="I59" s="132"/>
    </row>
    <row r="60" spans="1:9" ht="15.75" x14ac:dyDescent="0.3">
      <c r="A60" s="114">
        <v>36</v>
      </c>
      <c r="B60" s="118" t="s">
        <v>161</v>
      </c>
      <c r="C60" s="119">
        <v>176660.61</v>
      </c>
      <c r="D60" s="119" t="s">
        <v>502</v>
      </c>
      <c r="E60" s="90">
        <f>C60</f>
        <v>176660.61</v>
      </c>
      <c r="F60" s="119">
        <v>751913.37</v>
      </c>
      <c r="G60" s="119" t="s">
        <v>502</v>
      </c>
      <c r="H60" s="91">
        <f>F60</f>
        <v>751913.37</v>
      </c>
    </row>
    <row r="61" spans="1:9" ht="15.75" x14ac:dyDescent="0.3">
      <c r="A61" s="114">
        <v>37</v>
      </c>
      <c r="B61" s="127" t="s">
        <v>162</v>
      </c>
      <c r="C61" s="121">
        <f>C58+C59+C60</f>
        <v>813027.93000000285</v>
      </c>
      <c r="D61" s="121">
        <v>0</v>
      </c>
      <c r="E61" s="90">
        <f t="shared" si="1"/>
        <v>813027.93000000285</v>
      </c>
      <c r="F61" s="121">
        <f>F58+F59+F60</f>
        <v>-250103.36</v>
      </c>
      <c r="G61" s="121">
        <v>0</v>
      </c>
      <c r="H61" s="91">
        <f t="shared" si="0"/>
        <v>-250103.36</v>
      </c>
    </row>
    <row r="62" spans="1:9" x14ac:dyDescent="0.25">
      <c r="A62" s="114"/>
      <c r="B62" s="134"/>
      <c r="C62" s="119"/>
      <c r="D62" s="119"/>
      <c r="E62" s="119"/>
      <c r="F62" s="119"/>
      <c r="G62" s="119"/>
      <c r="H62" s="131"/>
    </row>
    <row r="63" spans="1:9" ht="15.75" x14ac:dyDescent="0.3">
      <c r="A63" s="114">
        <v>38</v>
      </c>
      <c r="B63" s="135" t="s">
        <v>163</v>
      </c>
      <c r="C63" s="121">
        <f>C56-C61</f>
        <v>950266.15999999607</v>
      </c>
      <c r="D63" s="121">
        <f>D56-D61</f>
        <v>5269786.0000000028</v>
      </c>
      <c r="E63" s="90">
        <f t="shared" si="1"/>
        <v>6220052.1599999992</v>
      </c>
      <c r="F63" s="121">
        <f>F56-F61</f>
        <v>686813.47000000125</v>
      </c>
      <c r="G63" s="121">
        <f>G56-G61</f>
        <v>5520623.040000001</v>
      </c>
      <c r="H63" s="91">
        <f t="shared" si="0"/>
        <v>6207436.5100000026</v>
      </c>
    </row>
    <row r="64" spans="1:9" ht="15.75" x14ac:dyDescent="0.3">
      <c r="A64" s="110">
        <v>39</v>
      </c>
      <c r="B64" s="118" t="s">
        <v>164</v>
      </c>
      <c r="C64" s="119">
        <v>0</v>
      </c>
      <c r="D64" s="119">
        <v>0</v>
      </c>
      <c r="E64" s="90">
        <f t="shared" si="1"/>
        <v>0</v>
      </c>
      <c r="F64" s="119">
        <v>0</v>
      </c>
      <c r="G64" s="119">
        <v>0</v>
      </c>
      <c r="H64" s="91">
        <f t="shared" si="0"/>
        <v>0</v>
      </c>
    </row>
    <row r="65" spans="1:8" ht="15.75" x14ac:dyDescent="0.3">
      <c r="A65" s="114">
        <v>40</v>
      </c>
      <c r="B65" s="127" t="s">
        <v>165</v>
      </c>
      <c r="C65" s="121">
        <f>C63-C64</f>
        <v>950266.15999999607</v>
      </c>
      <c r="D65" s="121">
        <f>D63-D64</f>
        <v>5269786.0000000028</v>
      </c>
      <c r="E65" s="90">
        <f t="shared" si="1"/>
        <v>6220052.1599999992</v>
      </c>
      <c r="F65" s="121">
        <f>F63-F64</f>
        <v>686813.47000000125</v>
      </c>
      <c r="G65" s="121">
        <f>G63-G64</f>
        <v>5520623.040000001</v>
      </c>
      <c r="H65" s="91">
        <f t="shared" si="0"/>
        <v>6207436.5100000026</v>
      </c>
    </row>
    <row r="66" spans="1:8" ht="15.75" x14ac:dyDescent="0.3">
      <c r="A66" s="110">
        <v>41</v>
      </c>
      <c r="B66" s="118" t="s">
        <v>166</v>
      </c>
      <c r="C66" s="119">
        <v>0</v>
      </c>
      <c r="D66" s="119">
        <v>0</v>
      </c>
      <c r="E66" s="90">
        <f t="shared" si="1"/>
        <v>0</v>
      </c>
      <c r="F66" s="119">
        <v>0</v>
      </c>
      <c r="G66" s="119">
        <v>0</v>
      </c>
      <c r="H66" s="91">
        <f t="shared" si="0"/>
        <v>0</v>
      </c>
    </row>
    <row r="67" spans="1:8" ht="16.5" thickBot="1" x14ac:dyDescent="0.35">
      <c r="A67" s="136">
        <v>42</v>
      </c>
      <c r="B67" s="137" t="s">
        <v>167</v>
      </c>
      <c r="C67" s="138">
        <f>C65+C66</f>
        <v>950266.15999999607</v>
      </c>
      <c r="D67" s="138">
        <f>D65+D66</f>
        <v>5269786.0000000028</v>
      </c>
      <c r="E67" s="100">
        <f t="shared" si="1"/>
        <v>6220052.1599999992</v>
      </c>
      <c r="F67" s="138">
        <f>F65+F66</f>
        <v>686813.47000000125</v>
      </c>
      <c r="G67" s="138">
        <f>G65+G66</f>
        <v>5520623.040000001</v>
      </c>
      <c r="H67" s="101">
        <f t="shared" si="0"/>
        <v>6207436.5100000026</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L54"/>
  <sheetViews>
    <sheetView topLeftCell="A52" zoomScaleNormal="100" workbookViewId="0">
      <selection activeCell="C9" sqref="C9"/>
    </sheetView>
  </sheetViews>
  <sheetFormatPr defaultRowHeight="15" x14ac:dyDescent="0.25"/>
  <cols>
    <col min="1" max="1" width="9.5703125" bestFit="1" customWidth="1"/>
    <col min="2" max="2" width="72.28515625" customWidth="1"/>
    <col min="3" max="3" width="14" style="156" bestFit="1" customWidth="1"/>
    <col min="4" max="4" width="14.140625" style="156" customWidth="1"/>
    <col min="5" max="5" width="14.85546875" style="156" customWidth="1"/>
    <col min="6" max="6" width="12.7109375" style="156" customWidth="1"/>
    <col min="7" max="7" width="13.5703125" style="156" bestFit="1" customWidth="1"/>
    <col min="8" max="8" width="14.140625" style="156" customWidth="1"/>
    <col min="9" max="9" width="14.85546875" style="156" customWidth="1"/>
    <col min="10" max="10" width="11.5703125" style="156" bestFit="1" customWidth="1"/>
    <col min="11" max="11" width="11.42578125" customWidth="1"/>
    <col min="12" max="12" width="11.5703125" bestFit="1" customWidth="1"/>
  </cols>
  <sheetData>
    <row r="1" spans="1:10" x14ac:dyDescent="0.25">
      <c r="A1" s="23" t="s">
        <v>29</v>
      </c>
      <c r="B1" s="23" t="str">
        <f>'1. key ratios'!B1</f>
        <v>სს ტერაბანკი</v>
      </c>
      <c r="C1"/>
      <c r="D1"/>
      <c r="E1"/>
      <c r="F1"/>
      <c r="G1"/>
      <c r="H1"/>
      <c r="I1"/>
      <c r="J1"/>
    </row>
    <row r="2" spans="1:10" x14ac:dyDescent="0.25">
      <c r="A2" s="23" t="s">
        <v>31</v>
      </c>
      <c r="B2" s="77">
        <f>'1. key ratios'!B2</f>
        <v>43555</v>
      </c>
      <c r="C2"/>
      <c r="D2"/>
      <c r="E2"/>
      <c r="F2"/>
      <c r="G2"/>
      <c r="H2"/>
      <c r="I2"/>
      <c r="J2"/>
    </row>
    <row r="3" spans="1:10" x14ac:dyDescent="0.25">
      <c r="A3" s="23"/>
      <c r="C3"/>
      <c r="D3"/>
      <c r="E3"/>
      <c r="F3" s="139"/>
      <c r="G3"/>
      <c r="H3"/>
      <c r="I3"/>
      <c r="J3"/>
    </row>
    <row r="4" spans="1:10" ht="16.5" thickBot="1" x14ac:dyDescent="0.35">
      <c r="A4" s="23" t="s">
        <v>168</v>
      </c>
      <c r="B4" s="23"/>
      <c r="C4" s="140"/>
      <c r="D4" s="140"/>
      <c r="E4" s="140"/>
      <c r="F4" s="141"/>
      <c r="G4" s="141"/>
      <c r="H4" s="142" t="s">
        <v>66</v>
      </c>
      <c r="I4"/>
      <c r="J4"/>
    </row>
    <row r="5" spans="1:10" ht="15.75" x14ac:dyDescent="0.3">
      <c r="A5" s="550" t="s">
        <v>33</v>
      </c>
      <c r="B5" s="552" t="s">
        <v>169</v>
      </c>
      <c r="C5" s="554" t="s">
        <v>67</v>
      </c>
      <c r="D5" s="554"/>
      <c r="E5" s="554"/>
      <c r="F5" s="554" t="s">
        <v>68</v>
      </c>
      <c r="G5" s="554"/>
      <c r="H5" s="555"/>
      <c r="I5"/>
      <c r="J5"/>
    </row>
    <row r="6" spans="1:10" x14ac:dyDescent="0.25">
      <c r="A6" s="551"/>
      <c r="B6" s="553"/>
      <c r="C6" s="86" t="s">
        <v>70</v>
      </c>
      <c r="D6" s="86" t="s">
        <v>71</v>
      </c>
      <c r="E6" s="86" t="s">
        <v>72</v>
      </c>
      <c r="F6" s="86" t="s">
        <v>70</v>
      </c>
      <c r="G6" s="86" t="s">
        <v>71</v>
      </c>
      <c r="H6" s="87" t="s">
        <v>72</v>
      </c>
      <c r="I6"/>
      <c r="J6"/>
    </row>
    <row r="7" spans="1:10" s="22" customFormat="1" ht="15.75" x14ac:dyDescent="0.3">
      <c r="A7" s="143">
        <v>1</v>
      </c>
      <c r="B7" s="144" t="s">
        <v>170</v>
      </c>
      <c r="C7" s="89">
        <f>SUM(C8:C11)</f>
        <v>37919824.610000007</v>
      </c>
      <c r="D7" s="89">
        <f>SUM(D8:D11)</f>
        <v>28023587.25</v>
      </c>
      <c r="E7" s="90">
        <f>C7+D7</f>
        <v>65943411.860000007</v>
      </c>
      <c r="F7" s="89">
        <v>54855728.640000001</v>
      </c>
      <c r="G7" s="89">
        <v>31650737.780000001</v>
      </c>
      <c r="H7" s="91">
        <f t="shared" ref="H7:H53" si="0">F7+G7</f>
        <v>86506466.420000002</v>
      </c>
      <c r="I7" s="145"/>
      <c r="J7" s="145"/>
    </row>
    <row r="8" spans="1:10" s="22" customFormat="1" ht="15.75" x14ac:dyDescent="0.3">
      <c r="A8" s="143">
        <v>1.1000000000000001</v>
      </c>
      <c r="B8" s="146" t="s">
        <v>171</v>
      </c>
      <c r="C8" s="89">
        <v>26662912.75</v>
      </c>
      <c r="D8" s="89">
        <v>18149612.239999998</v>
      </c>
      <c r="E8" s="90">
        <f t="shared" ref="E8:E53" si="1">C8+D8</f>
        <v>44812524.989999995</v>
      </c>
      <c r="F8" s="89">
        <v>43784160.259999998</v>
      </c>
      <c r="G8" s="89">
        <v>24853265.5</v>
      </c>
      <c r="H8" s="91">
        <f t="shared" si="0"/>
        <v>68637425.75999999</v>
      </c>
      <c r="I8" s="145"/>
      <c r="J8" s="145"/>
    </row>
    <row r="9" spans="1:10" s="22" customFormat="1" ht="15.75" x14ac:dyDescent="0.3">
      <c r="A9" s="143">
        <v>1.2</v>
      </c>
      <c r="B9" s="146" t="s">
        <v>172</v>
      </c>
      <c r="C9" s="89">
        <v>2295000</v>
      </c>
      <c r="D9" s="89">
        <v>794719.61</v>
      </c>
      <c r="E9" s="90">
        <f t="shared" si="1"/>
        <v>3089719.61</v>
      </c>
      <c r="F9" s="89">
        <v>1954000</v>
      </c>
      <c r="G9" s="89">
        <v>805456.54</v>
      </c>
      <c r="H9" s="91">
        <f t="shared" si="0"/>
        <v>2759456.54</v>
      </c>
      <c r="I9" s="145"/>
      <c r="J9" s="145"/>
    </row>
    <row r="10" spans="1:10" s="22" customFormat="1" ht="15.75" x14ac:dyDescent="0.3">
      <c r="A10" s="143">
        <v>1.3</v>
      </c>
      <c r="B10" s="146" t="s">
        <v>173</v>
      </c>
      <c r="C10" s="89">
        <v>8961911.860000005</v>
      </c>
      <c r="D10" s="89">
        <v>5722968.1400000006</v>
      </c>
      <c r="E10" s="90">
        <f t="shared" si="1"/>
        <v>14684880.000000006</v>
      </c>
      <c r="F10" s="89">
        <v>9117568.3800000045</v>
      </c>
      <c r="G10" s="89">
        <v>5992015.7400000002</v>
      </c>
      <c r="H10" s="91">
        <f t="shared" si="0"/>
        <v>15109584.120000005</v>
      </c>
      <c r="I10" s="145"/>
      <c r="J10" s="145"/>
    </row>
    <row r="11" spans="1:10" s="22" customFormat="1" ht="15.75" x14ac:dyDescent="0.3">
      <c r="A11" s="143">
        <v>1.4</v>
      </c>
      <c r="B11" s="146" t="s">
        <v>174</v>
      </c>
      <c r="C11" s="89">
        <v>0</v>
      </c>
      <c r="D11" s="89">
        <v>3356287.26</v>
      </c>
      <c r="E11" s="90">
        <f t="shared" si="1"/>
        <v>3356287.26</v>
      </c>
      <c r="F11" s="89">
        <v>0</v>
      </c>
      <c r="G11" s="89">
        <v>0</v>
      </c>
      <c r="H11" s="91">
        <f t="shared" si="0"/>
        <v>0</v>
      </c>
      <c r="I11" s="145"/>
      <c r="J11" s="145"/>
    </row>
    <row r="12" spans="1:10" s="22" customFormat="1" ht="29.25" customHeight="1" x14ac:dyDescent="0.3">
      <c r="A12" s="143">
        <v>2</v>
      </c>
      <c r="B12" s="144" t="s">
        <v>175</v>
      </c>
      <c r="C12" s="89">
        <v>0</v>
      </c>
      <c r="D12" s="89">
        <v>3356287.26</v>
      </c>
      <c r="E12" s="90">
        <f t="shared" si="1"/>
        <v>3356287.26</v>
      </c>
      <c r="F12" s="89">
        <v>0</v>
      </c>
      <c r="G12" s="89">
        <v>0</v>
      </c>
      <c r="H12" s="91">
        <f t="shared" si="0"/>
        <v>0</v>
      </c>
      <c r="I12" s="145"/>
      <c r="J12" s="145"/>
    </row>
    <row r="13" spans="1:10" s="22" customFormat="1" ht="25.5" x14ac:dyDescent="0.3">
      <c r="A13" s="143">
        <v>3</v>
      </c>
      <c r="B13" s="144" t="s">
        <v>176</v>
      </c>
      <c r="C13" s="89">
        <v>42149000</v>
      </c>
      <c r="D13" s="89">
        <v>0</v>
      </c>
      <c r="E13" s="90">
        <f t="shared" si="1"/>
        <v>42149000</v>
      </c>
      <c r="F13" s="89">
        <v>31670000</v>
      </c>
      <c r="G13" s="89">
        <v>0</v>
      </c>
      <c r="H13" s="91">
        <f t="shared" si="0"/>
        <v>31670000</v>
      </c>
      <c r="I13" s="145"/>
      <c r="J13" s="145"/>
    </row>
    <row r="14" spans="1:10" s="22" customFormat="1" ht="15.75" x14ac:dyDescent="0.3">
      <c r="A14" s="143">
        <v>3.1</v>
      </c>
      <c r="B14" s="146" t="s">
        <v>177</v>
      </c>
      <c r="C14" s="89">
        <f>C13</f>
        <v>42149000</v>
      </c>
      <c r="D14" s="89">
        <f>D13</f>
        <v>0</v>
      </c>
      <c r="E14" s="90">
        <f t="shared" si="1"/>
        <v>42149000</v>
      </c>
      <c r="F14" s="89">
        <v>31670000</v>
      </c>
      <c r="G14" s="89">
        <v>0</v>
      </c>
      <c r="H14" s="91">
        <f t="shared" si="0"/>
        <v>31670000</v>
      </c>
      <c r="I14" s="145"/>
      <c r="J14" s="145"/>
    </row>
    <row r="15" spans="1:10" s="22" customFormat="1" ht="15.75" x14ac:dyDescent="0.3">
      <c r="A15" s="143">
        <v>3.2</v>
      </c>
      <c r="B15" s="146" t="s">
        <v>178</v>
      </c>
      <c r="C15" s="89"/>
      <c r="D15" s="89"/>
      <c r="E15" s="90">
        <f t="shared" si="1"/>
        <v>0</v>
      </c>
      <c r="F15" s="89">
        <v>0</v>
      </c>
      <c r="G15" s="89">
        <v>0</v>
      </c>
      <c r="H15" s="91">
        <f t="shared" si="0"/>
        <v>0</v>
      </c>
      <c r="I15" s="145"/>
      <c r="J15" s="145"/>
    </row>
    <row r="16" spans="1:10" s="22" customFormat="1" ht="15.75" x14ac:dyDescent="0.3">
      <c r="A16" s="143">
        <v>4</v>
      </c>
      <c r="B16" s="144" t="s">
        <v>179</v>
      </c>
      <c r="C16" s="89">
        <v>176179845.81999999</v>
      </c>
      <c r="D16" s="89">
        <v>366036001.54000056</v>
      </c>
      <c r="E16" s="90">
        <f t="shared" si="1"/>
        <v>542215847.36000061</v>
      </c>
      <c r="F16" s="89">
        <v>174986966.26000056</v>
      </c>
      <c r="G16" s="89">
        <v>290510459.49000072</v>
      </c>
      <c r="H16" s="91">
        <f t="shared" si="0"/>
        <v>465497425.75000131</v>
      </c>
      <c r="J16" s="145"/>
    </row>
    <row r="17" spans="1:10" s="22" customFormat="1" ht="15.75" x14ac:dyDescent="0.3">
      <c r="A17" s="143">
        <v>4.0999999999999996</v>
      </c>
      <c r="B17" s="146" t="s">
        <v>180</v>
      </c>
      <c r="C17" s="89">
        <v>176179845.81999999</v>
      </c>
      <c r="D17" s="89">
        <v>366036001.54000056</v>
      </c>
      <c r="E17" s="90">
        <f t="shared" si="1"/>
        <v>542215847.36000061</v>
      </c>
      <c r="F17" s="89">
        <v>174986966.26000056</v>
      </c>
      <c r="G17" s="89">
        <v>290510459.49000072</v>
      </c>
      <c r="H17" s="91">
        <f t="shared" si="0"/>
        <v>465497425.75000131</v>
      </c>
      <c r="J17" s="145"/>
    </row>
    <row r="18" spans="1:10" s="22" customFormat="1" ht="15.75" x14ac:dyDescent="0.3">
      <c r="A18" s="143">
        <v>4.2</v>
      </c>
      <c r="B18" s="146" t="s">
        <v>181</v>
      </c>
      <c r="C18" s="89">
        <v>0</v>
      </c>
      <c r="D18" s="89">
        <v>0</v>
      </c>
      <c r="E18" s="90">
        <f t="shared" si="1"/>
        <v>0</v>
      </c>
      <c r="F18" s="89">
        <v>0</v>
      </c>
      <c r="G18" s="89">
        <v>0</v>
      </c>
      <c r="H18" s="91">
        <f t="shared" si="0"/>
        <v>0</v>
      </c>
      <c r="I18" s="145"/>
      <c r="J18" s="145"/>
    </row>
    <row r="19" spans="1:10" s="22" customFormat="1" ht="25.5" x14ac:dyDescent="0.3">
      <c r="A19" s="143">
        <v>5</v>
      </c>
      <c r="B19" s="144" t="s">
        <v>182</v>
      </c>
      <c r="C19" s="89">
        <v>794157262.94999909</v>
      </c>
      <c r="D19" s="89">
        <v>810502525.18999934</v>
      </c>
      <c r="E19" s="90">
        <f t="shared" si="1"/>
        <v>1604659788.1399984</v>
      </c>
      <c r="F19" s="89">
        <v>473376717.27000004</v>
      </c>
      <c r="G19" s="89">
        <v>628158908.84000003</v>
      </c>
      <c r="H19" s="91">
        <f t="shared" si="0"/>
        <v>1101535626.1100001</v>
      </c>
      <c r="I19" s="145"/>
      <c r="J19" s="145"/>
    </row>
    <row r="20" spans="1:10" s="22" customFormat="1" ht="15.75" x14ac:dyDescent="0.3">
      <c r="A20" s="143">
        <v>5.0999999999999996</v>
      </c>
      <c r="B20" s="146" t="s">
        <v>183</v>
      </c>
      <c r="C20" s="89">
        <v>18490965.359999996</v>
      </c>
      <c r="D20" s="89">
        <v>39467913.229999997</v>
      </c>
      <c r="E20" s="90">
        <f t="shared" si="1"/>
        <v>57958878.589999989</v>
      </c>
      <c r="F20" s="89">
        <v>32373959.699999988</v>
      </c>
      <c r="G20" s="89">
        <v>29634951.02</v>
      </c>
      <c r="H20" s="91">
        <f t="shared" si="0"/>
        <v>62008910.719999984</v>
      </c>
      <c r="I20" s="145"/>
      <c r="J20" s="145"/>
    </row>
    <row r="21" spans="1:10" s="22" customFormat="1" ht="15.75" x14ac:dyDescent="0.3">
      <c r="A21" s="143">
        <v>5.2</v>
      </c>
      <c r="B21" s="146" t="s">
        <v>184</v>
      </c>
      <c r="C21" s="89">
        <v>58905767.04999999</v>
      </c>
      <c r="D21" s="89">
        <v>25804830.100000001</v>
      </c>
      <c r="E21" s="90">
        <f t="shared" si="1"/>
        <v>84710597.149999991</v>
      </c>
      <c r="F21" s="89">
        <v>67585800.459999993</v>
      </c>
      <c r="G21" s="89">
        <v>44207804.20000001</v>
      </c>
      <c r="H21" s="91">
        <f t="shared" si="0"/>
        <v>111793604.66</v>
      </c>
      <c r="I21" s="145"/>
      <c r="J21" s="145"/>
    </row>
    <row r="22" spans="1:10" s="22" customFormat="1" ht="15.75" x14ac:dyDescent="0.3">
      <c r="A22" s="143">
        <v>5.3</v>
      </c>
      <c r="B22" s="146" t="s">
        <v>185</v>
      </c>
      <c r="C22" s="89">
        <v>671327491.05999911</v>
      </c>
      <c r="D22" s="89">
        <v>688435954.46999931</v>
      </c>
      <c r="E22" s="90">
        <f t="shared" si="1"/>
        <v>1359763445.5299983</v>
      </c>
      <c r="F22" s="89">
        <v>322517939.84000009</v>
      </c>
      <c r="G22" s="89">
        <v>506445380.15999997</v>
      </c>
      <c r="H22" s="91">
        <f t="shared" si="0"/>
        <v>828963320</v>
      </c>
      <c r="I22" s="145"/>
      <c r="J22" s="145"/>
    </row>
    <row r="23" spans="1:10" s="22" customFormat="1" ht="15.75" x14ac:dyDescent="0.3">
      <c r="A23" s="143" t="s">
        <v>186</v>
      </c>
      <c r="B23" s="147" t="s">
        <v>187</v>
      </c>
      <c r="C23" s="89">
        <v>517726381.28999889</v>
      </c>
      <c r="D23" s="89">
        <v>311040564.24999946</v>
      </c>
      <c r="E23" s="90">
        <f t="shared" si="1"/>
        <v>828766945.53999829</v>
      </c>
      <c r="F23" s="89">
        <v>208629442.60000008</v>
      </c>
      <c r="G23" s="89">
        <v>247217297.58999997</v>
      </c>
      <c r="H23" s="91">
        <f t="shared" si="0"/>
        <v>455846740.19000006</v>
      </c>
      <c r="I23" s="145"/>
      <c r="J23" s="145"/>
    </row>
    <row r="24" spans="1:10" s="22" customFormat="1" ht="15.75" x14ac:dyDescent="0.3">
      <c r="A24" s="143" t="s">
        <v>188</v>
      </c>
      <c r="B24" s="147" t="s">
        <v>189</v>
      </c>
      <c r="C24" s="89">
        <v>88128430.320000008</v>
      </c>
      <c r="D24" s="89">
        <v>276479289.17999995</v>
      </c>
      <c r="E24" s="90">
        <f t="shared" si="1"/>
        <v>364607719.49999994</v>
      </c>
      <c r="F24" s="89">
        <v>70378940.610000074</v>
      </c>
      <c r="G24" s="89">
        <v>206269381.63</v>
      </c>
      <c r="H24" s="91">
        <f t="shared" si="0"/>
        <v>276648322.24000007</v>
      </c>
      <c r="I24" s="145"/>
      <c r="J24" s="145"/>
    </row>
    <row r="25" spans="1:10" s="22" customFormat="1" ht="15.75" x14ac:dyDescent="0.3">
      <c r="A25" s="143" t="s">
        <v>190</v>
      </c>
      <c r="B25" s="148" t="s">
        <v>191</v>
      </c>
      <c r="C25" s="89">
        <v>8135746.8200000012</v>
      </c>
      <c r="D25" s="89">
        <v>11357305.830000004</v>
      </c>
      <c r="E25" s="90">
        <f t="shared" si="1"/>
        <v>19493052.650000006</v>
      </c>
      <c r="F25" s="89">
        <v>7688255.0099999988</v>
      </c>
      <c r="G25" s="89">
        <v>9807568.4900000021</v>
      </c>
      <c r="H25" s="91">
        <f t="shared" si="0"/>
        <v>17495823.5</v>
      </c>
      <c r="I25" s="145"/>
      <c r="J25" s="145"/>
    </row>
    <row r="26" spans="1:10" s="22" customFormat="1" ht="15.75" x14ac:dyDescent="0.3">
      <c r="A26" s="143" t="s">
        <v>192</v>
      </c>
      <c r="B26" s="147" t="s">
        <v>193</v>
      </c>
      <c r="C26" s="89">
        <v>35333985.19000002</v>
      </c>
      <c r="D26" s="89">
        <v>58628802.68999999</v>
      </c>
      <c r="E26" s="90">
        <f t="shared" si="1"/>
        <v>93962787.88000001</v>
      </c>
      <c r="F26" s="89">
        <v>21675115.339999996</v>
      </c>
      <c r="G26" s="89">
        <v>33389661.929999989</v>
      </c>
      <c r="H26" s="91">
        <f t="shared" si="0"/>
        <v>55064777.269999981</v>
      </c>
      <c r="I26" s="145"/>
      <c r="J26" s="145"/>
    </row>
    <row r="27" spans="1:10" s="22" customFormat="1" ht="15.75" x14ac:dyDescent="0.3">
      <c r="A27" s="143" t="s">
        <v>194</v>
      </c>
      <c r="B27" s="147" t="s">
        <v>195</v>
      </c>
      <c r="C27" s="89">
        <v>22002947.440000009</v>
      </c>
      <c r="D27" s="89">
        <v>30929992.52</v>
      </c>
      <c r="E27" s="90">
        <f t="shared" si="1"/>
        <v>52932939.960000008</v>
      </c>
      <c r="F27" s="89">
        <v>14146186.279999994</v>
      </c>
      <c r="G27" s="89">
        <v>9761470.5199999996</v>
      </c>
      <c r="H27" s="91">
        <f t="shared" si="0"/>
        <v>23907656.799999993</v>
      </c>
      <c r="I27" s="145"/>
      <c r="J27" s="145"/>
    </row>
    <row r="28" spans="1:10" s="22" customFormat="1" ht="15.75" x14ac:dyDescent="0.3">
      <c r="A28" s="143">
        <v>5.4</v>
      </c>
      <c r="B28" s="146" t="s">
        <v>196</v>
      </c>
      <c r="C28" s="89">
        <v>11817789.470000012</v>
      </c>
      <c r="D28" s="89">
        <v>13446474.839999998</v>
      </c>
      <c r="E28" s="90">
        <f t="shared" si="1"/>
        <v>25264264.31000001</v>
      </c>
      <c r="F28" s="89">
        <v>6281260.7200000007</v>
      </c>
      <c r="G28" s="89">
        <v>16847058.789999988</v>
      </c>
      <c r="H28" s="91">
        <f t="shared" si="0"/>
        <v>23128319.50999999</v>
      </c>
      <c r="I28" s="145"/>
      <c r="J28" s="145"/>
    </row>
    <row r="29" spans="1:10" s="22" customFormat="1" ht="15.75" x14ac:dyDescent="0.3">
      <c r="A29" s="143">
        <v>5.5</v>
      </c>
      <c r="B29" s="146" t="s">
        <v>197</v>
      </c>
      <c r="C29" s="89">
        <v>0</v>
      </c>
      <c r="D29" s="89">
        <v>0</v>
      </c>
      <c r="E29" s="90">
        <f t="shared" si="1"/>
        <v>0</v>
      </c>
      <c r="F29" s="89">
        <v>0</v>
      </c>
      <c r="G29" s="89">
        <v>0</v>
      </c>
      <c r="H29" s="91">
        <f t="shared" si="0"/>
        <v>0</v>
      </c>
      <c r="I29" s="145"/>
      <c r="J29" s="145"/>
    </row>
    <row r="30" spans="1:10" s="22" customFormat="1" ht="15.75" x14ac:dyDescent="0.3">
      <c r="A30" s="143">
        <v>5.6</v>
      </c>
      <c r="B30" s="146" t="s">
        <v>198</v>
      </c>
      <c r="C30" s="89">
        <v>0</v>
      </c>
      <c r="D30" s="89">
        <v>0</v>
      </c>
      <c r="E30" s="90">
        <f t="shared" si="1"/>
        <v>0</v>
      </c>
      <c r="F30" s="89">
        <v>0</v>
      </c>
      <c r="G30" s="89">
        <v>0</v>
      </c>
      <c r="H30" s="91">
        <f t="shared" si="0"/>
        <v>0</v>
      </c>
      <c r="I30" s="145"/>
      <c r="J30" s="145"/>
    </row>
    <row r="31" spans="1:10" s="22" customFormat="1" ht="15.75" x14ac:dyDescent="0.3">
      <c r="A31" s="143">
        <v>5.7</v>
      </c>
      <c r="B31" s="146" t="s">
        <v>199</v>
      </c>
      <c r="C31" s="89">
        <v>33615250.00999999</v>
      </c>
      <c r="D31" s="89">
        <v>43347352.550000004</v>
      </c>
      <c r="E31" s="90">
        <f t="shared" si="1"/>
        <v>76962602.560000002</v>
      </c>
      <c r="F31" s="89">
        <v>44617756.54999999</v>
      </c>
      <c r="G31" s="89">
        <v>31023714.670000002</v>
      </c>
      <c r="H31" s="91">
        <f t="shared" si="0"/>
        <v>75641471.219999999</v>
      </c>
      <c r="I31" s="145"/>
      <c r="J31" s="145"/>
    </row>
    <row r="32" spans="1:10" s="22" customFormat="1" ht="15.75" x14ac:dyDescent="0.3">
      <c r="A32" s="143">
        <v>6</v>
      </c>
      <c r="B32" s="144" t="s">
        <v>200</v>
      </c>
      <c r="C32" s="89">
        <f>SUM(C33:C39)</f>
        <v>27940797</v>
      </c>
      <c r="D32" s="89">
        <f>SUM(D33:D39)</f>
        <v>27533022</v>
      </c>
      <c r="E32" s="90">
        <f t="shared" si="1"/>
        <v>55473819</v>
      </c>
      <c r="F32" s="89">
        <v>39549500.799999997</v>
      </c>
      <c r="G32" s="89">
        <v>37852963.200000003</v>
      </c>
      <c r="H32" s="91">
        <f t="shared" si="0"/>
        <v>77402464</v>
      </c>
      <c r="I32" s="145"/>
      <c r="J32" s="145"/>
    </row>
    <row r="33" spans="1:12" s="22" customFormat="1" ht="25.5" x14ac:dyDescent="0.3">
      <c r="A33" s="143">
        <v>6.1</v>
      </c>
      <c r="B33" s="146" t="s">
        <v>201</v>
      </c>
      <c r="C33" s="89">
        <v>27940797</v>
      </c>
      <c r="D33" s="89">
        <v>0</v>
      </c>
      <c r="E33" s="90">
        <f t="shared" si="1"/>
        <v>27940797</v>
      </c>
      <c r="F33" s="89">
        <v>39549500.799999997</v>
      </c>
      <c r="G33" s="89">
        <v>0</v>
      </c>
      <c r="H33" s="91">
        <f t="shared" si="0"/>
        <v>39549500.799999997</v>
      </c>
      <c r="I33" s="145"/>
      <c r="J33" s="145"/>
    </row>
    <row r="34" spans="1:12" s="22" customFormat="1" ht="25.5" x14ac:dyDescent="0.3">
      <c r="A34" s="143">
        <v>6.2</v>
      </c>
      <c r="B34" s="146" t="s">
        <v>202</v>
      </c>
      <c r="C34" s="89">
        <v>0</v>
      </c>
      <c r="D34" s="89">
        <v>27533022</v>
      </c>
      <c r="E34" s="90">
        <f t="shared" si="1"/>
        <v>27533022</v>
      </c>
      <c r="F34" s="89">
        <v>0</v>
      </c>
      <c r="G34" s="89">
        <v>37852963.200000003</v>
      </c>
      <c r="H34" s="91">
        <f t="shared" si="0"/>
        <v>37852963.200000003</v>
      </c>
      <c r="I34" s="145"/>
      <c r="J34" s="145"/>
    </row>
    <row r="35" spans="1:12" s="22" customFormat="1" ht="25.5" x14ac:dyDescent="0.3">
      <c r="A35" s="143">
        <v>6.3</v>
      </c>
      <c r="B35" s="146" t="s">
        <v>203</v>
      </c>
      <c r="C35" s="89">
        <v>0</v>
      </c>
      <c r="D35" s="89">
        <v>0</v>
      </c>
      <c r="E35" s="90">
        <f t="shared" si="1"/>
        <v>0</v>
      </c>
      <c r="F35" s="89">
        <v>0</v>
      </c>
      <c r="G35" s="89">
        <v>0</v>
      </c>
      <c r="H35" s="91">
        <f t="shared" si="0"/>
        <v>0</v>
      </c>
      <c r="I35" s="149"/>
      <c r="J35" s="145"/>
    </row>
    <row r="36" spans="1:12" s="22" customFormat="1" ht="15.75" x14ac:dyDescent="0.3">
      <c r="A36" s="143">
        <v>6.4</v>
      </c>
      <c r="B36" s="146" t="s">
        <v>204</v>
      </c>
      <c r="C36" s="89"/>
      <c r="D36" s="89"/>
      <c r="E36" s="90">
        <f t="shared" si="1"/>
        <v>0</v>
      </c>
      <c r="F36" s="89">
        <v>0</v>
      </c>
      <c r="G36" s="89">
        <v>0</v>
      </c>
      <c r="H36" s="91">
        <f t="shared" si="0"/>
        <v>0</v>
      </c>
      <c r="I36" s="145"/>
      <c r="J36" s="145"/>
    </row>
    <row r="37" spans="1:12" s="22" customFormat="1" ht="15.75" x14ac:dyDescent="0.3">
      <c r="A37" s="143">
        <v>6.5</v>
      </c>
      <c r="B37" s="146" t="s">
        <v>205</v>
      </c>
      <c r="C37" s="89"/>
      <c r="D37" s="89"/>
      <c r="E37" s="90">
        <f t="shared" si="1"/>
        <v>0</v>
      </c>
      <c r="F37" s="89">
        <v>0</v>
      </c>
      <c r="G37" s="89">
        <v>0</v>
      </c>
      <c r="H37" s="91">
        <f t="shared" si="0"/>
        <v>0</v>
      </c>
      <c r="I37" s="145"/>
      <c r="J37" s="145"/>
    </row>
    <row r="38" spans="1:12" s="22" customFormat="1" ht="25.5" x14ac:dyDescent="0.3">
      <c r="A38" s="143">
        <v>6.6</v>
      </c>
      <c r="B38" s="146" t="s">
        <v>206</v>
      </c>
      <c r="C38" s="89"/>
      <c r="D38" s="89"/>
      <c r="E38" s="90">
        <f t="shared" si="1"/>
        <v>0</v>
      </c>
      <c r="F38" s="89">
        <v>0</v>
      </c>
      <c r="G38" s="89">
        <v>0</v>
      </c>
      <c r="H38" s="91">
        <f t="shared" si="0"/>
        <v>0</v>
      </c>
      <c r="I38" s="145"/>
      <c r="J38" s="149"/>
      <c r="K38" s="150"/>
      <c r="L38" s="150"/>
    </row>
    <row r="39" spans="1:12" s="22" customFormat="1" ht="25.5" x14ac:dyDescent="0.3">
      <c r="A39" s="143">
        <v>6.7</v>
      </c>
      <c r="B39" s="146" t="s">
        <v>207</v>
      </c>
      <c r="C39" s="89"/>
      <c r="D39" s="89"/>
      <c r="E39" s="90">
        <f t="shared" si="1"/>
        <v>0</v>
      </c>
      <c r="F39" s="89">
        <v>0</v>
      </c>
      <c r="G39" s="89">
        <v>0</v>
      </c>
      <c r="H39" s="91">
        <f t="shared" si="0"/>
        <v>0</v>
      </c>
      <c r="I39" s="145"/>
      <c r="J39" s="145"/>
    </row>
    <row r="40" spans="1:12" s="22" customFormat="1" ht="15.75" x14ac:dyDescent="0.3">
      <c r="A40" s="143">
        <v>7</v>
      </c>
      <c r="B40" s="144" t="s">
        <v>208</v>
      </c>
      <c r="C40" s="89"/>
      <c r="D40" s="89"/>
      <c r="E40" s="90">
        <f>C40+D40</f>
        <v>0</v>
      </c>
      <c r="F40" s="89">
        <v>0</v>
      </c>
      <c r="G40" s="89">
        <v>0</v>
      </c>
      <c r="H40" s="91">
        <f t="shared" si="0"/>
        <v>0</v>
      </c>
      <c r="I40" s="145"/>
      <c r="J40" s="145"/>
    </row>
    <row r="41" spans="1:12" s="22" customFormat="1" ht="25.5" x14ac:dyDescent="0.3">
      <c r="A41" s="143">
        <v>7.1</v>
      </c>
      <c r="B41" s="146" t="s">
        <v>209</v>
      </c>
      <c r="C41" s="89">
        <v>176593.12999999995</v>
      </c>
      <c r="D41" s="89">
        <v>15849.42</v>
      </c>
      <c r="E41" s="90">
        <f t="shared" si="1"/>
        <v>192442.54999999996</v>
      </c>
      <c r="F41" s="89">
        <v>380745.33999999968</v>
      </c>
      <c r="G41" s="89">
        <v>46734.46</v>
      </c>
      <c r="H41" s="91">
        <f t="shared" si="0"/>
        <v>427479.7999999997</v>
      </c>
      <c r="I41" s="145"/>
      <c r="J41" s="145"/>
    </row>
    <row r="42" spans="1:12" s="22" customFormat="1" ht="25.5" x14ac:dyDescent="0.3">
      <c r="A42" s="143">
        <v>7.2</v>
      </c>
      <c r="B42" s="146" t="s">
        <v>210</v>
      </c>
      <c r="C42" s="89">
        <v>1525599.9600000004</v>
      </c>
      <c r="D42" s="89">
        <v>1511788.0599999998</v>
      </c>
      <c r="E42" s="90">
        <f>C42+D42</f>
        <v>3037388.0200000005</v>
      </c>
      <c r="F42" s="89">
        <v>1728289.609999998</v>
      </c>
      <c r="G42" s="89">
        <v>7322148.2471000003</v>
      </c>
      <c r="H42" s="91">
        <f t="shared" si="0"/>
        <v>9050437.8570999987</v>
      </c>
      <c r="I42" s="151"/>
      <c r="J42" s="145"/>
    </row>
    <row r="43" spans="1:12" s="22" customFormat="1" ht="25.5" x14ac:dyDescent="0.3">
      <c r="A43" s="143">
        <v>7.3</v>
      </c>
      <c r="B43" s="146" t="s">
        <v>211</v>
      </c>
      <c r="C43" s="89">
        <v>5317450.7800000068</v>
      </c>
      <c r="D43" s="89">
        <v>14030296.699999997</v>
      </c>
      <c r="E43" s="90">
        <f>C43+D43</f>
        <v>19347747.480000004</v>
      </c>
      <c r="F43" s="89">
        <v>6076040.2031999948</v>
      </c>
      <c r="G43" s="89">
        <v>6287475.6812000033</v>
      </c>
      <c r="H43" s="91">
        <f t="shared" si="0"/>
        <v>12363515.884399999</v>
      </c>
      <c r="I43" s="145"/>
      <c r="J43" s="145"/>
      <c r="K43" s="145"/>
      <c r="L43" s="145"/>
    </row>
    <row r="44" spans="1:12" s="22" customFormat="1" ht="25.5" x14ac:dyDescent="0.3">
      <c r="A44" s="143">
        <v>7.4</v>
      </c>
      <c r="B44" s="146" t="s">
        <v>212</v>
      </c>
      <c r="C44" s="89">
        <v>42393395.359999955</v>
      </c>
      <c r="D44" s="89">
        <v>70204779.770000011</v>
      </c>
      <c r="E44" s="90">
        <f t="shared" si="1"/>
        <v>112598175.12999997</v>
      </c>
      <c r="F44" s="89">
        <v>46921876.509999953</v>
      </c>
      <c r="G44" s="89">
        <v>56892178.705999956</v>
      </c>
      <c r="H44" s="91">
        <f t="shared" si="0"/>
        <v>103814055.2159999</v>
      </c>
      <c r="I44" s="151"/>
      <c r="J44" s="145"/>
    </row>
    <row r="45" spans="1:12" s="22" customFormat="1" ht="15.75" x14ac:dyDescent="0.3">
      <c r="A45" s="143">
        <v>8</v>
      </c>
      <c r="B45" s="144" t="s">
        <v>213</v>
      </c>
      <c r="C45" s="89">
        <v>0</v>
      </c>
      <c r="D45" s="89">
        <v>0</v>
      </c>
      <c r="E45" s="90">
        <f t="shared" si="1"/>
        <v>0</v>
      </c>
      <c r="F45" s="89">
        <v>0</v>
      </c>
      <c r="G45" s="89">
        <v>0</v>
      </c>
      <c r="H45" s="91">
        <f t="shared" si="0"/>
        <v>0</v>
      </c>
      <c r="I45" s="145"/>
      <c r="J45" s="145"/>
    </row>
    <row r="46" spans="1:12" s="22" customFormat="1" ht="15.75" x14ac:dyDescent="0.3">
      <c r="A46" s="143">
        <v>8.1</v>
      </c>
      <c r="B46" s="146" t="s">
        <v>214</v>
      </c>
      <c r="C46" s="89">
        <v>0</v>
      </c>
      <c r="D46" s="89">
        <v>0</v>
      </c>
      <c r="E46" s="90">
        <f t="shared" si="1"/>
        <v>0</v>
      </c>
      <c r="F46" s="89">
        <v>0</v>
      </c>
      <c r="G46" s="89">
        <v>0</v>
      </c>
      <c r="H46" s="91">
        <f t="shared" si="0"/>
        <v>0</v>
      </c>
      <c r="I46" s="145"/>
      <c r="J46" s="145"/>
    </row>
    <row r="47" spans="1:12" s="22" customFormat="1" ht="15.75" x14ac:dyDescent="0.3">
      <c r="A47" s="143">
        <v>8.1999999999999993</v>
      </c>
      <c r="B47" s="146" t="s">
        <v>215</v>
      </c>
      <c r="C47" s="89">
        <v>0</v>
      </c>
      <c r="D47" s="89">
        <v>0</v>
      </c>
      <c r="E47" s="90">
        <f t="shared" si="1"/>
        <v>0</v>
      </c>
      <c r="F47" s="89">
        <v>0</v>
      </c>
      <c r="G47" s="89">
        <v>0</v>
      </c>
      <c r="H47" s="91">
        <f t="shared" si="0"/>
        <v>0</v>
      </c>
      <c r="I47" s="145"/>
      <c r="J47" s="145"/>
    </row>
    <row r="48" spans="1:12" s="22" customFormat="1" ht="15.75" x14ac:dyDescent="0.3">
      <c r="A48" s="143">
        <v>8.3000000000000007</v>
      </c>
      <c r="B48" s="146" t="s">
        <v>216</v>
      </c>
      <c r="C48" s="89">
        <v>0</v>
      </c>
      <c r="D48" s="89">
        <v>0</v>
      </c>
      <c r="E48" s="90">
        <f t="shared" si="1"/>
        <v>0</v>
      </c>
      <c r="F48" s="89">
        <v>0</v>
      </c>
      <c r="G48" s="89">
        <v>0</v>
      </c>
      <c r="H48" s="91">
        <f t="shared" si="0"/>
        <v>0</v>
      </c>
      <c r="I48" s="145"/>
      <c r="J48" s="145"/>
    </row>
    <row r="49" spans="1:10" s="22" customFormat="1" ht="15.75" x14ac:dyDescent="0.3">
      <c r="A49" s="143">
        <v>8.4</v>
      </c>
      <c r="B49" s="146" t="s">
        <v>217</v>
      </c>
      <c r="C49" s="89">
        <v>0</v>
      </c>
      <c r="D49" s="89">
        <v>0</v>
      </c>
      <c r="E49" s="90">
        <f t="shared" si="1"/>
        <v>0</v>
      </c>
      <c r="F49" s="89">
        <v>0</v>
      </c>
      <c r="G49" s="89">
        <v>0</v>
      </c>
      <c r="H49" s="91">
        <f t="shared" si="0"/>
        <v>0</v>
      </c>
      <c r="I49" s="145"/>
      <c r="J49" s="145"/>
    </row>
    <row r="50" spans="1:10" s="22" customFormat="1" ht="15.75" x14ac:dyDescent="0.3">
      <c r="A50" s="143">
        <v>8.5</v>
      </c>
      <c r="B50" s="146" t="s">
        <v>218</v>
      </c>
      <c r="C50" s="89">
        <v>0</v>
      </c>
      <c r="D50" s="89">
        <v>0</v>
      </c>
      <c r="E50" s="90">
        <f t="shared" si="1"/>
        <v>0</v>
      </c>
      <c r="F50" s="89">
        <v>0</v>
      </c>
      <c r="G50" s="89">
        <v>0</v>
      </c>
      <c r="H50" s="91">
        <f t="shared" si="0"/>
        <v>0</v>
      </c>
      <c r="I50" s="145"/>
      <c r="J50" s="145"/>
    </row>
    <row r="51" spans="1:10" s="22" customFormat="1" ht="15.75" x14ac:dyDescent="0.3">
      <c r="A51" s="143">
        <v>8.6</v>
      </c>
      <c r="B51" s="146" t="s">
        <v>219</v>
      </c>
      <c r="C51" s="89">
        <v>0</v>
      </c>
      <c r="D51" s="89">
        <v>0</v>
      </c>
      <c r="E51" s="90">
        <f t="shared" si="1"/>
        <v>0</v>
      </c>
      <c r="F51" s="89">
        <v>0</v>
      </c>
      <c r="G51" s="89">
        <v>0</v>
      </c>
      <c r="H51" s="91">
        <f t="shared" si="0"/>
        <v>0</v>
      </c>
      <c r="I51" s="145"/>
      <c r="J51" s="145"/>
    </row>
    <row r="52" spans="1:10" s="22" customFormat="1" ht="15.75" x14ac:dyDescent="0.3">
      <c r="A52" s="143">
        <v>8.6999999999999993</v>
      </c>
      <c r="B52" s="146" t="s">
        <v>220</v>
      </c>
      <c r="C52" s="89">
        <v>0</v>
      </c>
      <c r="D52" s="89">
        <v>0</v>
      </c>
      <c r="E52" s="90">
        <f t="shared" si="1"/>
        <v>0</v>
      </c>
      <c r="F52" s="89">
        <v>0</v>
      </c>
      <c r="G52" s="89">
        <v>0</v>
      </c>
      <c r="H52" s="91">
        <f t="shared" si="0"/>
        <v>0</v>
      </c>
      <c r="I52" s="145"/>
      <c r="J52" s="145"/>
    </row>
    <row r="53" spans="1:10" s="22" customFormat="1" ht="26.25" thickBot="1" x14ac:dyDescent="0.35">
      <c r="A53" s="152">
        <v>9</v>
      </c>
      <c r="B53" s="153" t="s">
        <v>221</v>
      </c>
      <c r="C53" s="154">
        <v>0</v>
      </c>
      <c r="D53" s="154">
        <v>0</v>
      </c>
      <c r="E53" s="100">
        <f t="shared" si="1"/>
        <v>0</v>
      </c>
      <c r="F53" s="154">
        <v>0</v>
      </c>
      <c r="G53" s="154">
        <v>0</v>
      </c>
      <c r="H53" s="101">
        <f t="shared" si="0"/>
        <v>0</v>
      </c>
      <c r="I53" s="145"/>
      <c r="J53" s="145"/>
    </row>
    <row r="54" spans="1:10" x14ac:dyDescent="0.25">
      <c r="B54" s="155"/>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zoomScaleNormal="100" workbookViewId="0">
      <pane xSplit="1" ySplit="4" topLeftCell="B5"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x14ac:dyDescent="0.2"/>
  <cols>
    <col min="1" max="1" width="9.5703125" style="23" bestFit="1" customWidth="1"/>
    <col min="2" max="2" width="93.5703125" style="23" customWidth="1"/>
    <col min="3" max="4" width="12.7109375" style="23" customWidth="1"/>
    <col min="5" max="11" width="9.7109375" style="123" customWidth="1"/>
    <col min="12" max="16384" width="9.140625" style="123"/>
  </cols>
  <sheetData>
    <row r="1" spans="1:8" ht="15" x14ac:dyDescent="0.3">
      <c r="A1" s="24" t="s">
        <v>29</v>
      </c>
      <c r="B1" s="23" t="str">
        <f>'1. key ratios'!B1</f>
        <v>სს ტერაბანკი</v>
      </c>
      <c r="C1" s="25"/>
    </row>
    <row r="2" spans="1:8" ht="15" x14ac:dyDescent="0.3">
      <c r="A2" s="24" t="s">
        <v>31</v>
      </c>
      <c r="B2" s="77">
        <f>'1. key ratios'!B2</f>
        <v>43555</v>
      </c>
      <c r="C2" s="27"/>
      <c r="D2" s="28"/>
      <c r="E2" s="157"/>
      <c r="F2" s="157"/>
      <c r="G2" s="157"/>
      <c r="H2" s="157"/>
    </row>
    <row r="3" spans="1:8" ht="15" x14ac:dyDescent="0.3">
      <c r="A3" s="24"/>
      <c r="B3" s="25"/>
      <c r="C3" s="27"/>
      <c r="D3" s="28"/>
      <c r="E3" s="157"/>
      <c r="F3" s="157"/>
      <c r="G3" s="157"/>
      <c r="H3" s="157"/>
    </row>
    <row r="4" spans="1:8" ht="15" customHeight="1" thickBot="1" x14ac:dyDescent="0.35">
      <c r="A4" s="158" t="s">
        <v>222</v>
      </c>
      <c r="B4" s="159" t="s">
        <v>16</v>
      </c>
      <c r="C4" s="158"/>
      <c r="D4" s="160" t="s">
        <v>66</v>
      </c>
    </row>
    <row r="5" spans="1:8" ht="15" customHeight="1" x14ac:dyDescent="0.2">
      <c r="A5" s="161" t="s">
        <v>33</v>
      </c>
      <c r="B5" s="162"/>
      <c r="C5" s="163">
        <f>'1. key ratios'!C5</f>
        <v>43555</v>
      </c>
      <c r="D5" s="164">
        <f>'1. key ratios'!D5</f>
        <v>43465</v>
      </c>
    </row>
    <row r="6" spans="1:8" ht="15" customHeight="1" x14ac:dyDescent="0.2">
      <c r="A6" s="165">
        <v>1</v>
      </c>
      <c r="B6" s="166" t="s">
        <v>223</v>
      </c>
      <c r="C6" s="167">
        <f>C7+C9+C10</f>
        <v>797652421.59752238</v>
      </c>
      <c r="D6" s="168">
        <f>D7+D9+D10</f>
        <v>782971070.20077074</v>
      </c>
    </row>
    <row r="7" spans="1:8" ht="15" customHeight="1" x14ac:dyDescent="0.2">
      <c r="A7" s="165">
        <v>1.1000000000000001</v>
      </c>
      <c r="B7" s="169" t="s">
        <v>224</v>
      </c>
      <c r="C7" s="170">
        <v>775998999.48519981</v>
      </c>
      <c r="D7" s="171">
        <v>761389484.40313816</v>
      </c>
    </row>
    <row r="8" spans="1:8" ht="25.5" x14ac:dyDescent="0.2">
      <c r="A8" s="165" t="s">
        <v>225</v>
      </c>
      <c r="B8" s="172" t="s">
        <v>226</v>
      </c>
      <c r="C8" s="173">
        <v>0</v>
      </c>
      <c r="D8" s="174">
        <v>0</v>
      </c>
    </row>
    <row r="9" spans="1:8" ht="15" customHeight="1" x14ac:dyDescent="0.2">
      <c r="A9" s="165">
        <v>1.2</v>
      </c>
      <c r="B9" s="169" t="s">
        <v>227</v>
      </c>
      <c r="C9" s="170">
        <v>21102761.672322497</v>
      </c>
      <c r="D9" s="171">
        <v>20750233.837632503</v>
      </c>
    </row>
    <row r="10" spans="1:8" ht="15" customHeight="1" x14ac:dyDescent="0.2">
      <c r="A10" s="165">
        <v>1.3</v>
      </c>
      <c r="B10" s="175" t="s">
        <v>27</v>
      </c>
      <c r="C10" s="173">
        <v>550660.44000000006</v>
      </c>
      <c r="D10" s="171">
        <v>831351.96</v>
      </c>
    </row>
    <row r="11" spans="1:8" ht="15" customHeight="1" x14ac:dyDescent="0.2">
      <c r="A11" s="165">
        <v>2</v>
      </c>
      <c r="B11" s="166" t="s">
        <v>228</v>
      </c>
      <c r="C11" s="170">
        <v>8189474.9299999382</v>
      </c>
      <c r="D11" s="171">
        <v>5743310.3000000874</v>
      </c>
    </row>
    <row r="12" spans="1:8" ht="15" customHeight="1" x14ac:dyDescent="0.2">
      <c r="A12" s="165">
        <v>3</v>
      </c>
      <c r="B12" s="166" t="s">
        <v>229</v>
      </c>
      <c r="C12" s="173">
        <v>83668962.21874997</v>
      </c>
      <c r="D12" s="171">
        <v>83668962.21874997</v>
      </c>
    </row>
    <row r="13" spans="1:8" ht="15" customHeight="1" thickBot="1" x14ac:dyDescent="0.25">
      <c r="A13" s="176">
        <v>4</v>
      </c>
      <c r="B13" s="177" t="s">
        <v>230</v>
      </c>
      <c r="C13" s="178">
        <f>C6+C11+C12</f>
        <v>889510858.74627233</v>
      </c>
      <c r="D13" s="179">
        <f>D6+D11+D12</f>
        <v>872383342.71952081</v>
      </c>
    </row>
    <row r="14" spans="1:8" ht="15" customHeight="1" x14ac:dyDescent="0.2">
      <c r="A14" s="180"/>
      <c r="B14" s="181"/>
      <c r="C14" s="182"/>
      <c r="D14" s="182"/>
    </row>
    <row r="15" spans="1:8" x14ac:dyDescent="0.2">
      <c r="B15" s="183"/>
      <c r="C15" s="184"/>
    </row>
    <row r="16" spans="1:8" x14ac:dyDescent="0.2">
      <c r="B16" s="183"/>
      <c r="C16" s="184"/>
    </row>
    <row r="17" spans="2:3" x14ac:dyDescent="0.2">
      <c r="B17" s="183"/>
      <c r="C17" s="184"/>
    </row>
    <row r="18" spans="2:3" x14ac:dyDescent="0.2">
      <c r="B18" s="183"/>
      <c r="C18" s="184"/>
    </row>
    <row r="19" spans="2:3" x14ac:dyDescent="0.2">
      <c r="B19" s="183"/>
    </row>
    <row r="20" spans="2:3" x14ac:dyDescent="0.2">
      <c r="B20" s="183"/>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32"/>
  <sheetViews>
    <sheetView zoomScaleNormal="100" workbookViewId="0">
      <pane xSplit="1" ySplit="4" topLeftCell="B5" activePane="bottomRight" state="frozen"/>
      <selection activeCell="C9" sqref="C9"/>
      <selection pane="topRight" activeCell="C9" sqref="C9"/>
      <selection pane="bottomLeft" activeCell="C9" sqref="C9"/>
      <selection pane="bottomRight" activeCell="C9" sqref="C9"/>
    </sheetView>
  </sheetViews>
  <sheetFormatPr defaultRowHeight="15" x14ac:dyDescent="0.25"/>
  <cols>
    <col min="1" max="1" width="9.5703125" style="23" bestFit="1" customWidth="1"/>
    <col min="2" max="2" width="89.28515625" style="23" customWidth="1"/>
    <col min="3" max="3" width="9.140625" style="23"/>
  </cols>
  <sheetData>
    <row r="1" spans="1:3" x14ac:dyDescent="0.25">
      <c r="A1" s="23" t="s">
        <v>29</v>
      </c>
      <c r="B1" s="23" t="str">
        <f>'1. key ratios'!B1</f>
        <v>სს ტერაბანკი</v>
      </c>
    </row>
    <row r="2" spans="1:3" x14ac:dyDescent="0.25">
      <c r="A2" s="23" t="s">
        <v>31</v>
      </c>
      <c r="B2" s="77">
        <f>'1. key ratios'!B2</f>
        <v>43555</v>
      </c>
    </row>
    <row r="4" spans="1:3" ht="16.5" customHeight="1" thickBot="1" x14ac:dyDescent="0.35">
      <c r="A4" s="185" t="s">
        <v>231</v>
      </c>
      <c r="B4" s="186" t="s">
        <v>17</v>
      </c>
      <c r="C4" s="187"/>
    </row>
    <row r="5" spans="1:3" ht="15.75" x14ac:dyDescent="0.3">
      <c r="A5" s="188"/>
      <c r="B5" s="556" t="s">
        <v>232</v>
      </c>
      <c r="C5" s="557"/>
    </row>
    <row r="6" spans="1:3" x14ac:dyDescent="0.25">
      <c r="A6" s="189">
        <v>1</v>
      </c>
      <c r="B6" s="190" t="s">
        <v>233</v>
      </c>
      <c r="C6" s="191"/>
    </row>
    <row r="7" spans="1:3" x14ac:dyDescent="0.25">
      <c r="A7" s="189">
        <v>2</v>
      </c>
      <c r="B7" s="190" t="s">
        <v>234</v>
      </c>
      <c r="C7" s="191"/>
    </row>
    <row r="8" spans="1:3" x14ac:dyDescent="0.25">
      <c r="A8" s="189">
        <v>3</v>
      </c>
      <c r="B8" s="190" t="s">
        <v>235</v>
      </c>
      <c r="C8" s="191"/>
    </row>
    <row r="9" spans="1:3" x14ac:dyDescent="0.25">
      <c r="A9" s="189">
        <v>4</v>
      </c>
      <c r="B9" s="190" t="s">
        <v>236</v>
      </c>
      <c r="C9" s="192"/>
    </row>
    <row r="10" spans="1:3" x14ac:dyDescent="0.25">
      <c r="A10" s="189">
        <v>5</v>
      </c>
      <c r="B10" s="190" t="s">
        <v>237</v>
      </c>
      <c r="C10" s="192"/>
    </row>
    <row r="11" spans="1:3" x14ac:dyDescent="0.25">
      <c r="A11" s="189">
        <v>6</v>
      </c>
      <c r="B11" s="190" t="s">
        <v>238</v>
      </c>
      <c r="C11" s="191"/>
    </row>
    <row r="12" spans="1:3" x14ac:dyDescent="0.25">
      <c r="A12" s="189"/>
      <c r="B12" s="28"/>
      <c r="C12" s="542"/>
    </row>
    <row r="13" spans="1:3" ht="15.75" x14ac:dyDescent="0.3">
      <c r="A13" s="189"/>
      <c r="B13" s="558" t="s">
        <v>239</v>
      </c>
      <c r="C13" s="559"/>
    </row>
    <row r="14" spans="1:3" ht="15.75" x14ac:dyDescent="0.3">
      <c r="A14" s="189">
        <v>1</v>
      </c>
      <c r="B14" s="193" t="s">
        <v>240</v>
      </c>
      <c r="C14" s="194"/>
    </row>
    <row r="15" spans="1:3" ht="15.75" x14ac:dyDescent="0.3">
      <c r="A15" s="189">
        <v>2</v>
      </c>
      <c r="B15" s="193" t="s">
        <v>241</v>
      </c>
      <c r="C15" s="194"/>
    </row>
    <row r="16" spans="1:3" ht="15.75" x14ac:dyDescent="0.3">
      <c r="A16" s="189">
        <v>3</v>
      </c>
      <c r="B16" s="193" t="s">
        <v>242</v>
      </c>
      <c r="C16" s="194"/>
    </row>
    <row r="17" spans="1:3" ht="15.75" x14ac:dyDescent="0.3">
      <c r="A17" s="189">
        <v>4</v>
      </c>
      <c r="B17" s="193" t="s">
        <v>243</v>
      </c>
      <c r="C17" s="194"/>
    </row>
    <row r="18" spans="1:3" ht="15.75" x14ac:dyDescent="0.3">
      <c r="A18" s="189">
        <v>5</v>
      </c>
      <c r="B18" s="193" t="s">
        <v>244</v>
      </c>
      <c r="C18" s="194"/>
    </row>
    <row r="19" spans="1:3" ht="15.75" customHeight="1" x14ac:dyDescent="0.3">
      <c r="A19" s="189"/>
      <c r="B19" s="193"/>
      <c r="C19" s="195"/>
    </row>
    <row r="20" spans="1:3" ht="30" customHeight="1" x14ac:dyDescent="0.25">
      <c r="A20" s="189"/>
      <c r="B20" s="560" t="s">
        <v>245</v>
      </c>
      <c r="C20" s="561"/>
    </row>
    <row r="21" spans="1:3" x14ac:dyDescent="0.25">
      <c r="A21" s="189">
        <v>1</v>
      </c>
      <c r="B21" s="190" t="s">
        <v>4</v>
      </c>
      <c r="C21" s="196">
        <v>0.45</v>
      </c>
    </row>
    <row r="22" spans="1:3" x14ac:dyDescent="0.25">
      <c r="A22" s="189">
        <v>2</v>
      </c>
      <c r="B22" s="190" t="s">
        <v>246</v>
      </c>
      <c r="C22" s="196">
        <v>0.2</v>
      </c>
    </row>
    <row r="23" spans="1:3" x14ac:dyDescent="0.25">
      <c r="A23" s="189">
        <v>3</v>
      </c>
      <c r="B23" s="190" t="s">
        <v>247</v>
      </c>
      <c r="C23" s="196">
        <v>0.15</v>
      </c>
    </row>
    <row r="24" spans="1:3" x14ac:dyDescent="0.25">
      <c r="A24" s="189">
        <v>4</v>
      </c>
      <c r="B24" s="190" t="s">
        <v>248</v>
      </c>
      <c r="C24" s="196">
        <v>0.15</v>
      </c>
    </row>
    <row r="25" spans="1:3" x14ac:dyDescent="0.25">
      <c r="A25" s="189">
        <v>5</v>
      </c>
      <c r="B25" s="190" t="s">
        <v>249</v>
      </c>
      <c r="C25" s="196">
        <v>0.05</v>
      </c>
    </row>
    <row r="26" spans="1:3" ht="15.75" customHeight="1" x14ac:dyDescent="0.25">
      <c r="A26" s="189"/>
      <c r="B26" s="190"/>
      <c r="C26" s="191"/>
    </row>
    <row r="27" spans="1:3" ht="29.25" customHeight="1" x14ac:dyDescent="0.25">
      <c r="A27" s="189"/>
      <c r="B27" s="560" t="s">
        <v>250</v>
      </c>
      <c r="C27" s="561"/>
    </row>
    <row r="28" spans="1:3" x14ac:dyDescent="0.25">
      <c r="A28" s="189">
        <v>1</v>
      </c>
      <c r="B28" s="190" t="s">
        <v>4</v>
      </c>
      <c r="C28" s="196">
        <v>0.45</v>
      </c>
    </row>
    <row r="29" spans="1:3" x14ac:dyDescent="0.25">
      <c r="A29" s="197">
        <v>2</v>
      </c>
      <c r="B29" s="198" t="s">
        <v>246</v>
      </c>
      <c r="C29" s="199">
        <v>0.2</v>
      </c>
    </row>
    <row r="30" spans="1:3" x14ac:dyDescent="0.25">
      <c r="A30" s="197">
        <v>3</v>
      </c>
      <c r="B30" s="198" t="s">
        <v>247</v>
      </c>
      <c r="C30" s="199">
        <v>0.15</v>
      </c>
    </row>
    <row r="31" spans="1:3" x14ac:dyDescent="0.25">
      <c r="A31" s="197">
        <v>4</v>
      </c>
      <c r="B31" s="198" t="s">
        <v>248</v>
      </c>
      <c r="C31" s="199">
        <v>0.15</v>
      </c>
    </row>
    <row r="32" spans="1:3" ht="16.5" thickBot="1" x14ac:dyDescent="0.35">
      <c r="A32" s="200"/>
      <c r="B32" s="201"/>
      <c r="C32" s="202"/>
    </row>
  </sheetData>
  <mergeCells count="4">
    <mergeCell ref="B5:C5"/>
    <mergeCell ref="B13:C13"/>
    <mergeCell ref="B20:C20"/>
    <mergeCell ref="B27:C27"/>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7"/>
  <sheetViews>
    <sheetView topLeftCell="A13" zoomScaleNormal="100" workbookViewId="0">
      <selection activeCell="C9" sqref="C9"/>
    </sheetView>
  </sheetViews>
  <sheetFormatPr defaultRowHeight="15" x14ac:dyDescent="0.25"/>
  <cols>
    <col min="1" max="1" width="9.5703125" style="23" bestFit="1" customWidth="1"/>
    <col min="2" max="2" width="47.5703125" style="23" customWidth="1"/>
    <col min="3" max="3" width="28" style="23" customWidth="1"/>
    <col min="4" max="4" width="22.42578125" style="23" customWidth="1"/>
    <col min="5" max="5" width="18.85546875" style="23" customWidth="1"/>
    <col min="6" max="6" width="11.140625" bestFit="1" customWidth="1"/>
    <col min="7" max="7" width="16" bestFit="1" customWidth="1"/>
    <col min="11" max="11" width="12" bestFit="1" customWidth="1"/>
  </cols>
  <sheetData>
    <row r="1" spans="1:10" ht="15.75" x14ac:dyDescent="0.3">
      <c r="A1" s="24" t="s">
        <v>29</v>
      </c>
      <c r="B1" s="23" t="str">
        <f>'1. key ratios'!B1</f>
        <v>სს ტერაბანკი</v>
      </c>
    </row>
    <row r="2" spans="1:10" s="203" customFormat="1" ht="15.75" customHeight="1" x14ac:dyDescent="0.3">
      <c r="A2" s="203" t="s">
        <v>31</v>
      </c>
      <c r="B2" s="77">
        <f>'1. key ratios'!B2</f>
        <v>43555</v>
      </c>
    </row>
    <row r="3" spans="1:10" s="203" customFormat="1" ht="15.75" customHeight="1" x14ac:dyDescent="0.3"/>
    <row r="4" spans="1:10" s="203" customFormat="1" ht="15.75" customHeight="1" thickBot="1" x14ac:dyDescent="0.35">
      <c r="A4" s="204" t="s">
        <v>251</v>
      </c>
      <c r="B4" s="205" t="s">
        <v>18</v>
      </c>
      <c r="C4" s="206"/>
      <c r="D4" s="206"/>
      <c r="E4" s="206"/>
    </row>
    <row r="5" spans="1:10" s="211" customFormat="1" ht="17.45" customHeight="1" x14ac:dyDescent="0.25">
      <c r="A5" s="207"/>
      <c r="B5" s="208"/>
      <c r="C5" s="209" t="s">
        <v>252</v>
      </c>
      <c r="D5" s="209" t="s">
        <v>253</v>
      </c>
      <c r="E5" s="210" t="s">
        <v>254</v>
      </c>
    </row>
    <row r="6" spans="1:10" s="213" customFormat="1" ht="14.45" customHeight="1" x14ac:dyDescent="0.25">
      <c r="A6" s="212"/>
      <c r="B6" s="562" t="s">
        <v>255</v>
      </c>
      <c r="C6" s="562" t="s">
        <v>256</v>
      </c>
      <c r="D6" s="563" t="s">
        <v>257</v>
      </c>
      <c r="E6" s="564"/>
      <c r="G6"/>
    </row>
    <row r="7" spans="1:10" s="213" customFormat="1" ht="99.6" customHeight="1" x14ac:dyDescent="0.25">
      <c r="A7" s="212"/>
      <c r="B7" s="562"/>
      <c r="C7" s="562"/>
      <c r="D7" s="214" t="s">
        <v>258</v>
      </c>
      <c r="E7" s="215" t="s">
        <v>259</v>
      </c>
      <c r="G7"/>
    </row>
    <row r="8" spans="1:10" x14ac:dyDescent="0.25">
      <c r="A8" s="212"/>
      <c r="B8" s="216" t="s">
        <v>73</v>
      </c>
      <c r="C8" s="217">
        <f>'2. RC'!E7</f>
        <v>32566722.660000011</v>
      </c>
      <c r="D8" s="218"/>
      <c r="E8" s="219">
        <f>C8-D8</f>
        <v>32566722.660000011</v>
      </c>
      <c r="J8" s="220"/>
    </row>
    <row r="9" spans="1:10" x14ac:dyDescent="0.25">
      <c r="A9" s="212"/>
      <c r="B9" s="216" t="s">
        <v>74</v>
      </c>
      <c r="C9" s="217">
        <f>'2. RC'!E8</f>
        <v>129623955.20999999</v>
      </c>
      <c r="D9" s="218"/>
      <c r="E9" s="219">
        <f t="shared" ref="E9:E20" si="0">C9-D9</f>
        <v>129623955.20999999</v>
      </c>
      <c r="J9" s="220"/>
    </row>
    <row r="10" spans="1:10" x14ac:dyDescent="0.25">
      <c r="A10" s="212"/>
      <c r="B10" s="216" t="s">
        <v>260</v>
      </c>
      <c r="C10" s="217">
        <f>'2. RC'!E9</f>
        <v>28138979.579999998</v>
      </c>
      <c r="D10" s="218"/>
      <c r="E10" s="219">
        <f t="shared" si="0"/>
        <v>28138979.579999998</v>
      </c>
      <c r="J10" s="220"/>
    </row>
    <row r="11" spans="1:10" ht="25.5" x14ac:dyDescent="0.25">
      <c r="A11" s="212"/>
      <c r="B11" s="216" t="s">
        <v>76</v>
      </c>
      <c r="C11" s="217">
        <f>'2. RC'!E10</f>
        <v>0</v>
      </c>
      <c r="D11" s="218"/>
      <c r="E11" s="219">
        <f t="shared" si="0"/>
        <v>0</v>
      </c>
      <c r="J11" s="220"/>
    </row>
    <row r="12" spans="1:10" x14ac:dyDescent="0.25">
      <c r="A12" s="212"/>
      <c r="B12" s="216" t="s">
        <v>77</v>
      </c>
      <c r="C12" s="217">
        <f>'2. RC'!E11</f>
        <v>50060374.970000006</v>
      </c>
      <c r="D12" s="218"/>
      <c r="E12" s="219">
        <f t="shared" si="0"/>
        <v>50060374.970000006</v>
      </c>
      <c r="J12" s="220"/>
    </row>
    <row r="13" spans="1:10" x14ac:dyDescent="0.25">
      <c r="A13" s="212"/>
      <c r="B13" s="216" t="s">
        <v>78</v>
      </c>
      <c r="C13" s="217">
        <f>'2. RC'!E12</f>
        <v>702048216.78000021</v>
      </c>
      <c r="D13" s="218"/>
      <c r="E13" s="219">
        <f t="shared" si="0"/>
        <v>702048216.78000021</v>
      </c>
      <c r="F13" s="50"/>
      <c r="G13" s="156"/>
      <c r="J13" s="220"/>
    </row>
    <row r="14" spans="1:10" x14ac:dyDescent="0.25">
      <c r="A14" s="212"/>
      <c r="B14" s="221" t="s">
        <v>79</v>
      </c>
      <c r="C14" s="222">
        <f>'2. RC'!E13</f>
        <v>-38386040.959999889</v>
      </c>
      <c r="D14" s="218"/>
      <c r="E14" s="219">
        <f t="shared" si="0"/>
        <v>-38386040.959999889</v>
      </c>
      <c r="G14" s="156"/>
      <c r="J14" s="220"/>
    </row>
    <row r="15" spans="1:10" x14ac:dyDescent="0.25">
      <c r="A15" s="212"/>
      <c r="B15" s="216" t="s">
        <v>261</v>
      </c>
      <c r="C15" s="217">
        <f>'2. RC'!E14</f>
        <v>663662175.82000017</v>
      </c>
      <c r="D15" s="218"/>
      <c r="E15" s="219">
        <f t="shared" si="0"/>
        <v>663662175.82000017</v>
      </c>
      <c r="G15" s="156"/>
      <c r="J15" s="220"/>
    </row>
    <row r="16" spans="1:10" ht="25.5" x14ac:dyDescent="0.25">
      <c r="A16" s="212"/>
      <c r="B16" s="216" t="s">
        <v>81</v>
      </c>
      <c r="C16" s="217">
        <f>'2. RC'!E15</f>
        <v>6074953.819999991</v>
      </c>
      <c r="D16" s="218"/>
      <c r="E16" s="219">
        <f t="shared" si="0"/>
        <v>6074953.819999991</v>
      </c>
      <c r="G16" s="156"/>
      <c r="J16" s="220"/>
    </row>
    <row r="17" spans="1:11" x14ac:dyDescent="0.25">
      <c r="A17" s="212"/>
      <c r="B17" s="216" t="s">
        <v>82</v>
      </c>
      <c r="C17" s="217">
        <f>'2. RC'!E16</f>
        <v>884778.9100000005</v>
      </c>
      <c r="D17" s="218"/>
      <c r="E17" s="219">
        <f t="shared" si="0"/>
        <v>884778.9100000005</v>
      </c>
      <c r="F17" s="223"/>
      <c r="G17" s="156"/>
      <c r="J17" s="220"/>
      <c r="K17" s="224"/>
    </row>
    <row r="18" spans="1:11" x14ac:dyDescent="0.25">
      <c r="A18" s="212"/>
      <c r="B18" s="216" t="s">
        <v>83</v>
      </c>
      <c r="C18" s="217">
        <f>'2. RC'!E17</f>
        <v>0</v>
      </c>
      <c r="D18" s="218"/>
      <c r="E18" s="219">
        <f t="shared" si="0"/>
        <v>0</v>
      </c>
      <c r="G18" s="156"/>
      <c r="J18" s="220"/>
    </row>
    <row r="19" spans="1:11" ht="25.5" x14ac:dyDescent="0.25">
      <c r="A19" s="212"/>
      <c r="B19" s="216" t="s">
        <v>84</v>
      </c>
      <c r="C19" s="217">
        <f>'2. RC'!E18</f>
        <v>48403883.669999979</v>
      </c>
      <c r="D19" s="218">
        <f>'9. Capital'!C15</f>
        <v>22958343</v>
      </c>
      <c r="E19" s="219">
        <f t="shared" si="0"/>
        <v>25445540.669999979</v>
      </c>
      <c r="G19" s="156"/>
      <c r="J19" s="220"/>
    </row>
    <row r="20" spans="1:11" x14ac:dyDescent="0.25">
      <c r="A20" s="212"/>
      <c r="B20" s="216" t="s">
        <v>85</v>
      </c>
      <c r="C20" s="217">
        <f>'2. RC'!E19</f>
        <v>5265488.4849999994</v>
      </c>
      <c r="D20" s="218"/>
      <c r="E20" s="219">
        <f t="shared" si="0"/>
        <v>5265488.4849999994</v>
      </c>
      <c r="G20" s="156"/>
      <c r="J20" s="220"/>
    </row>
    <row r="21" spans="1:11" ht="51.75" thickBot="1" x14ac:dyDescent="0.3">
      <c r="A21" s="225"/>
      <c r="B21" s="226" t="s">
        <v>262</v>
      </c>
      <c r="C21" s="227">
        <f>SUM(C8:C12)+SUM(C15:C20)</f>
        <v>964681313.125</v>
      </c>
      <c r="D21" s="227">
        <f>SUM(D8:D12)+SUM(D15:D20)</f>
        <v>22958343</v>
      </c>
      <c r="E21" s="228">
        <f>SUM(E8:E12)+SUM(E15:E20)</f>
        <v>941722970.125</v>
      </c>
      <c r="G21" s="156"/>
    </row>
    <row r="22" spans="1:11" x14ac:dyDescent="0.25">
      <c r="A22"/>
      <c r="C22"/>
      <c r="D22"/>
      <c r="E22" s="224"/>
      <c r="G22" s="156"/>
    </row>
    <row r="23" spans="1:11" x14ac:dyDescent="0.25">
      <c r="A23"/>
      <c r="B23" s="229"/>
      <c r="C23" s="230"/>
      <c r="D23"/>
      <c r="E23" s="50"/>
      <c r="G23" s="156"/>
    </row>
    <row r="24" spans="1:11" x14ac:dyDescent="0.25">
      <c r="B24" s="231"/>
      <c r="C24" s="232"/>
      <c r="D24" s="232"/>
      <c r="E24" s="232"/>
    </row>
    <row r="25" spans="1:11" s="23" customFormat="1" x14ac:dyDescent="0.25">
      <c r="B25" s="233"/>
      <c r="E25" s="232"/>
      <c r="F25"/>
      <c r="G25"/>
    </row>
    <row r="26" spans="1:11" s="23" customFormat="1" x14ac:dyDescent="0.25">
      <c r="B26" s="234"/>
      <c r="D26" s="102"/>
      <c r="F26"/>
      <c r="G26"/>
    </row>
    <row r="27" spans="1:11" s="23" customFormat="1" x14ac:dyDescent="0.25">
      <c r="B27" s="233"/>
      <c r="D27" s="102"/>
      <c r="F27"/>
      <c r="G27"/>
    </row>
    <row r="28" spans="1:11" s="23" customFormat="1" x14ac:dyDescent="0.25">
      <c r="B28" s="233"/>
      <c r="F28"/>
      <c r="G28"/>
    </row>
    <row r="29" spans="1:11" s="23" customFormat="1" x14ac:dyDescent="0.25">
      <c r="B29" s="233"/>
      <c r="F29"/>
      <c r="G29"/>
    </row>
    <row r="30" spans="1:11" s="23" customFormat="1" x14ac:dyDescent="0.25">
      <c r="B30" s="233"/>
      <c r="F30"/>
      <c r="G30"/>
    </row>
    <row r="31" spans="1:11" s="23" customFormat="1" x14ac:dyDescent="0.25">
      <c r="B31" s="233"/>
      <c r="F31"/>
      <c r="G31"/>
    </row>
    <row r="32" spans="1:11" s="23" customFormat="1" x14ac:dyDescent="0.25">
      <c r="B32" s="234"/>
      <c r="F32"/>
      <c r="G32"/>
    </row>
    <row r="33" spans="2:7" s="23" customFormat="1" x14ac:dyDescent="0.25">
      <c r="B33" s="234"/>
      <c r="F33"/>
      <c r="G33"/>
    </row>
    <row r="34" spans="2:7" s="23" customFormat="1" x14ac:dyDescent="0.25">
      <c r="B34" s="234"/>
      <c r="F34"/>
      <c r="G34"/>
    </row>
    <row r="35" spans="2:7" s="23" customFormat="1" x14ac:dyDescent="0.25">
      <c r="B35" s="234"/>
      <c r="F35"/>
      <c r="G35"/>
    </row>
    <row r="36" spans="2:7" s="23" customFormat="1" x14ac:dyDescent="0.25">
      <c r="B36" s="234"/>
      <c r="F36"/>
      <c r="G36"/>
    </row>
    <row r="37" spans="2:7" s="23" customFormat="1" x14ac:dyDescent="0.25">
      <c r="B37" s="234"/>
      <c r="F37"/>
      <c r="G37"/>
    </row>
  </sheetData>
  <mergeCells count="3">
    <mergeCell ref="B6:B7"/>
    <mergeCell ref="C6:C7"/>
    <mergeCell ref="D6:E6"/>
  </mergeCells>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3"/>
  <sheetViews>
    <sheetView zoomScaleNormal="100" workbookViewId="0">
      <pane xSplit="1" ySplit="4" topLeftCell="B5" activePane="bottomRight" state="frozen"/>
      <selection activeCell="C9" sqref="C9"/>
      <selection pane="topRight" activeCell="C9" sqref="C9"/>
      <selection pane="bottomLeft" activeCell="C9" sqref="C9"/>
      <selection pane="bottomRight" activeCell="C9" sqref="C9"/>
    </sheetView>
  </sheetViews>
  <sheetFormatPr defaultRowHeight="15" outlineLevelRow="1" x14ac:dyDescent="0.25"/>
  <cols>
    <col min="1" max="1" width="9.5703125" style="23" bestFit="1" customWidth="1"/>
    <col min="2" max="2" width="114.28515625" style="23" customWidth="1"/>
    <col min="3" max="3" width="18.85546875" style="23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24" t="s">
        <v>29</v>
      </c>
      <c r="B1" s="23" t="str">
        <f>'1. key ratios'!B1</f>
        <v>სს ტერაბანკი</v>
      </c>
    </row>
    <row r="2" spans="1:6" s="203" customFormat="1" ht="15.75" customHeight="1" x14ac:dyDescent="0.3">
      <c r="A2" s="203" t="s">
        <v>31</v>
      </c>
      <c r="B2" s="77">
        <f>'1. key ratios'!B2</f>
        <v>43555</v>
      </c>
      <c r="C2" s="235"/>
      <c r="D2"/>
      <c r="E2"/>
      <c r="F2"/>
    </row>
    <row r="3" spans="1:6" s="203" customFormat="1" ht="15.75" customHeight="1" x14ac:dyDescent="0.3">
      <c r="C3" s="235"/>
      <c r="D3"/>
      <c r="E3"/>
      <c r="F3"/>
    </row>
    <row r="4" spans="1:6" s="203" customFormat="1" ht="26.25" thickBot="1" x14ac:dyDescent="0.35">
      <c r="A4" s="203" t="s">
        <v>263</v>
      </c>
      <c r="B4" s="236" t="s">
        <v>19</v>
      </c>
      <c r="C4" s="237" t="s">
        <v>66</v>
      </c>
      <c r="D4"/>
      <c r="E4"/>
      <c r="F4"/>
    </row>
    <row r="5" spans="1:6" ht="26.25" x14ac:dyDescent="0.25">
      <c r="A5" s="238">
        <v>1</v>
      </c>
      <c r="B5" s="239" t="s">
        <v>264</v>
      </c>
      <c r="C5" s="240">
        <f>'7. LI1'!E21</f>
        <v>941722970.125</v>
      </c>
    </row>
    <row r="6" spans="1:6" s="15" customFormat="1" x14ac:dyDescent="0.25">
      <c r="A6" s="241">
        <v>2.1</v>
      </c>
      <c r="B6" s="242" t="s">
        <v>265</v>
      </c>
      <c r="C6" s="243">
        <v>62841404.959999986</v>
      </c>
      <c r="D6" s="244"/>
    </row>
    <row r="7" spans="1:6" s="249" customFormat="1" ht="25.5" outlineLevel="1" x14ac:dyDescent="0.25">
      <c r="A7" s="245">
        <v>2.2000000000000002</v>
      </c>
      <c r="B7" s="246" t="s">
        <v>266</v>
      </c>
      <c r="C7" s="247">
        <v>27533022</v>
      </c>
      <c r="D7" s="248"/>
    </row>
    <row r="8" spans="1:6" s="249" customFormat="1" ht="26.25" x14ac:dyDescent="0.25">
      <c r="A8" s="245">
        <v>3</v>
      </c>
      <c r="B8" s="250" t="s">
        <v>267</v>
      </c>
      <c r="C8" s="251">
        <f>SUM(C5:C7)</f>
        <v>1032097397.085</v>
      </c>
      <c r="D8" s="248"/>
    </row>
    <row r="9" spans="1:6" s="15" customFormat="1" x14ac:dyDescent="0.25">
      <c r="A9" s="241">
        <v>4</v>
      </c>
      <c r="B9" s="252" t="s">
        <v>268</v>
      </c>
      <c r="C9" s="253">
        <v>12076582.320000015</v>
      </c>
      <c r="D9" s="244"/>
    </row>
    <row r="10" spans="1:6" s="249" customFormat="1" ht="25.5" outlineLevel="1" x14ac:dyDescent="0.25">
      <c r="A10" s="245">
        <v>5.0999999999999996</v>
      </c>
      <c r="B10" s="246" t="s">
        <v>269</v>
      </c>
      <c r="C10" s="247">
        <v>-29001983.621999994</v>
      </c>
    </row>
    <row r="11" spans="1:6" s="249" customFormat="1" ht="25.5" outlineLevel="1" x14ac:dyDescent="0.25">
      <c r="A11" s="245">
        <v>5.2</v>
      </c>
      <c r="B11" s="246" t="s">
        <v>270</v>
      </c>
      <c r="C11" s="247">
        <f>-(C7-'15. CCR'!E21)</f>
        <v>-26982361.559999999</v>
      </c>
    </row>
    <row r="12" spans="1:6" s="249" customFormat="1" x14ac:dyDescent="0.25">
      <c r="A12" s="245">
        <v>6</v>
      </c>
      <c r="B12" s="254" t="s">
        <v>271</v>
      </c>
      <c r="C12" s="247">
        <v>0</v>
      </c>
    </row>
    <row r="13" spans="1:6" s="249" customFormat="1" ht="15.75" thickBot="1" x14ac:dyDescent="0.3">
      <c r="A13" s="255">
        <v>7</v>
      </c>
      <c r="B13" s="256" t="s">
        <v>272</v>
      </c>
      <c r="C13" s="257">
        <f>SUM(C8:C12)</f>
        <v>988189634.22300017</v>
      </c>
      <c r="D13" s="248"/>
    </row>
    <row r="14" spans="1:6" x14ac:dyDescent="0.25">
      <c r="C14" s="258"/>
      <c r="D14" s="50"/>
      <c r="E14" s="50"/>
    </row>
    <row r="15" spans="1:6" x14ac:dyDescent="0.25">
      <c r="D15" s="224"/>
    </row>
    <row r="16" spans="1:6" x14ac:dyDescent="0.25">
      <c r="D16" s="224"/>
    </row>
    <row r="17" spans="2:9" s="23" customFormat="1" x14ac:dyDescent="0.25">
      <c r="C17" s="235"/>
      <c r="D17" s="50"/>
      <c r="E17"/>
      <c r="F17"/>
      <c r="G17"/>
      <c r="H17"/>
      <c r="I17"/>
    </row>
    <row r="18" spans="2:9" s="23" customFormat="1" x14ac:dyDescent="0.25">
      <c r="C18" s="235"/>
      <c r="D18"/>
      <c r="E18"/>
      <c r="F18"/>
      <c r="G18"/>
      <c r="H18"/>
      <c r="I18"/>
    </row>
    <row r="19" spans="2:9" s="23" customFormat="1" x14ac:dyDescent="0.25">
      <c r="B19" s="259"/>
      <c r="C19" s="235"/>
      <c r="D19"/>
      <c r="E19"/>
      <c r="F19"/>
      <c r="G19"/>
      <c r="H19"/>
      <c r="I19"/>
    </row>
    <row r="20" spans="2:9" s="23" customFormat="1" x14ac:dyDescent="0.25">
      <c r="B20" s="234"/>
      <c r="C20" s="260"/>
      <c r="D20" s="50"/>
      <c r="E20"/>
      <c r="F20"/>
      <c r="G20"/>
      <c r="H20"/>
      <c r="I20"/>
    </row>
    <row r="21" spans="2:9" s="23" customFormat="1" x14ac:dyDescent="0.25">
      <c r="B21" s="233"/>
      <c r="C21" s="235"/>
      <c r="D21"/>
      <c r="E21"/>
      <c r="F21"/>
      <c r="G21"/>
      <c r="H21"/>
      <c r="I21"/>
    </row>
    <row r="22" spans="2:9" s="23" customFormat="1" x14ac:dyDescent="0.25">
      <c r="B22" s="234"/>
      <c r="C22" s="261"/>
      <c r="D22"/>
      <c r="E22"/>
      <c r="F22"/>
      <c r="G22"/>
      <c r="H22"/>
      <c r="I22"/>
    </row>
    <row r="23" spans="2:9" s="23" customFormat="1" x14ac:dyDescent="0.25">
      <c r="B23" s="233"/>
      <c r="C23" s="261"/>
      <c r="D23"/>
      <c r="E23"/>
      <c r="F23"/>
      <c r="G23"/>
      <c r="H23"/>
      <c r="I23"/>
    </row>
    <row r="24" spans="2:9" s="23" customFormat="1" x14ac:dyDescent="0.25">
      <c r="B24" s="233"/>
      <c r="C24" s="235"/>
      <c r="D24"/>
      <c r="E24"/>
      <c r="F24"/>
      <c r="G24"/>
      <c r="H24"/>
      <c r="I24"/>
    </row>
    <row r="25" spans="2:9" s="23" customFormat="1" x14ac:dyDescent="0.25">
      <c r="B25" s="233"/>
      <c r="C25" s="235"/>
      <c r="D25"/>
      <c r="E25"/>
      <c r="F25"/>
      <c r="G25"/>
      <c r="H25"/>
      <c r="I25"/>
    </row>
    <row r="26" spans="2:9" s="23" customFormat="1" x14ac:dyDescent="0.25">
      <c r="B26" s="233"/>
      <c r="C26" s="235"/>
      <c r="D26"/>
      <c r="E26"/>
      <c r="F26"/>
      <c r="G26"/>
      <c r="H26"/>
      <c r="I26"/>
    </row>
    <row r="27" spans="2:9" s="23" customFormat="1" x14ac:dyDescent="0.25">
      <c r="B27" s="233"/>
      <c r="C27" s="235"/>
      <c r="D27"/>
      <c r="E27"/>
      <c r="F27"/>
      <c r="G27"/>
      <c r="H27"/>
      <c r="I27"/>
    </row>
    <row r="28" spans="2:9" s="23" customFormat="1" x14ac:dyDescent="0.25">
      <c r="B28" s="234"/>
      <c r="C28" s="235"/>
      <c r="D28"/>
      <c r="E28"/>
      <c r="F28"/>
      <c r="G28"/>
      <c r="H28"/>
      <c r="I28"/>
    </row>
    <row r="29" spans="2:9" s="23" customFormat="1" x14ac:dyDescent="0.25">
      <c r="B29" s="234"/>
      <c r="C29" s="235"/>
      <c r="D29"/>
      <c r="E29"/>
      <c r="F29"/>
      <c r="G29"/>
      <c r="H29"/>
      <c r="I29"/>
    </row>
    <row r="30" spans="2:9" s="23" customFormat="1" x14ac:dyDescent="0.25">
      <c r="B30" s="234"/>
      <c r="C30" s="235"/>
      <c r="D30"/>
      <c r="E30"/>
      <c r="F30"/>
      <c r="G30"/>
      <c r="H30"/>
      <c r="I30"/>
    </row>
    <row r="31" spans="2:9" s="23" customFormat="1" x14ac:dyDescent="0.25">
      <c r="B31" s="234"/>
      <c r="C31" s="235"/>
      <c r="D31"/>
      <c r="E31"/>
      <c r="F31"/>
      <c r="G31"/>
      <c r="H31"/>
      <c r="I31"/>
    </row>
    <row r="32" spans="2:9" s="23" customFormat="1" x14ac:dyDescent="0.25">
      <c r="B32" s="234"/>
      <c r="C32" s="235"/>
      <c r="D32"/>
      <c r="E32"/>
      <c r="F32"/>
      <c r="G32"/>
      <c r="H32"/>
      <c r="I32"/>
    </row>
    <row r="33" spans="2:9" s="23" customFormat="1" x14ac:dyDescent="0.25">
      <c r="B33" s="234"/>
      <c r="C33" s="235"/>
      <c r="D33"/>
      <c r="E33"/>
      <c r="F33"/>
      <c r="G33"/>
      <c r="H33"/>
      <c r="I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NIfaLgf5P+vHs3kp9QvhSdHsDUIlsVUfSRFYUdvgMRg=</DigestValue>
    </Reference>
    <Reference Type="http://www.w3.org/2000/09/xmldsig#Object" URI="#idOfficeObject">
      <DigestMethod Algorithm="http://www.w3.org/2001/04/xmlenc#sha256"/>
      <DigestValue>yo6l1+EMQD7OZURcImJJZpzMNqeQC6Q7uyxh0vJFhpU=</DigestValue>
    </Reference>
    <Reference Type="http://uri.etsi.org/01903#SignedProperties" URI="#idSignedProperties">
      <Transforms>
        <Transform Algorithm="http://www.w3.org/TR/2001/REC-xml-c14n-20010315"/>
      </Transforms>
      <DigestMethod Algorithm="http://www.w3.org/2001/04/xmlenc#sha256"/>
      <DigestValue>MvOe7Bag3V0bWlPnA2fmN09sKDO5Rxe8LFrSzpP+L5E=</DigestValue>
    </Reference>
  </SignedInfo>
  <SignatureValue>BD+EO2HMFPMGTAEA4BBZ7muIuL6G4mJWsSYO67H+AYbbVUVttDWKUScyRm4KBNQ2TCFjtcMgtSaM
puFfUKMumkhkdW3R+pgC+592HgLvePCMK97GFYEv8T9m8UjhMOPAnh0RQQVeszspgY/kudXfyfXL
o+gUuYQDREtVIStCeTVSay+K9qOC1QDcrylXX4nOn9OUjiB4UOwLOzkuksRid/qBx91d5f82yYB2
0F1jpNuW4TIviWSeR6nT9lukJRYZ4qAmSGKF7e9iEzSJmUT8zZSnLXjmK1rQkXOJzdrkWS+2fi1d
ippJa1pgNLFg2xb+FPeKhOCRNLcskUnqqGlpaA==</SignatureValue>
  <KeyInfo>
    <X509Data>
      <X509Certificate>MIIGOjCCBSKgAwIBAgIKeiEa6gACAADZFzANBgkqhkiG9w0BAQsFADBKMRIwEAYKCZImiZPyLGQBGRYCZ2UxEzARBgoJkiaJk/IsZAEZFgNuYmcxHzAdBgNVBAMTFk5CRyBDbGFzcyAyIElOVCBTdWIgQ0EwHhcNMTgxMTAxMDgyNTU1WhcNMjAxMDMxMDgyNTU1WjA4MRUwEwYDVQQKEwxKU0MgVGVyYWJhbmsxHzAdBgNVBAMTFkJLUyAtIE5hdGlhIEJlbmFzaHZpbGkwggEiMA0GCSqGSIb3DQEBAQUAA4IBDwAwggEKAoIBAQDixF5Z+Wyx3zYps6oZXXFu6e/b75YnKibLktXlBIFOahMNNfX+tHAaVyc0+JKP42mjmEt+hcR+Tn1xy5wO+1QF/IS36tJVT4Jhbx+OM0QZlW/U58eTborgo2/sV2q9OUuf9oBzdTvPlXvV+cuvAy9ZZAynvtRlZocyiESTwXxy6/8HzwF3x/5o9nwsl8bqyhbt7PFIu+zLdMy+OJIL4CM9+TiQSqOhFj/4lQ/suqRixifjduGLSuLhRAL94ApsXZz59MR7RRXY4fEZi63hjPeBo3Cr+Jeew78KYqDMXs7eVDTN7nm+gL+P1dwJ2cV4v1rIuoK2wY4YEpwMTChdteg/AgMBAAGjggMyMIIDLjA8BgkrBgEEAYI3FQcELzAtBiUrBgEEAYI3FQjmsmCDjfVEhoGZCYO4oUqDvoRxBIPEkTOEg4hdAgFkAgEjMB0GA1UdJQQWMBQGCCsGAQUFBwMCBggrBgEFBQcDBDALBgNVHQ8EBAMCB4AwJwYJKwYBBAGCNxUKBBowGDAKBggrBgEFBQcDAjAKBggrBgEFBQcDBDAdBgNVHQ4EFgQUNu9ni8m2sKwj6T0hvB07L7owNd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Mf9yJIdfn6Shy6NqDfIvJC/4saMe0Qo4OZsf8kyMrPtLz4kDQXq67Bld/R37Tqy3DjQLOF3uIFimoxgdbvnfxTAjGVcChWEXUMHMS5xUu0egzsRM1YRYFj+bh2n5X455kaYYTKkCOkgcChwtbthHYQTQhR9gRpUXEanJnwfztdY03d1F6KQwhmDtuwRx1xQ2af0rmtbHEfvujcYh9pWQVR/2wsWmJPF3yvMPpHquwH2gxddvODmLw9hKBr3YWkqAphc8t/ck2pfquIb9qmIvxjHx1P5Zcfbm1aCQ3wGpZiYkLFaSJEAfJoCCCo21K0RxT243WDoFP69laozp5eP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D2/XqRiv33NYR6vAaVVyRaB94eWKxQkKUt3tlGZXdXY=</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De0H5MtybmZdaF9auN8SpHWFnMtQbfbWjYhbJJ/T3bE=</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pFDAuwHxZ/bBTJrtfTzsJf2zEBnaELsAU8MRnm4JKoQ=</DigestValue>
      </Reference>
      <Reference URI="/xl/externalLinks/externalLink3.xml?ContentType=application/vnd.openxmlformats-officedocument.spreadsheetml.externalLink+xml">
        <DigestMethod Algorithm="http://www.w3.org/2001/04/xmlenc#sha256"/>
        <DigestValue>GZWEgbkph14AGNMNLjaOMcNHRyClBTAzcTupvQes9s8=</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mIU4rRSCMQw4OZj15mmAaiqNS3hsJ4gCnBkR7XGLygI=</DigestValue>
      </Reference>
      <Reference URI="/xl/printerSettings/printerSettings10.bin?ContentType=application/vnd.openxmlformats-officedocument.spreadsheetml.printerSettings">
        <DigestMethod Algorithm="http://www.w3.org/2001/04/xmlenc#sha256"/>
        <DigestValue>mIU4rRSCMQw4OZj15mmAaiqNS3hsJ4gCnBkR7XGLygI=</DigestValue>
      </Reference>
      <Reference URI="/xl/printerSettings/printerSettings11.bin?ContentType=application/vnd.openxmlformats-officedocument.spreadsheetml.printerSettings">
        <DigestMethod Algorithm="http://www.w3.org/2001/04/xmlenc#sha256"/>
        <DigestValue>mIU4rRSCMQw4OZj15mmAaiqNS3hsJ4gCnBkR7XGLygI=</DigestValue>
      </Reference>
      <Reference URI="/xl/printerSettings/printerSettings12.bin?ContentType=application/vnd.openxmlformats-officedocument.spreadsheetml.printerSettings">
        <DigestMethod Algorithm="http://www.w3.org/2001/04/xmlenc#sha256"/>
        <DigestValue>mIU4rRSCMQw4OZj15mmAaiqNS3hsJ4gCnBkR7XGLygI=</DigestValue>
      </Reference>
      <Reference URI="/xl/printerSettings/printerSettings13.bin?ContentType=application/vnd.openxmlformats-officedocument.spreadsheetml.printerSettings">
        <DigestMethod Algorithm="http://www.w3.org/2001/04/xmlenc#sha256"/>
        <DigestValue>EOpY/HK0Vq4MGYozV6o5hJTVLGreGuMk2eHJXUAoU7s=</DigestValue>
      </Reference>
      <Reference URI="/xl/printerSettings/printerSettings14.bin?ContentType=application/vnd.openxmlformats-officedocument.spreadsheetml.printerSettings">
        <DigestMethod Algorithm="http://www.w3.org/2001/04/xmlenc#sha256"/>
        <DigestValue>8A+P69LY7ZSh5L0b5+tb/7LNdctL+0q1vR4pwVLlUfA=</DigestValue>
      </Reference>
      <Reference URI="/xl/printerSettings/printerSettings15.bin?ContentType=application/vnd.openxmlformats-officedocument.spreadsheetml.printerSettings">
        <DigestMethod Algorithm="http://www.w3.org/2001/04/xmlenc#sha256"/>
        <DigestValue>8A+P69LY7ZSh5L0b5+tb/7LNdctL+0q1vR4pwVLlUfA=</DigestValue>
      </Reference>
      <Reference URI="/xl/printerSettings/printerSettings16.bin?ContentType=application/vnd.openxmlformats-officedocument.spreadsheetml.printerSettings">
        <DigestMethod Algorithm="http://www.w3.org/2001/04/xmlenc#sha256"/>
        <DigestValue>EOpY/HK0Vq4MGYozV6o5hJTVLGreGuMk2eHJXUAoU7s=</DigestValue>
      </Reference>
      <Reference URI="/xl/printerSettings/printerSettings17.bin?ContentType=application/vnd.openxmlformats-officedocument.spreadsheetml.printerSettings">
        <DigestMethod Algorithm="http://www.w3.org/2001/04/xmlenc#sha256"/>
        <DigestValue>EOpY/HK0Vq4MGYozV6o5hJTVLGreGuMk2eHJXUAoU7s=</DigestValue>
      </Reference>
      <Reference URI="/xl/printerSettings/printerSettings18.bin?ContentType=application/vnd.openxmlformats-officedocument.spreadsheetml.printerSettings">
        <DigestMethod Algorithm="http://www.w3.org/2001/04/xmlenc#sha256"/>
        <DigestValue>mIU4rRSCMQw4OZj15mmAaiqNS3hsJ4gCnBkR7XGLygI=</DigestValue>
      </Reference>
      <Reference URI="/xl/printerSettings/printerSettings2.bin?ContentType=application/vnd.openxmlformats-officedocument.spreadsheetml.printerSettings">
        <DigestMethod Algorithm="http://www.w3.org/2001/04/xmlenc#sha256"/>
        <DigestValue>mIU4rRSCMQw4OZj15mmAaiqNS3hsJ4gCnBkR7XGLygI=</DigestValue>
      </Reference>
      <Reference URI="/xl/printerSettings/printerSettings3.bin?ContentType=application/vnd.openxmlformats-officedocument.spreadsheetml.printerSettings">
        <DigestMethod Algorithm="http://www.w3.org/2001/04/xmlenc#sha256"/>
        <DigestValue>mIU4rRSCMQw4OZj15mmAaiqNS3hsJ4gCnBkR7XGLygI=</DigestValue>
      </Reference>
      <Reference URI="/xl/printerSettings/printerSettings4.bin?ContentType=application/vnd.openxmlformats-officedocument.spreadsheetml.printerSettings">
        <DigestMethod Algorithm="http://www.w3.org/2001/04/xmlenc#sha256"/>
        <DigestValue>mIU4rRSCMQw4OZj15mmAaiqNS3hsJ4gCnBkR7XGLygI=</DigestValue>
      </Reference>
      <Reference URI="/xl/printerSettings/printerSettings5.bin?ContentType=application/vnd.openxmlformats-officedocument.spreadsheetml.printerSettings">
        <DigestMethod Algorithm="http://www.w3.org/2001/04/xmlenc#sha256"/>
        <DigestValue>mIU4rRSCMQw4OZj15mmAaiqNS3hsJ4gCnBkR7XGLygI=</DigestValue>
      </Reference>
      <Reference URI="/xl/printerSettings/printerSettings6.bin?ContentType=application/vnd.openxmlformats-officedocument.spreadsheetml.printerSettings">
        <DigestMethod Algorithm="http://www.w3.org/2001/04/xmlenc#sha256"/>
        <DigestValue>mIU4rRSCMQw4OZj15mmAaiqNS3hsJ4gCnBkR7XGLygI=</DigestValue>
      </Reference>
      <Reference URI="/xl/printerSettings/printerSettings7.bin?ContentType=application/vnd.openxmlformats-officedocument.spreadsheetml.printerSettings">
        <DigestMethod Algorithm="http://www.w3.org/2001/04/xmlenc#sha256"/>
        <DigestValue>mIU4rRSCMQw4OZj15mmAaiqNS3hsJ4gCnBkR7XGLygI=</DigestValue>
      </Reference>
      <Reference URI="/xl/printerSettings/printerSettings8.bin?ContentType=application/vnd.openxmlformats-officedocument.spreadsheetml.printerSettings">
        <DigestMethod Algorithm="http://www.w3.org/2001/04/xmlenc#sha256"/>
        <DigestValue>EOpY/HK0Vq4MGYozV6o5hJTVLGreGuMk2eHJXUAoU7s=</DigestValue>
      </Reference>
      <Reference URI="/xl/printerSettings/printerSettings9.bin?ContentType=application/vnd.openxmlformats-officedocument.spreadsheetml.printerSettings">
        <DigestMethod Algorithm="http://www.w3.org/2001/04/xmlenc#sha256"/>
        <DigestValue>mIU4rRSCMQw4OZj15mmAaiqNS3hsJ4gCnBkR7XGLygI=</DigestValue>
      </Reference>
      <Reference URI="/xl/sharedStrings.xml?ContentType=application/vnd.openxmlformats-officedocument.spreadsheetml.sharedStrings+xml">
        <DigestMethod Algorithm="http://www.w3.org/2001/04/xmlenc#sha256"/>
        <DigestValue>mN5uwmOtYvxTIgN0dw0K8vLYsLv056Gwy4JSg/t20fk=</DigestValue>
      </Reference>
      <Reference URI="/xl/styles.xml?ContentType=application/vnd.openxmlformats-officedocument.spreadsheetml.styles+xml">
        <DigestMethod Algorithm="http://www.w3.org/2001/04/xmlenc#sha256"/>
        <DigestValue>HAhfTaAsXCkk98EZ+2Czr5QwGSw4r0GYY71by3f4cUY=</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NNlgCvXZ5A5+ySawe21TCcf6IvvflRKC9foyyzkbH0k=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bNZl6dO2HvsSV0ym2YC4MlrsqvoLmyEcp3gtRp91p6c=</DigestValue>
      </Reference>
      <Reference URI="/xl/worksheets/sheet10.xml?ContentType=application/vnd.openxmlformats-officedocument.spreadsheetml.worksheet+xml">
        <DigestMethod Algorithm="http://www.w3.org/2001/04/xmlenc#sha256"/>
        <DigestValue>1cjKS8kTeSuMYf2w9C7D7p4rWtE1ebFMwDIUo9I1aP0=</DigestValue>
      </Reference>
      <Reference URI="/xl/worksheets/sheet11.xml?ContentType=application/vnd.openxmlformats-officedocument.spreadsheetml.worksheet+xml">
        <DigestMethod Algorithm="http://www.w3.org/2001/04/xmlenc#sha256"/>
        <DigestValue>pN9jrqtjUFos+fm5uSPqSS35+zV0PDdS2B9WqbrFJ8s=</DigestValue>
      </Reference>
      <Reference URI="/xl/worksheets/sheet12.xml?ContentType=application/vnd.openxmlformats-officedocument.spreadsheetml.worksheet+xml">
        <DigestMethod Algorithm="http://www.w3.org/2001/04/xmlenc#sha256"/>
        <DigestValue>Ozmyl7LfkY9LY6nWZVDQzJ8WuJd+EQSMmwHslKygBK8=</DigestValue>
      </Reference>
      <Reference URI="/xl/worksheets/sheet13.xml?ContentType=application/vnd.openxmlformats-officedocument.spreadsheetml.worksheet+xml">
        <DigestMethod Algorithm="http://www.w3.org/2001/04/xmlenc#sha256"/>
        <DigestValue>75Bs7WG3T/phlerkNblNvyT755v2HsF1Mo9KqRJ2rXc=</DigestValue>
      </Reference>
      <Reference URI="/xl/worksheets/sheet14.xml?ContentType=application/vnd.openxmlformats-officedocument.spreadsheetml.worksheet+xml">
        <DigestMethod Algorithm="http://www.w3.org/2001/04/xmlenc#sha256"/>
        <DigestValue>y9KDF8UbASamo1T3Q7J813MhziYNCAfYqfK3XImOwkY=</DigestValue>
      </Reference>
      <Reference URI="/xl/worksheets/sheet15.xml?ContentType=application/vnd.openxmlformats-officedocument.spreadsheetml.worksheet+xml">
        <DigestMethod Algorithm="http://www.w3.org/2001/04/xmlenc#sha256"/>
        <DigestValue>bKCZ/WN2pT549rsJvVgHmOFHuX94ZJF8Ta5AYAjJoCo=</DigestValue>
      </Reference>
      <Reference URI="/xl/worksheets/sheet16.xml?ContentType=application/vnd.openxmlformats-officedocument.spreadsheetml.worksheet+xml">
        <DigestMethod Algorithm="http://www.w3.org/2001/04/xmlenc#sha256"/>
        <DigestValue>esNtBKgDPyP5Jjv3HiHYXipPsUQJV8L9CpV2tW9r5cA=</DigestValue>
      </Reference>
      <Reference URI="/xl/worksheets/sheet17.xml?ContentType=application/vnd.openxmlformats-officedocument.spreadsheetml.worksheet+xml">
        <DigestMethod Algorithm="http://www.w3.org/2001/04/xmlenc#sha256"/>
        <DigestValue>+FRkNRQ858PmVCzoNpQj+5dgREk1eJ+G3X5z8Sw3kZM=</DigestValue>
      </Reference>
      <Reference URI="/xl/worksheets/sheet18.xml?ContentType=application/vnd.openxmlformats-officedocument.spreadsheetml.worksheet+xml">
        <DigestMethod Algorithm="http://www.w3.org/2001/04/xmlenc#sha256"/>
        <DigestValue>97sL39fZXyI0ZNTv4KJhnnAF0TivWT2I7sQxFTz9GXw=</DigestValue>
      </Reference>
      <Reference URI="/xl/worksheets/sheet2.xml?ContentType=application/vnd.openxmlformats-officedocument.spreadsheetml.worksheet+xml">
        <DigestMethod Algorithm="http://www.w3.org/2001/04/xmlenc#sha256"/>
        <DigestValue>dSKVlpQQaq1S/gYziVu7il1TNHyjIjKwWxmubUpuxmM=</DigestValue>
      </Reference>
      <Reference URI="/xl/worksheets/sheet3.xml?ContentType=application/vnd.openxmlformats-officedocument.spreadsheetml.worksheet+xml">
        <DigestMethod Algorithm="http://www.w3.org/2001/04/xmlenc#sha256"/>
        <DigestValue>KOne/eAsQwQ83gOO3LXHrGXeCeFzqJYjoyZFTLCz5TE=</DigestValue>
      </Reference>
      <Reference URI="/xl/worksheets/sheet4.xml?ContentType=application/vnd.openxmlformats-officedocument.spreadsheetml.worksheet+xml">
        <DigestMethod Algorithm="http://www.w3.org/2001/04/xmlenc#sha256"/>
        <DigestValue>ulOrjx67nJ4HPMXtp+f8ptopg6DslGXGx/7g4jsPJyM=</DigestValue>
      </Reference>
      <Reference URI="/xl/worksheets/sheet5.xml?ContentType=application/vnd.openxmlformats-officedocument.spreadsheetml.worksheet+xml">
        <DigestMethod Algorithm="http://www.w3.org/2001/04/xmlenc#sha256"/>
        <DigestValue>1SyKfga3jz2HaJa37T+WoIH5Zd9au34yqe7w8BDc+R4=</DigestValue>
      </Reference>
      <Reference URI="/xl/worksheets/sheet6.xml?ContentType=application/vnd.openxmlformats-officedocument.spreadsheetml.worksheet+xml">
        <DigestMethod Algorithm="http://www.w3.org/2001/04/xmlenc#sha256"/>
        <DigestValue>FtXSkNMNEdMMKtsicUjkSvIEQdrCzEX9KM0k3hcer0s=</DigestValue>
      </Reference>
      <Reference URI="/xl/worksheets/sheet7.xml?ContentType=application/vnd.openxmlformats-officedocument.spreadsheetml.worksheet+xml">
        <DigestMethod Algorithm="http://www.w3.org/2001/04/xmlenc#sha256"/>
        <DigestValue>1Lr3n3BuZ5mmS9AT+mDRhubu/YeHxLpdYJny8tYK10U=</DigestValue>
      </Reference>
      <Reference URI="/xl/worksheets/sheet8.xml?ContentType=application/vnd.openxmlformats-officedocument.spreadsheetml.worksheet+xml">
        <DigestMethod Algorithm="http://www.w3.org/2001/04/xmlenc#sha256"/>
        <DigestValue>3fhDI4ZfEwvpCbLaE9idclcB6zQBKmSdwxq8aVyH6Yo=</DigestValue>
      </Reference>
      <Reference URI="/xl/worksheets/sheet9.xml?ContentType=application/vnd.openxmlformats-officedocument.spreadsheetml.worksheet+xml">
        <DigestMethod Algorithm="http://www.w3.org/2001/04/xmlenc#sha256"/>
        <DigestValue>52rc8pI8i/RJ1HXElMBRk0uneMXYoKZ1MvpBMVJbOuQ=</DigestValue>
      </Reference>
    </Manifest>
    <SignatureProperties>
      <SignatureProperty Id="idSignatureTime" Target="#idPackageSignature">
        <mdssi:SignatureTime xmlns:mdssi="http://schemas.openxmlformats.org/package/2006/digital-signature">
          <mdssi:Format>YYYY-MM-DDThh:mm:ssTZD</mdssi:Format>
          <mdssi:Value>2019-04-30T11:46:47Z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2019-04-30T11:46:47Z</xd:SigningTime>
          <xd:SigningCertificate>
            <xd:Cert>
              <xd:CertDigest>
                <DigestMethod Algorithm="http://www.w3.org/2001/04/xmlenc#sha256"/>
                <DigestValue>80AFyi1aNvwtlX3l3g+8o+sr+jSPySVr9CY15heSUc0=</DigestValue>
              </xd:CertDigest>
              <xd:IssuerSerial>
                <X509IssuerName>CN=NBG Class 2 INT Sub CA, DC=nbg, DC=ge</X509IssuerName>
                <X509SerialNumber>576739392827127257684247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5xZvzDsFOMkevnIEIKTZjcDTahHuHaT+PzfpUsGii7A=</DigestValue>
    </Reference>
    <Reference Type="http://www.w3.org/2000/09/xmldsig#Object" URI="#idOfficeObject">
      <DigestMethod Algorithm="http://www.w3.org/2001/04/xmlenc#sha256"/>
      <DigestValue>yo6l1+EMQD7OZURcImJJZpzMNqeQC6Q7uyxh0vJFhpU=</DigestValue>
    </Reference>
    <Reference Type="http://uri.etsi.org/01903#SignedProperties" URI="#idSignedProperties">
      <Transforms>
        <Transform Algorithm="http://www.w3.org/TR/2001/REC-xml-c14n-20010315"/>
      </Transforms>
      <DigestMethod Algorithm="http://www.w3.org/2001/04/xmlenc#sha256"/>
      <DigestValue>TZJIGNrvnojbbU2di5y869aq85M6IkiyZ4e/ca91RkU=</DigestValue>
    </Reference>
  </SignedInfo>
  <SignatureValue>EZhwKQbHfXwThMcaTnAWASKWTQbl6GGmpGva9t/k8h492mWr03mxGRYbknAJWePMoUp7oI1kWCMA
OlX0B6AqxC4d16pt4MliyW7ON9dkJDIxAKY52hg3xooXcDM9D2s3Gm0qF9c9j1kPQd2hHI8zlhKG
63IJayWdV+BoJ4utrgqB/1soPYSfxSkABi0FyBQgzqLP5ZtEXBnNPvxd9naeSMrrE+4KVa1UwRcX
Ei0RhVvZ8KJ3Xk+TJiAySC533maMF+Q49qmWnRW9bPZAqu8ijOY9Y6SJ+ZNLDBLxeoUxZLHlRVbc
1acIUhZ2e/LsbKJuM7S5TOeQgk/hsxdLA1Micg==</SignatureValue>
  <KeyInfo>
    <X509Data>
      <X509Certificate>MIIGNzCCBR+gAwIBAgIKciOLlQACAAEQSjANBgkqhkiG9w0BAQsFADBKMRIwEAYKCZImiZPyLGQBGRYCZ2UxEzARBgoJkiaJk/IsZAEZFgNuYmcxHzAdBgNVBAMTFk5CRyBDbGFzcyAyIElOVCBTdWIgQ0EwHhcNMTkwMjI2MTMzODA3WhcNMjEwMjI1MTMzODA3WjA1MRUwEwYDVQQKEwxKU0MgVGVyYWJhbmsxHDAaBgNVBAMTE0JLUyAtIFNvcGhpZSBKdWdlbGkwggEiMA0GCSqGSIb3DQEBAQUAA4IBDwAwggEKAoIBAQDohH+d9PVu7GNwEsMQcCfY8Ku9uM0WhDFo9bTUfeJ4W1DOL+pND5rrR5lWnlesTj4JNLny2wtzOrNJbkMu11LjyXMr+nNHuwyNy9s9PxJmWFnR1nicJjZ9i4kCZijtKb9zkVEkG2TIYPLBwUvbfDTT+GzOfTbax3XwNGZrawZ1V35e8tZmQdDsf/E/nWkToufTsXwt68+Joie1ViQexFJ8ahciAqlipOZVFs7z8noB9u9iKr0RN/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aUU73ZKLJDH9g3mCFejppY/Wm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X3ZE4t4Hhssl6PTbEYkwnOTjqIa+JaqvKsiSy6wtmfsSFAC/xhAFB9qZXQqWP17uHsck5Sav6gZJYPA0Q5771/DomIG1AwRVpO/RSLHVJPivlP46EU8TFntI2PFZ+IvFZLTfNJ5K7ndjBegfVop2ridRYb99Itra/DckTBKRFy8wzrwkf9D58U08W7WhgpwgeTXmF71fp9c14f89Dfs3TuqEzie9vKArX32lD8P6B29CUgcjsQHtTbBalKSrMpezjNgnb3kEjQbDBGlRAnsS8Di5x8I4W7PQBmqvjhJcgyX+Y3SXXl+alOHaIqJ6/VI1H5YVMLNNvxJ46oGWN3w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D2/XqRiv33NYR6vAaVVyRaB94eWKxQkKUt3tlGZXdXY=</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De0H5MtybmZdaF9auN8SpHWFnMtQbfbWjYhbJJ/T3bE=</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pFDAuwHxZ/bBTJrtfTzsJf2zEBnaELsAU8MRnm4JKoQ=</DigestValue>
      </Reference>
      <Reference URI="/xl/externalLinks/externalLink3.xml?ContentType=application/vnd.openxmlformats-officedocument.spreadsheetml.externalLink+xml">
        <DigestMethod Algorithm="http://www.w3.org/2001/04/xmlenc#sha256"/>
        <DigestValue>GZWEgbkph14AGNMNLjaOMcNHRyClBTAzcTupvQes9s8=</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mIU4rRSCMQw4OZj15mmAaiqNS3hsJ4gCnBkR7XGLygI=</DigestValue>
      </Reference>
      <Reference URI="/xl/printerSettings/printerSettings10.bin?ContentType=application/vnd.openxmlformats-officedocument.spreadsheetml.printerSettings">
        <DigestMethod Algorithm="http://www.w3.org/2001/04/xmlenc#sha256"/>
        <DigestValue>mIU4rRSCMQw4OZj15mmAaiqNS3hsJ4gCnBkR7XGLygI=</DigestValue>
      </Reference>
      <Reference URI="/xl/printerSettings/printerSettings11.bin?ContentType=application/vnd.openxmlformats-officedocument.spreadsheetml.printerSettings">
        <DigestMethod Algorithm="http://www.w3.org/2001/04/xmlenc#sha256"/>
        <DigestValue>mIU4rRSCMQw4OZj15mmAaiqNS3hsJ4gCnBkR7XGLygI=</DigestValue>
      </Reference>
      <Reference URI="/xl/printerSettings/printerSettings12.bin?ContentType=application/vnd.openxmlformats-officedocument.spreadsheetml.printerSettings">
        <DigestMethod Algorithm="http://www.w3.org/2001/04/xmlenc#sha256"/>
        <DigestValue>mIU4rRSCMQw4OZj15mmAaiqNS3hsJ4gCnBkR7XGLygI=</DigestValue>
      </Reference>
      <Reference URI="/xl/printerSettings/printerSettings13.bin?ContentType=application/vnd.openxmlformats-officedocument.spreadsheetml.printerSettings">
        <DigestMethod Algorithm="http://www.w3.org/2001/04/xmlenc#sha256"/>
        <DigestValue>EOpY/HK0Vq4MGYozV6o5hJTVLGreGuMk2eHJXUAoU7s=</DigestValue>
      </Reference>
      <Reference URI="/xl/printerSettings/printerSettings14.bin?ContentType=application/vnd.openxmlformats-officedocument.spreadsheetml.printerSettings">
        <DigestMethod Algorithm="http://www.w3.org/2001/04/xmlenc#sha256"/>
        <DigestValue>8A+P69LY7ZSh5L0b5+tb/7LNdctL+0q1vR4pwVLlUfA=</DigestValue>
      </Reference>
      <Reference URI="/xl/printerSettings/printerSettings15.bin?ContentType=application/vnd.openxmlformats-officedocument.spreadsheetml.printerSettings">
        <DigestMethod Algorithm="http://www.w3.org/2001/04/xmlenc#sha256"/>
        <DigestValue>8A+P69LY7ZSh5L0b5+tb/7LNdctL+0q1vR4pwVLlUfA=</DigestValue>
      </Reference>
      <Reference URI="/xl/printerSettings/printerSettings16.bin?ContentType=application/vnd.openxmlformats-officedocument.spreadsheetml.printerSettings">
        <DigestMethod Algorithm="http://www.w3.org/2001/04/xmlenc#sha256"/>
        <DigestValue>EOpY/HK0Vq4MGYozV6o5hJTVLGreGuMk2eHJXUAoU7s=</DigestValue>
      </Reference>
      <Reference URI="/xl/printerSettings/printerSettings17.bin?ContentType=application/vnd.openxmlformats-officedocument.spreadsheetml.printerSettings">
        <DigestMethod Algorithm="http://www.w3.org/2001/04/xmlenc#sha256"/>
        <DigestValue>EOpY/HK0Vq4MGYozV6o5hJTVLGreGuMk2eHJXUAoU7s=</DigestValue>
      </Reference>
      <Reference URI="/xl/printerSettings/printerSettings18.bin?ContentType=application/vnd.openxmlformats-officedocument.spreadsheetml.printerSettings">
        <DigestMethod Algorithm="http://www.w3.org/2001/04/xmlenc#sha256"/>
        <DigestValue>mIU4rRSCMQw4OZj15mmAaiqNS3hsJ4gCnBkR7XGLygI=</DigestValue>
      </Reference>
      <Reference URI="/xl/printerSettings/printerSettings2.bin?ContentType=application/vnd.openxmlformats-officedocument.spreadsheetml.printerSettings">
        <DigestMethod Algorithm="http://www.w3.org/2001/04/xmlenc#sha256"/>
        <DigestValue>mIU4rRSCMQw4OZj15mmAaiqNS3hsJ4gCnBkR7XGLygI=</DigestValue>
      </Reference>
      <Reference URI="/xl/printerSettings/printerSettings3.bin?ContentType=application/vnd.openxmlformats-officedocument.spreadsheetml.printerSettings">
        <DigestMethod Algorithm="http://www.w3.org/2001/04/xmlenc#sha256"/>
        <DigestValue>mIU4rRSCMQw4OZj15mmAaiqNS3hsJ4gCnBkR7XGLygI=</DigestValue>
      </Reference>
      <Reference URI="/xl/printerSettings/printerSettings4.bin?ContentType=application/vnd.openxmlformats-officedocument.spreadsheetml.printerSettings">
        <DigestMethod Algorithm="http://www.w3.org/2001/04/xmlenc#sha256"/>
        <DigestValue>mIU4rRSCMQw4OZj15mmAaiqNS3hsJ4gCnBkR7XGLygI=</DigestValue>
      </Reference>
      <Reference URI="/xl/printerSettings/printerSettings5.bin?ContentType=application/vnd.openxmlformats-officedocument.spreadsheetml.printerSettings">
        <DigestMethod Algorithm="http://www.w3.org/2001/04/xmlenc#sha256"/>
        <DigestValue>mIU4rRSCMQw4OZj15mmAaiqNS3hsJ4gCnBkR7XGLygI=</DigestValue>
      </Reference>
      <Reference URI="/xl/printerSettings/printerSettings6.bin?ContentType=application/vnd.openxmlformats-officedocument.spreadsheetml.printerSettings">
        <DigestMethod Algorithm="http://www.w3.org/2001/04/xmlenc#sha256"/>
        <DigestValue>mIU4rRSCMQw4OZj15mmAaiqNS3hsJ4gCnBkR7XGLygI=</DigestValue>
      </Reference>
      <Reference URI="/xl/printerSettings/printerSettings7.bin?ContentType=application/vnd.openxmlformats-officedocument.spreadsheetml.printerSettings">
        <DigestMethod Algorithm="http://www.w3.org/2001/04/xmlenc#sha256"/>
        <DigestValue>mIU4rRSCMQw4OZj15mmAaiqNS3hsJ4gCnBkR7XGLygI=</DigestValue>
      </Reference>
      <Reference URI="/xl/printerSettings/printerSettings8.bin?ContentType=application/vnd.openxmlformats-officedocument.spreadsheetml.printerSettings">
        <DigestMethod Algorithm="http://www.w3.org/2001/04/xmlenc#sha256"/>
        <DigestValue>EOpY/HK0Vq4MGYozV6o5hJTVLGreGuMk2eHJXUAoU7s=</DigestValue>
      </Reference>
      <Reference URI="/xl/printerSettings/printerSettings9.bin?ContentType=application/vnd.openxmlformats-officedocument.spreadsheetml.printerSettings">
        <DigestMethod Algorithm="http://www.w3.org/2001/04/xmlenc#sha256"/>
        <DigestValue>mIU4rRSCMQw4OZj15mmAaiqNS3hsJ4gCnBkR7XGLygI=</DigestValue>
      </Reference>
      <Reference URI="/xl/sharedStrings.xml?ContentType=application/vnd.openxmlformats-officedocument.spreadsheetml.sharedStrings+xml">
        <DigestMethod Algorithm="http://www.w3.org/2001/04/xmlenc#sha256"/>
        <DigestValue>mN5uwmOtYvxTIgN0dw0K8vLYsLv056Gwy4JSg/t20fk=</DigestValue>
      </Reference>
      <Reference URI="/xl/styles.xml?ContentType=application/vnd.openxmlformats-officedocument.spreadsheetml.styles+xml">
        <DigestMethod Algorithm="http://www.w3.org/2001/04/xmlenc#sha256"/>
        <DigestValue>HAhfTaAsXCkk98EZ+2Czr5QwGSw4r0GYY71by3f4cUY=</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NNlgCvXZ5A5+ySawe21TCcf6IvvflRKC9foyyzkbH0k=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bNZl6dO2HvsSV0ym2YC4MlrsqvoLmyEcp3gtRp91p6c=</DigestValue>
      </Reference>
      <Reference URI="/xl/worksheets/sheet10.xml?ContentType=application/vnd.openxmlformats-officedocument.spreadsheetml.worksheet+xml">
        <DigestMethod Algorithm="http://www.w3.org/2001/04/xmlenc#sha256"/>
        <DigestValue>1cjKS8kTeSuMYf2w9C7D7p4rWtE1ebFMwDIUo9I1aP0=</DigestValue>
      </Reference>
      <Reference URI="/xl/worksheets/sheet11.xml?ContentType=application/vnd.openxmlformats-officedocument.spreadsheetml.worksheet+xml">
        <DigestMethod Algorithm="http://www.w3.org/2001/04/xmlenc#sha256"/>
        <DigestValue>pN9jrqtjUFos+fm5uSPqSS35+zV0PDdS2B9WqbrFJ8s=</DigestValue>
      </Reference>
      <Reference URI="/xl/worksheets/sheet12.xml?ContentType=application/vnd.openxmlformats-officedocument.spreadsheetml.worksheet+xml">
        <DigestMethod Algorithm="http://www.w3.org/2001/04/xmlenc#sha256"/>
        <DigestValue>Ozmyl7LfkY9LY6nWZVDQzJ8WuJd+EQSMmwHslKygBK8=</DigestValue>
      </Reference>
      <Reference URI="/xl/worksheets/sheet13.xml?ContentType=application/vnd.openxmlformats-officedocument.spreadsheetml.worksheet+xml">
        <DigestMethod Algorithm="http://www.w3.org/2001/04/xmlenc#sha256"/>
        <DigestValue>75Bs7WG3T/phlerkNblNvyT755v2HsF1Mo9KqRJ2rXc=</DigestValue>
      </Reference>
      <Reference URI="/xl/worksheets/sheet14.xml?ContentType=application/vnd.openxmlformats-officedocument.spreadsheetml.worksheet+xml">
        <DigestMethod Algorithm="http://www.w3.org/2001/04/xmlenc#sha256"/>
        <DigestValue>y9KDF8UbASamo1T3Q7J813MhziYNCAfYqfK3XImOwkY=</DigestValue>
      </Reference>
      <Reference URI="/xl/worksheets/sheet15.xml?ContentType=application/vnd.openxmlformats-officedocument.spreadsheetml.worksheet+xml">
        <DigestMethod Algorithm="http://www.w3.org/2001/04/xmlenc#sha256"/>
        <DigestValue>bKCZ/WN2pT549rsJvVgHmOFHuX94ZJF8Ta5AYAjJoCo=</DigestValue>
      </Reference>
      <Reference URI="/xl/worksheets/sheet16.xml?ContentType=application/vnd.openxmlformats-officedocument.spreadsheetml.worksheet+xml">
        <DigestMethod Algorithm="http://www.w3.org/2001/04/xmlenc#sha256"/>
        <DigestValue>esNtBKgDPyP5Jjv3HiHYXipPsUQJV8L9CpV2tW9r5cA=</DigestValue>
      </Reference>
      <Reference URI="/xl/worksheets/sheet17.xml?ContentType=application/vnd.openxmlformats-officedocument.spreadsheetml.worksheet+xml">
        <DigestMethod Algorithm="http://www.w3.org/2001/04/xmlenc#sha256"/>
        <DigestValue>+FRkNRQ858PmVCzoNpQj+5dgREk1eJ+G3X5z8Sw3kZM=</DigestValue>
      </Reference>
      <Reference URI="/xl/worksheets/sheet18.xml?ContentType=application/vnd.openxmlformats-officedocument.spreadsheetml.worksheet+xml">
        <DigestMethod Algorithm="http://www.w3.org/2001/04/xmlenc#sha256"/>
        <DigestValue>97sL39fZXyI0ZNTv4KJhnnAF0TivWT2I7sQxFTz9GXw=</DigestValue>
      </Reference>
      <Reference URI="/xl/worksheets/sheet2.xml?ContentType=application/vnd.openxmlformats-officedocument.spreadsheetml.worksheet+xml">
        <DigestMethod Algorithm="http://www.w3.org/2001/04/xmlenc#sha256"/>
        <DigestValue>dSKVlpQQaq1S/gYziVu7il1TNHyjIjKwWxmubUpuxmM=</DigestValue>
      </Reference>
      <Reference URI="/xl/worksheets/sheet3.xml?ContentType=application/vnd.openxmlformats-officedocument.spreadsheetml.worksheet+xml">
        <DigestMethod Algorithm="http://www.w3.org/2001/04/xmlenc#sha256"/>
        <DigestValue>KOne/eAsQwQ83gOO3LXHrGXeCeFzqJYjoyZFTLCz5TE=</DigestValue>
      </Reference>
      <Reference URI="/xl/worksheets/sheet4.xml?ContentType=application/vnd.openxmlformats-officedocument.spreadsheetml.worksheet+xml">
        <DigestMethod Algorithm="http://www.w3.org/2001/04/xmlenc#sha256"/>
        <DigestValue>ulOrjx67nJ4HPMXtp+f8ptopg6DslGXGx/7g4jsPJyM=</DigestValue>
      </Reference>
      <Reference URI="/xl/worksheets/sheet5.xml?ContentType=application/vnd.openxmlformats-officedocument.spreadsheetml.worksheet+xml">
        <DigestMethod Algorithm="http://www.w3.org/2001/04/xmlenc#sha256"/>
        <DigestValue>1SyKfga3jz2HaJa37T+WoIH5Zd9au34yqe7w8BDc+R4=</DigestValue>
      </Reference>
      <Reference URI="/xl/worksheets/sheet6.xml?ContentType=application/vnd.openxmlformats-officedocument.spreadsheetml.worksheet+xml">
        <DigestMethod Algorithm="http://www.w3.org/2001/04/xmlenc#sha256"/>
        <DigestValue>FtXSkNMNEdMMKtsicUjkSvIEQdrCzEX9KM0k3hcer0s=</DigestValue>
      </Reference>
      <Reference URI="/xl/worksheets/sheet7.xml?ContentType=application/vnd.openxmlformats-officedocument.spreadsheetml.worksheet+xml">
        <DigestMethod Algorithm="http://www.w3.org/2001/04/xmlenc#sha256"/>
        <DigestValue>1Lr3n3BuZ5mmS9AT+mDRhubu/YeHxLpdYJny8tYK10U=</DigestValue>
      </Reference>
      <Reference URI="/xl/worksheets/sheet8.xml?ContentType=application/vnd.openxmlformats-officedocument.spreadsheetml.worksheet+xml">
        <DigestMethod Algorithm="http://www.w3.org/2001/04/xmlenc#sha256"/>
        <DigestValue>3fhDI4ZfEwvpCbLaE9idclcB6zQBKmSdwxq8aVyH6Yo=</DigestValue>
      </Reference>
      <Reference URI="/xl/worksheets/sheet9.xml?ContentType=application/vnd.openxmlformats-officedocument.spreadsheetml.worksheet+xml">
        <DigestMethod Algorithm="http://www.w3.org/2001/04/xmlenc#sha256"/>
        <DigestValue>52rc8pI8i/RJ1HXElMBRk0uneMXYoKZ1MvpBMVJbOuQ=</DigestValue>
      </Reference>
    </Manifest>
    <SignatureProperties>
      <SignatureProperty Id="idSignatureTime" Target="#idPackageSignature">
        <mdssi:SignatureTime xmlns:mdssi="http://schemas.openxmlformats.org/package/2006/digital-signature">
          <mdssi:Format>YYYY-MM-DDThh:mm:ssTZD</mdssi:Format>
          <mdssi:Value>2019-04-30T11:47:12Z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2019-04-30T11:47:12Z</xd:SigningTime>
          <xd:SigningCertificate>
            <xd:Cert>
              <xd:CertDigest>
                <DigestMethod Algorithm="http://www.w3.org/2001/04/xmlenc#sha256"/>
                <DigestValue>VQYYDZ0JoHTN0GJ2qq1DwPUkycbicwdZJzjQx2KJdR8=</DigestValue>
              </xd:CertDigest>
              <xd:IssuerSerial>
                <X509IssuerName>CN=NBG Class 2 INT Sub CA, DC=nbg, DC=ge</X509IssuerName>
                <X509SerialNumber>539005473035070780543050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Benashvili</dc:creator>
  <cp:lastModifiedBy>Natia Benashvili</cp:lastModifiedBy>
  <cp:lastPrinted>2019-04-30T08:07:50Z</cp:lastPrinted>
  <dcterms:created xsi:type="dcterms:W3CDTF">2019-04-30T06:03:38Z</dcterms:created>
  <dcterms:modified xsi:type="dcterms:W3CDTF">2019-04-30T08:08:43Z</dcterms:modified>
</cp:coreProperties>
</file>