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beliani\Desktop\barabadzestan gasagzavni\GEO 06-2018\"/>
    </mc:Choice>
  </mc:AlternateContent>
  <bookViews>
    <workbookView xWindow="0" yWindow="0" windowWidth="28800" windowHeight="12135" activeTab="1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10. CC2" sheetId="12" r:id="rId11"/>
    <sheet name="11. CRWA" sheetId="13" r:id="rId12"/>
    <sheet name="12. CRM" sheetId="14" r:id="rId13"/>
    <sheet name="13. CRME" sheetId="15" r:id="rId14"/>
    <sheet name="14. LCR" sheetId="16" r:id="rId15"/>
    <sheet name="15. CCR" sheetId="17" r:id="rId16"/>
  </sheets>
  <definedNames>
    <definedName name="_xlnm._FilterDatabase" localSheetId="4" hidden="1">'4. Off-Balance'!$B$6:$H$53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7" l="1"/>
  <c r="E18" i="17"/>
  <c r="E17" i="17"/>
  <c r="E16" i="17"/>
  <c r="E15" i="17"/>
  <c r="C14" i="17"/>
  <c r="E12" i="17"/>
  <c r="E11" i="17"/>
  <c r="E10" i="17"/>
  <c r="E9" i="17"/>
  <c r="E8" i="17"/>
  <c r="C7" i="17"/>
  <c r="C21" i="17" s="1"/>
  <c r="B1" i="17"/>
  <c r="J23" i="16"/>
  <c r="H23" i="16"/>
  <c r="F23" i="16"/>
  <c r="D21" i="16"/>
  <c r="K20" i="16"/>
  <c r="H20" i="16"/>
  <c r="E20" i="16"/>
  <c r="J21" i="16"/>
  <c r="K19" i="16"/>
  <c r="F21" i="16"/>
  <c r="E19" i="16"/>
  <c r="K18" i="16"/>
  <c r="I21" i="16"/>
  <c r="G21" i="16"/>
  <c r="H18" i="16"/>
  <c r="E18" i="16"/>
  <c r="K15" i="16"/>
  <c r="H15" i="16"/>
  <c r="E15" i="16"/>
  <c r="K14" i="16"/>
  <c r="H14" i="16"/>
  <c r="E14" i="16"/>
  <c r="K13" i="16"/>
  <c r="H13" i="16"/>
  <c r="E13" i="16"/>
  <c r="K12" i="16"/>
  <c r="H12" i="16"/>
  <c r="E12" i="16"/>
  <c r="I16" i="16"/>
  <c r="G16" i="16"/>
  <c r="G24" i="16" s="1"/>
  <c r="C16" i="16"/>
  <c r="K23" i="16"/>
  <c r="I23" i="16"/>
  <c r="G23" i="16"/>
  <c r="G25" i="16" s="1"/>
  <c r="E22" i="15"/>
  <c r="E25" i="15" s="1"/>
  <c r="D22" i="15"/>
  <c r="C22" i="15"/>
  <c r="C25" i="15" s="1"/>
  <c r="B1" i="15"/>
  <c r="S21" i="14"/>
  <c r="R21" i="14"/>
  <c r="Q21" i="14"/>
  <c r="P21" i="14"/>
  <c r="O21" i="14"/>
  <c r="N21" i="14"/>
  <c r="M21" i="14"/>
  <c r="I21" i="14"/>
  <c r="E21" i="14"/>
  <c r="D20" i="14"/>
  <c r="V20" i="14" s="1"/>
  <c r="D19" i="14"/>
  <c r="V19" i="14" s="1"/>
  <c r="V18" i="14"/>
  <c r="D18" i="14"/>
  <c r="D17" i="14"/>
  <c r="V17" i="14" s="1"/>
  <c r="V16" i="14"/>
  <c r="D16" i="14"/>
  <c r="D15" i="14"/>
  <c r="V15" i="14" s="1"/>
  <c r="D14" i="14"/>
  <c r="K21" i="14"/>
  <c r="G21" i="14"/>
  <c r="C21" i="14"/>
  <c r="D13" i="14"/>
  <c r="V13" i="14" s="1"/>
  <c r="D12" i="14"/>
  <c r="V12" i="14" s="1"/>
  <c r="D11" i="14"/>
  <c r="V11" i="14" s="1"/>
  <c r="D10" i="14"/>
  <c r="V10" i="14" s="1"/>
  <c r="D9" i="14"/>
  <c r="V9" i="14" s="1"/>
  <c r="D8" i="14"/>
  <c r="V8" i="14" s="1"/>
  <c r="T21" i="14"/>
  <c r="L21" i="14"/>
  <c r="J21" i="14"/>
  <c r="H21" i="14"/>
  <c r="F21" i="14"/>
  <c r="D7" i="14"/>
  <c r="V7" i="14" s="1"/>
  <c r="B1" i="14"/>
  <c r="R22" i="13"/>
  <c r="P22" i="13"/>
  <c r="J22" i="13"/>
  <c r="H22" i="13"/>
  <c r="F22" i="13"/>
  <c r="D22" i="13"/>
  <c r="S21" i="13"/>
  <c r="S20" i="13"/>
  <c r="S19" i="13"/>
  <c r="L22" i="13"/>
  <c r="S15" i="13"/>
  <c r="N22" i="13"/>
  <c r="S14" i="13"/>
  <c r="S13" i="13"/>
  <c r="S12" i="13"/>
  <c r="S9" i="13"/>
  <c r="M22" i="13"/>
  <c r="K22" i="13"/>
  <c r="E22" i="13"/>
  <c r="C22" i="13"/>
  <c r="B1" i="13"/>
  <c r="B1" i="12"/>
  <c r="C47" i="10"/>
  <c r="C43" i="10"/>
  <c r="C52" i="10" s="1"/>
  <c r="C20" i="12"/>
  <c r="C12" i="10"/>
  <c r="C6" i="10"/>
  <c r="B1" i="10"/>
  <c r="B1" i="9"/>
  <c r="D21" i="8"/>
  <c r="D19" i="8"/>
  <c r="B1" i="8"/>
  <c r="B1" i="7"/>
  <c r="C6" i="6"/>
  <c r="D6" i="6"/>
  <c r="D13" i="6" s="1"/>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H32" i="5"/>
  <c r="D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D14" i="5"/>
  <c r="H13" i="5"/>
  <c r="E13" i="5"/>
  <c r="C14" i="5"/>
  <c r="H12" i="5"/>
  <c r="E12" i="5"/>
  <c r="H11" i="5"/>
  <c r="E11" i="5"/>
  <c r="H10" i="5"/>
  <c r="E10" i="5"/>
  <c r="H9" i="5"/>
  <c r="E9" i="5"/>
  <c r="H8" i="5"/>
  <c r="E8" i="5"/>
  <c r="H7" i="5"/>
  <c r="D7" i="5"/>
  <c r="B1" i="5"/>
  <c r="H66" i="4"/>
  <c r="E66" i="4"/>
  <c r="H64" i="4"/>
  <c r="E64" i="4"/>
  <c r="H60" i="4"/>
  <c r="E60" i="4"/>
  <c r="H59" i="4"/>
  <c r="E59" i="4"/>
  <c r="H58" i="4"/>
  <c r="F61" i="4"/>
  <c r="H61" i="4" s="1"/>
  <c r="E58" i="4"/>
  <c r="H52" i="4"/>
  <c r="E52" i="4"/>
  <c r="H51" i="4"/>
  <c r="E51" i="4"/>
  <c r="H50" i="4"/>
  <c r="E50" i="4"/>
  <c r="H49" i="4"/>
  <c r="E49" i="4"/>
  <c r="H48" i="4"/>
  <c r="E48" i="4"/>
  <c r="G53" i="4"/>
  <c r="H47" i="4"/>
  <c r="E47" i="4"/>
  <c r="H44" i="4"/>
  <c r="E44" i="4"/>
  <c r="H43" i="4"/>
  <c r="E43" i="4"/>
  <c r="H42" i="4"/>
  <c r="E42" i="4"/>
  <c r="H41" i="4"/>
  <c r="E41" i="4"/>
  <c r="H40" i="4"/>
  <c r="E40" i="4"/>
  <c r="H39" i="4"/>
  <c r="E39" i="4"/>
  <c r="H38" i="4"/>
  <c r="E38" i="4"/>
  <c r="H37" i="4"/>
  <c r="E37" i="4"/>
  <c r="H36" i="4"/>
  <c r="E36" i="4"/>
  <c r="H35" i="4"/>
  <c r="G34" i="4"/>
  <c r="G45" i="4" s="1"/>
  <c r="F34" i="4"/>
  <c r="C34" i="4"/>
  <c r="C45" i="4" s="1"/>
  <c r="H29" i="4"/>
  <c r="E29" i="4"/>
  <c r="H28" i="4"/>
  <c r="E28" i="4"/>
  <c r="H27" i="4"/>
  <c r="E27" i="4"/>
  <c r="H26" i="4"/>
  <c r="E26" i="4"/>
  <c r="H25" i="4"/>
  <c r="E25" i="4"/>
  <c r="H24" i="4"/>
  <c r="D30" i="4"/>
  <c r="E21" i="4"/>
  <c r="H20" i="4"/>
  <c r="E20" i="4"/>
  <c r="H19" i="4"/>
  <c r="E19" i="4"/>
  <c r="H18" i="4"/>
  <c r="E18" i="4"/>
  <c r="E17" i="4"/>
  <c r="H16" i="4"/>
  <c r="E16" i="4"/>
  <c r="H15" i="4"/>
  <c r="E15" i="4"/>
  <c r="H14" i="4"/>
  <c r="E14" i="4"/>
  <c r="E13" i="4"/>
  <c r="H12" i="4"/>
  <c r="E12" i="4"/>
  <c r="H11" i="4"/>
  <c r="E11" i="4"/>
  <c r="H10" i="4"/>
  <c r="G9" i="4"/>
  <c r="H8" i="4"/>
  <c r="G22" i="4"/>
  <c r="E8" i="4"/>
  <c r="B1" i="4"/>
  <c r="H40" i="3"/>
  <c r="E40" i="3"/>
  <c r="H39" i="3"/>
  <c r="E39" i="3"/>
  <c r="C41" i="12" s="1"/>
  <c r="H38" i="3"/>
  <c r="E38" i="3"/>
  <c r="C40" i="12" s="1"/>
  <c r="H37" i="3"/>
  <c r="E37" i="3"/>
  <c r="C39" i="12" s="1"/>
  <c r="H36" i="3"/>
  <c r="E36" i="3"/>
  <c r="C38" i="12" s="1"/>
  <c r="H35" i="3"/>
  <c r="E35" i="3"/>
  <c r="C37" i="12" s="1"/>
  <c r="H34" i="3"/>
  <c r="E34" i="3"/>
  <c r="C36" i="12" s="1"/>
  <c r="H33" i="3"/>
  <c r="E33" i="3"/>
  <c r="C35" i="12" s="1"/>
  <c r="H30" i="3"/>
  <c r="E30" i="3"/>
  <c r="C32" i="12" s="1"/>
  <c r="H29" i="3"/>
  <c r="E29" i="3"/>
  <c r="C30" i="12" s="1"/>
  <c r="H28" i="3"/>
  <c r="E28" i="3"/>
  <c r="C29" i="12" s="1"/>
  <c r="E27" i="3"/>
  <c r="C28" i="12" s="1"/>
  <c r="H26" i="3"/>
  <c r="E26" i="3"/>
  <c r="C27" i="12" s="1"/>
  <c r="H25" i="3"/>
  <c r="E25" i="3"/>
  <c r="C26" i="12" s="1"/>
  <c r="H24" i="3"/>
  <c r="E24" i="3"/>
  <c r="C25" i="12" s="1"/>
  <c r="G31" i="3"/>
  <c r="G41" i="3" s="1"/>
  <c r="E23" i="3"/>
  <c r="C24" i="12" s="1"/>
  <c r="H22" i="3"/>
  <c r="D31" i="3"/>
  <c r="H19" i="3"/>
  <c r="E19" i="3"/>
  <c r="H18" i="3"/>
  <c r="E18" i="3"/>
  <c r="H17" i="3"/>
  <c r="E17" i="3"/>
  <c r="H16" i="3"/>
  <c r="E16" i="3"/>
  <c r="H15" i="3"/>
  <c r="E15" i="3"/>
  <c r="C16" i="12" s="1"/>
  <c r="F14" i="3"/>
  <c r="H13" i="3"/>
  <c r="E13" i="3"/>
  <c r="G14" i="3"/>
  <c r="D14" i="3"/>
  <c r="E12" i="3"/>
  <c r="H11" i="3"/>
  <c r="E11" i="3"/>
  <c r="H10" i="3"/>
  <c r="E10" i="3"/>
  <c r="H9" i="3"/>
  <c r="E9" i="3"/>
  <c r="E8" i="3"/>
  <c r="H7" i="3"/>
  <c r="D20" i="3"/>
  <c r="B1" i="3"/>
  <c r="E38" i="2"/>
  <c r="C36" i="2"/>
  <c r="C28" i="2"/>
  <c r="C17" i="2"/>
  <c r="C16" i="2"/>
  <c r="C15" i="2"/>
  <c r="C5" i="2"/>
  <c r="C5" i="6" s="1"/>
  <c r="B2" i="5"/>
  <c r="H21" i="16" l="1"/>
  <c r="E14" i="5"/>
  <c r="C28" i="10"/>
  <c r="K21" i="16"/>
  <c r="E14" i="17"/>
  <c r="C8" i="12"/>
  <c r="C10" i="8"/>
  <c r="E10" i="8" s="1"/>
  <c r="G20" i="3"/>
  <c r="C12" i="12"/>
  <c r="C27" i="2"/>
  <c r="C14" i="8"/>
  <c r="E14" i="8" s="1"/>
  <c r="C18" i="12"/>
  <c r="C18" i="8"/>
  <c r="E18" i="8" s="1"/>
  <c r="C10" i="12"/>
  <c r="C12" i="8"/>
  <c r="E12" i="8" s="1"/>
  <c r="H14" i="3"/>
  <c r="C17" i="8"/>
  <c r="E17" i="8" s="1"/>
  <c r="C17" i="12"/>
  <c r="C20" i="8"/>
  <c r="E20" i="8" s="1"/>
  <c r="C21" i="12"/>
  <c r="D41" i="3"/>
  <c r="E24" i="4"/>
  <c r="C30" i="4"/>
  <c r="E30" i="4" s="1"/>
  <c r="E45" i="4"/>
  <c r="E35" i="4"/>
  <c r="D34" i="4"/>
  <c r="D45" i="4" s="1"/>
  <c r="D5" i="2"/>
  <c r="E7" i="3"/>
  <c r="C9" i="8"/>
  <c r="E9" i="8" s="1"/>
  <c r="C7" i="12"/>
  <c r="C13" i="8"/>
  <c r="E13" i="8" s="1"/>
  <c r="C11" i="12"/>
  <c r="C15" i="12" s="1"/>
  <c r="F20" i="3"/>
  <c r="E22" i="3"/>
  <c r="C23" i="12" s="1"/>
  <c r="C34" i="12" s="1"/>
  <c r="C31" i="3"/>
  <c r="C42" i="12"/>
  <c r="F30" i="4"/>
  <c r="F45" i="4"/>
  <c r="H34" i="4"/>
  <c r="F53" i="4"/>
  <c r="H53" i="4" s="1"/>
  <c r="C16" i="8"/>
  <c r="E16" i="8" s="1"/>
  <c r="C13" i="6"/>
  <c r="C13" i="12"/>
  <c r="F15" i="15"/>
  <c r="G19" i="15"/>
  <c r="H19" i="15" s="1"/>
  <c r="F19" i="15"/>
  <c r="C19" i="8"/>
  <c r="E19" i="8" s="1"/>
  <c r="C19" i="12"/>
  <c r="F31" i="3"/>
  <c r="C9" i="4"/>
  <c r="E9" i="4" s="1"/>
  <c r="D9" i="4"/>
  <c r="D22" i="4" s="1"/>
  <c r="D31" i="4" s="1"/>
  <c r="G54" i="4"/>
  <c r="H8" i="3"/>
  <c r="C11" i="8"/>
  <c r="E11" i="8" s="1"/>
  <c r="C9" i="12"/>
  <c r="H12" i="3"/>
  <c r="C14" i="3"/>
  <c r="H23" i="3"/>
  <c r="H27" i="3"/>
  <c r="F9" i="4"/>
  <c r="H9" i="4" s="1"/>
  <c r="E10" i="4"/>
  <c r="H13" i="4"/>
  <c r="H17" i="4"/>
  <c r="H21" i="4"/>
  <c r="G30" i="4"/>
  <c r="G31" i="4" s="1"/>
  <c r="G56" i="4" s="1"/>
  <c r="G63" i="4" s="1"/>
  <c r="G65" i="4" s="1"/>
  <c r="G67" i="4" s="1"/>
  <c r="D53" i="4"/>
  <c r="E33" i="5"/>
  <c r="C32" i="5"/>
  <c r="E32" i="5" s="1"/>
  <c r="G9" i="15"/>
  <c r="H9" i="15" s="1"/>
  <c r="F9" i="15"/>
  <c r="G12" i="15"/>
  <c r="H12" i="15" s="1"/>
  <c r="F12" i="15"/>
  <c r="G13" i="15"/>
  <c r="H13" i="15" s="1"/>
  <c r="F13" i="15"/>
  <c r="B2" i="10"/>
  <c r="C31" i="10"/>
  <c r="C30" i="10" s="1"/>
  <c r="I22" i="13"/>
  <c r="Q22" i="13"/>
  <c r="G22" i="13"/>
  <c r="O22" i="13"/>
  <c r="S16" i="13"/>
  <c r="S17" i="13"/>
  <c r="S18" i="13"/>
  <c r="D25" i="15"/>
  <c r="I24" i="16"/>
  <c r="I25" i="16" s="1"/>
  <c r="K11" i="16"/>
  <c r="E7" i="17"/>
  <c r="E21" i="17" s="1"/>
  <c r="B2" i="3"/>
  <c r="B2" i="4"/>
  <c r="C11" i="9"/>
  <c r="S8" i="13"/>
  <c r="F20" i="15"/>
  <c r="G20" i="15"/>
  <c r="H20" i="15" s="1"/>
  <c r="G21" i="15"/>
  <c r="H21" i="15" s="1"/>
  <c r="F21" i="15"/>
  <c r="D16" i="16"/>
  <c r="E16" i="16" s="1"/>
  <c r="E11" i="16"/>
  <c r="J16" i="16"/>
  <c r="J24" i="16" s="1"/>
  <c r="J25" i="16" s="1"/>
  <c r="C53" i="4"/>
  <c r="C61" i="4"/>
  <c r="E61" i="4" s="1"/>
  <c r="B2" i="14"/>
  <c r="B2" i="15"/>
  <c r="B2" i="13"/>
  <c r="B2" i="17"/>
  <c r="B2" i="7"/>
  <c r="B2" i="6"/>
  <c r="E34" i="4"/>
  <c r="C7" i="5"/>
  <c r="E7" i="5" s="1"/>
  <c r="B2" i="8"/>
  <c r="B2" i="9"/>
  <c r="G14" i="15"/>
  <c r="H14" i="15" s="1"/>
  <c r="F14" i="15"/>
  <c r="C35" i="10"/>
  <c r="B2" i="12"/>
  <c r="S10" i="13"/>
  <c r="S11" i="13"/>
  <c r="D21" i="14"/>
  <c r="E10" i="16"/>
  <c r="C21" i="16"/>
  <c r="E21" i="16" s="1"/>
  <c r="V14" i="14"/>
  <c r="G15" i="15" s="1"/>
  <c r="H15" i="15" s="1"/>
  <c r="U21" i="14"/>
  <c r="K10" i="16"/>
  <c r="H11" i="16"/>
  <c r="H10" i="16"/>
  <c r="H19" i="16"/>
  <c r="V21" i="14" l="1"/>
  <c r="V25" i="14" s="1"/>
  <c r="H20" i="3"/>
  <c r="G11" i="15"/>
  <c r="H11" i="15" s="1"/>
  <c r="F11" i="15"/>
  <c r="C41" i="10"/>
  <c r="E14" i="3"/>
  <c r="C15" i="8" s="1"/>
  <c r="E15" i="8" s="1"/>
  <c r="C20" i="3"/>
  <c r="E20" i="3" s="1"/>
  <c r="D56" i="4"/>
  <c r="D63" i="4" s="1"/>
  <c r="D65" i="4" s="1"/>
  <c r="D67" i="4" s="1"/>
  <c r="F10" i="15"/>
  <c r="G10" i="15"/>
  <c r="H10" i="15" s="1"/>
  <c r="E53" i="4"/>
  <c r="K16" i="16"/>
  <c r="K24" i="16" s="1"/>
  <c r="K25" i="16" s="1"/>
  <c r="G18" i="15"/>
  <c r="H18" i="15" s="1"/>
  <c r="F18" i="15"/>
  <c r="F22" i="4"/>
  <c r="F41" i="3"/>
  <c r="H41" i="3" s="1"/>
  <c r="H31" i="3"/>
  <c r="D54" i="4"/>
  <c r="F16" i="16"/>
  <c r="G17" i="15"/>
  <c r="H17" i="15" s="1"/>
  <c r="F17" i="15"/>
  <c r="F54" i="4"/>
  <c r="H54" i="4" s="1"/>
  <c r="H45" i="4"/>
  <c r="C41" i="3"/>
  <c r="E41" i="3" s="1"/>
  <c r="E31" i="3"/>
  <c r="C33" i="2" s="1"/>
  <c r="S22" i="13"/>
  <c r="S25" i="13" s="1"/>
  <c r="G8" i="15"/>
  <c r="F8" i="15"/>
  <c r="F22" i="15" s="1"/>
  <c r="F16" i="15"/>
  <c r="G16" i="15"/>
  <c r="H16" i="15" s="1"/>
  <c r="H30" i="4"/>
  <c r="C6" i="12"/>
  <c r="C22" i="12" s="1"/>
  <c r="C8" i="8"/>
  <c r="D5" i="6"/>
  <c r="E5" i="2"/>
  <c r="F5" i="2" s="1"/>
  <c r="G5" i="2" s="1"/>
  <c r="C54" i="4"/>
  <c r="E54" i="4" s="1"/>
  <c r="C22" i="4"/>
  <c r="F31" i="4" l="1"/>
  <c r="H22" i="4"/>
  <c r="H8" i="15"/>
  <c r="G22" i="15"/>
  <c r="H22" i="15" s="1"/>
  <c r="F24" i="16"/>
  <c r="F25" i="16" s="1"/>
  <c r="H16" i="16"/>
  <c r="H24" i="16" s="1"/>
  <c r="C31" i="4"/>
  <c r="E22" i="4"/>
  <c r="E8" i="8"/>
  <c r="E21" i="8" s="1"/>
  <c r="C21" i="8"/>
  <c r="C24" i="8" s="1"/>
  <c r="C29" i="2"/>
  <c r="C34" i="2"/>
  <c r="C5" i="9" l="1"/>
  <c r="C8" i="9" s="1"/>
  <c r="C13" i="9" s="1"/>
  <c r="C17" i="9" s="1"/>
  <c r="H31" i="4"/>
  <c r="F56" i="4"/>
  <c r="C56" i="4"/>
  <c r="E31" i="4"/>
  <c r="C37" i="2"/>
  <c r="C38" i="2" s="1"/>
  <c r="H25" i="16"/>
  <c r="H56" i="4" l="1"/>
  <c r="F63" i="4"/>
  <c r="E56" i="4"/>
  <c r="C63" i="4"/>
  <c r="E63" i="4" l="1"/>
  <c r="C65" i="4"/>
  <c r="F65" i="4"/>
  <c r="H63" i="4"/>
  <c r="F67" i="4" l="1"/>
  <c r="H67" i="4" s="1"/>
  <c r="H65" i="4"/>
  <c r="E65" i="4"/>
  <c r="C67" i="4"/>
  <c r="E67" i="4" s="1"/>
</calcChain>
</file>

<file path=xl/comments1.xml><?xml version="1.0" encoding="utf-8"?>
<comments xmlns="http://schemas.openxmlformats.org/spreadsheetml/2006/main">
  <authors>
    <author>Author</author>
  </authors>
  <commentList>
    <comment ref="D12" authorId="0" shapeId="0">
      <text>
        <r>
          <rPr>
            <b/>
            <sz val="9"/>
            <color indexed="81"/>
            <rFont val="Tahoma"/>
            <family val="2"/>
          </rPr>
          <t>Author:</t>
        </r>
        <r>
          <rPr>
            <sz val="9"/>
            <color indexed="81"/>
            <rFont val="Tahoma"/>
            <family val="2"/>
          </rPr>
          <t xml:space="preserve">
MIN(Stand.Clasiif.Loan's Reserve; RWA*1.25%)</t>
        </r>
      </text>
    </comment>
  </commentList>
</comments>
</file>

<file path=xl/sharedStrings.xml><?xml version="1.0" encoding="utf-8"?>
<sst xmlns="http://schemas.openxmlformats.org/spreadsheetml/2006/main" count="657" uniqueCount="440">
  <si>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</si>
  <si>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</si>
  <si>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</si>
  <si>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</si>
  <si>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</si>
  <si>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</si>
  <si>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</si>
  <si>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</si>
  <si>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</si>
  <si>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</si>
  <si>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</si>
  <si>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</si>
  <si>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</si>
  <si>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</si>
  <si>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</si>
  <si>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</si>
  <si>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</si>
  <si>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</si>
  <si>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</si>
  <si>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</si>
  <si>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</si>
  <si>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</si>
  <si>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</si>
  <si>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</si>
  <si>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</si>
  <si>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</si>
  <si>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</si>
  <si>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</si>
  <si>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</si>
  <si>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</si>
  <si>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</si>
  <si>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</si>
  <si>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</si>
  <si>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</si>
  <si>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</si>
  <si>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</si>
  <si>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</si>
  <si>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</si>
  <si>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</si>
  <si>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</si>
  <si>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</si>
  <si>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</si>
  <si>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</si>
  <si>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</si>
  <si>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</si>
  <si>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</si>
  <si>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</si>
  <si>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</si>
  <si>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</si>
  <si>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</si>
  <si>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</si>
  <si>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</si>
  <si>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</si>
  <si>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</si>
  <si>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</si>
  <si>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</si>
  <si>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</si>
  <si>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</si>
  <si>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</si>
  <si>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</si>
  <si>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</si>
  <si>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</si>
  <si>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</si>
  <si>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</si>
  <si>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</si>
  <si>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</si>
  <si>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</si>
  <si>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</si>
  <si>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</si>
  <si>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</si>
  <si>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</si>
  <si>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</si>
  <si>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</si>
  <si>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</si>
  <si>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</si>
  <si>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</si>
  <si>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</si>
  <si>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</si>
  <si>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</si>
  <si>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</si>
  <si>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</si>
  <si>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</si>
  <si>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</si>
  <si>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</si>
  <si>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</si>
  <si>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</si>
  <si>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</si>
  <si>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</si>
  <si>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</si>
  <si>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</si>
  <si>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</si>
  <si>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</si>
  <si>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</si>
  <si>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</si>
  <si>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</si>
  <si>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</si>
  <si>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</si>
  <si>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</si>
  <si>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</si>
  <si>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</si>
  <si>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</si>
  <si>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</si>
  <si>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</si>
  <si>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</si>
  <si>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</si>
  <si>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</si>
  <si>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</si>
  <si>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</si>
  <si>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</si>
  <si>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</si>
  <si>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</si>
  <si>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</si>
  <si>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</si>
  <si>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</si>
  <si>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</si>
  <si>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</si>
  <si>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</si>
  <si>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</si>
  <si>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</si>
  <si>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</si>
  <si>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</si>
  <si>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</si>
  <si>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</si>
  <si>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</si>
  <si>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</si>
  <si>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</si>
  <si>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</si>
  <si>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</si>
  <si>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</si>
  <si>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</si>
  <si>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</si>
  <si>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</si>
  <si>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</si>
  <si>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</si>
  <si>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</si>
  <si>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</si>
  <si>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</si>
  <si>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</si>
  <si>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</si>
  <si>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</si>
  <si>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</si>
  <si>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</si>
  <si>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</si>
  <si>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</si>
  <si>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</si>
  <si>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</si>
  <si>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</si>
  <si>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</si>
  <si>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</si>
  <si>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</si>
  <si>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</si>
  <si>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</si>
  <si>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</si>
  <si>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</si>
  <si>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</si>
  <si>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</si>
  <si>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</si>
  <si>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</si>
  <si>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</si>
  <si>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</si>
  <si>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</si>
  <si>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</si>
  <si>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</si>
  <si>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</si>
  <si>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</si>
  <si>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</si>
  <si>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</si>
  <si>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</si>
  <si>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</si>
  <si>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</si>
  <si>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</si>
  <si>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</si>
  <si>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</si>
  <si>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</si>
  <si>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</si>
  <si>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</si>
  <si>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</si>
  <si>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</si>
  <si>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</si>
  <si>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</si>
  <si>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</si>
  <si>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</si>
  <si>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</si>
  <si>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</si>
  <si>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</si>
  <si>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</si>
  <si>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</si>
  <si>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</si>
  <si>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</si>
  <si>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</si>
  <si>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</si>
  <si>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</si>
  <si>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</si>
  <si>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</si>
  <si>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</si>
  <si>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</si>
  <si>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</si>
  <si>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</si>
  <si>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</si>
  <si>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</si>
  <si>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</si>
  <si>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</si>
  <si>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</si>
  <si>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</si>
  <si>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</si>
  <si>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</si>
  <si>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</si>
  <si>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</si>
  <si>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</si>
  <si>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</si>
  <si>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</si>
  <si>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</si>
  <si>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</si>
  <si>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</si>
  <si>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</si>
  <si>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</si>
  <si>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</si>
  <si>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</si>
  <si>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</si>
  <si>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</si>
  <si>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</si>
  <si>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</si>
  <si>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</si>
  <si>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</si>
  <si>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</si>
  <si>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</si>
  <si>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</si>
  <si>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</si>
  <si>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</si>
  <si>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</si>
  <si>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</si>
  <si>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</si>
  <si>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</si>
  <si>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</si>
  <si>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</si>
  <si>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</si>
  <si>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</si>
  <si>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</si>
  <si>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</si>
  <si>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</si>
  <si>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ადელ საფვატ გუირგუის რუფაეილ (მრჩეველი)</t>
  </si>
  <si>
    <t>დირექტორთა საბჭოს შემადგენლობა</t>
  </si>
  <si>
    <t>სოფიო ჯუღელი</t>
  </si>
  <si>
    <t>თეიმურაზ აბულაძე</t>
  </si>
  <si>
    <t>ვახტანგ ხუციშვილი</t>
  </si>
  <si>
    <t>ზურაბ აზარაშვილი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</si>
  <si>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</si>
  <si>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</si>
  <si>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</si>
  <si>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</si>
  <si>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</si>
  <si>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</si>
  <si>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</si>
  <si>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</si>
  <si>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</si>
  <si>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</si>
  <si>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</si>
  <si>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</si>
  <si>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</si>
  <si>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</si>
  <si>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</si>
  <si>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</si>
  <si>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</si>
  <si>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</si>
  <si>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F-Form</t>
  </si>
  <si>
    <t>Check</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</si>
  <si>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</si>
  <si>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</si>
  <si>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</si>
  <si>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</si>
  <si>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</si>
  <si>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</si>
  <si>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</si>
  <si>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</si>
  <si>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</si>
  <si>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</si>
  <si>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</si>
  <si>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</si>
  <si>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</si>
  <si>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</si>
  <si>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</si>
  <si>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</si>
  <si>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</si>
  <si>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</si>
  <si>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</si>
  <si>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</si>
  <si>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</si>
  <si>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</si>
  <si>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</si>
  <si>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</si>
  <si>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</si>
  <si>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</si>
  <si>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</si>
  <si>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</si>
  <si>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</si>
  <si>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</si>
  <si>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</si>
  <si>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</si>
  <si>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</si>
  <si>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</si>
  <si>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</si>
  <si>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</si>
  <si>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</si>
  <si>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</si>
  <si>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</si>
  <si>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</si>
  <si>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</si>
  <si>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</si>
  <si>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</si>
  <si>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</si>
  <si>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</si>
  <si>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</si>
  <si>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</si>
  <si>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</si>
  <si>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</si>
  <si>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</si>
  <si>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</si>
  <si>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</si>
  <si>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</si>
  <si>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</si>
  <si>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</si>
  <si>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</si>
  <si>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</si>
  <si>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ცხრილი 9 (Capital), N39</t>
  </si>
  <si>
    <t>6.2.1</t>
  </si>
  <si>
    <t>საკრედიტო რისკის მიხედვით შეწონილი აქტივების 1.25%</t>
  </si>
  <si>
    <t>6.2.2</t>
  </si>
  <si>
    <t>სტანდარტულად კლასიფიცირებული სესხების რეზერვი</t>
  </si>
  <si>
    <t>მათ შორის არამატერიალური აქტივები</t>
  </si>
  <si>
    <t>ცხრილი 9 (Capital), N10</t>
  </si>
  <si>
    <t xml:space="preserve">სტანდარტულად კლასიფიცირებული ბალანსგარეშე მუხლებზე არსებული რეზერვები </t>
  </si>
  <si>
    <t>მათ შორის მეორად საზედამხედველო კაპიტალში ჩასათვლელი ინსტრუმენტები</t>
  </si>
  <si>
    <t>ცხრილი 9 (Capital), N37</t>
  </si>
  <si>
    <t>ცხრილი 9 (Capital), N2</t>
  </si>
  <si>
    <t xml:space="preserve">    მინუს: გამოსყიდული აქციები</t>
  </si>
  <si>
    <t>ცხრილი 9 (Capital), N6</t>
  </si>
  <si>
    <t>ცხრილი 9 (Capital), N8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</si>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</sst>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 numFmtId="170" formatCode="#,##0.00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name val="Calibri"/>
      <family val="2"/>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sz val="10"/>
      <name val="Geo_Arial"/>
      <family val="2"/>
    </font>
    <font>
      <i/>
      <sz val="10"/>
      <color theme="1"/>
      <name val="Calibri"/>
      <family val="2"/>
      <scheme val="minor"/>
    </font>
    <font>
      <sz val="10"/>
      <color rgb="FFFF0000"/>
      <name val="Calibri"/>
      <family val="2"/>
      <scheme val="minor"/>
    </font>
    <font>
      <b/>
      <sz val="10"/>
      <color theme="1"/>
      <name val="Sylfaen"/>
      <family val="1"/>
    </font>
    <font>
      <b/>
      <sz val="9"/>
      <color indexed="81"/>
      <name val="Tahoma"/>
      <family val="2"/>
    </font>
    <font>
      <sz val="9"/>
      <color indexed="81"/>
      <name val="Tahoma"/>
      <family val="2"/>
    </font>
    <font>
      <sz val="10"/>
      <name val="SPKolheti"/>
      <family val="1"/>
    </font>
    <fon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5F5F5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1" fillId="0" borderId="0"/>
    <xf numFmtId="0" fontId="31" fillId="0" borderId="0"/>
    <xf numFmtId="43" fontId="1" fillId="0" borderId="0" applyFont="0" applyFill="0" applyBorder="0" applyAlignment="0" applyProtection="0"/>
    <xf numFmtId="0" fontId="1" fillId="0" borderId="0"/>
    <xf numFmtId="0" fontId="1" fillId="0" borderId="0"/>
    <xf numFmtId="0" fontId="4" fillId="0" borderId="0"/>
    <xf numFmtId="43" fontId="4" fillId="0" borderId="0" applyFont="0" applyFill="0" applyBorder="0" applyAlignment="0" applyProtection="0"/>
    <xf numFmtId="0" fontId="4" fillId="0" borderId="0"/>
    <xf numFmtId="0" fontId="4" fillId="0" borderId="0"/>
  </cellStyleXfs>
  <cellXfs count="519">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49"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9" fillId="4" borderId="1" xfId="2" applyNumberFormat="1" applyFont="1" applyFill="1" applyBorder="1" applyAlignment="1" applyProtection="1">
      <alignment vertical="center"/>
    </xf>
    <xf numFmtId="10" fontId="19" fillId="4" borderId="11" xfId="2" applyNumberFormat="1" applyFont="1" applyFill="1" applyBorder="1" applyAlignment="1" applyProtection="1">
      <alignment vertical="center"/>
    </xf>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4" borderId="1" xfId="0" applyNumberFormat="1" applyFont="1" applyFill="1" applyBorder="1" applyAlignment="1" applyProtection="1">
      <alignment vertical="center"/>
    </xf>
    <xf numFmtId="165" fontId="8" fillId="4" borderId="11" xfId="0" applyNumberFormat="1" applyFont="1" applyFill="1" applyBorder="1" applyAlignment="1" applyProtection="1">
      <alignment vertical="center"/>
    </xf>
    <xf numFmtId="165" fontId="19" fillId="4" borderId="1" xfId="0" applyNumberFormat="1" applyFont="1" applyFill="1" applyBorder="1" applyAlignment="1" applyProtection="1">
      <alignment vertical="center"/>
    </xf>
    <xf numFmtId="165" fontId="19" fillId="4" borderId="1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4" borderId="13" xfId="0" applyNumberFormat="1" applyFont="1" applyFill="1" applyBorder="1" applyAlignment="1" applyProtection="1">
      <alignment vertical="center"/>
      <protection locked="0"/>
    </xf>
    <xf numFmtId="10" fontId="8" fillId="4" borderId="13" xfId="2" applyNumberFormat="1" applyFont="1" applyFill="1" applyBorder="1" applyAlignment="1" applyProtection="1">
      <alignment vertical="center"/>
    </xf>
    <xf numFmtId="10" fontId="8" fillId="4" borderId="14" xfId="2" applyNumberFormat="1" applyFont="1" applyFill="1" applyBorder="1" applyAlignment="1" applyProtection="1">
      <alignment vertical="center"/>
    </xf>
    <xf numFmtId="0" fontId="8" fillId="0" borderId="0" xfId="0" applyFont="1" applyAlignment="1">
      <alignment horizontal="right"/>
    </xf>
    <xf numFmtId="0" fontId="8" fillId="0" borderId="0" xfId="0" applyFont="1"/>
    <xf numFmtId="0" fontId="7" fillId="0" borderId="0" xfId="0" applyFont="1" applyAlignment="1">
      <alignment wrapText="1"/>
    </xf>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20"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1" fillId="0" borderId="1" xfId="1" applyNumberFormat="1" applyFont="1" applyFill="1" applyBorder="1" applyAlignment="1" applyProtection="1">
      <alignment horizontal="right"/>
    </xf>
    <xf numFmtId="166" fontId="21" fillId="5" borderId="1" xfId="1" applyNumberFormat="1" applyFont="1" applyFill="1" applyBorder="1" applyAlignment="1" applyProtection="1">
      <alignment horizontal="right"/>
    </xf>
    <xf numFmtId="0" fontId="13"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2"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20" fillId="0" borderId="0" xfId="0" applyFont="1" applyFill="1"/>
    <xf numFmtId="0" fontId="23" fillId="0" borderId="6" xfId="0" applyFont="1" applyFill="1" applyBorder="1" applyAlignment="1">
      <alignment horizontal="left" vertical="center" indent="1"/>
    </xf>
    <xf numFmtId="0" fontId="23" fillId="0" borderId="7" xfId="0" applyFont="1" applyFill="1" applyBorder="1" applyAlignment="1">
      <alignment horizontal="left" vertical="center"/>
    </xf>
    <xf numFmtId="0" fontId="23" fillId="0" borderId="9" xfId="0" applyFont="1" applyFill="1" applyBorder="1" applyAlignment="1">
      <alignment horizontal="left" vertical="center" indent="1"/>
    </xf>
    <xf numFmtId="0" fontId="23" fillId="0" borderId="1" xfId="0" applyFont="1" applyFill="1" applyBorder="1" applyAlignment="1">
      <alignment horizontal="left" vertical="center"/>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9" xfId="0" applyFont="1" applyFill="1" applyBorder="1" applyAlignment="1">
      <alignment horizontal="left" indent="1"/>
    </xf>
    <xf numFmtId="0" fontId="24" fillId="0" borderId="1" xfId="0" applyFont="1" applyFill="1" applyBorder="1" applyAlignment="1">
      <alignment horizontal="center"/>
    </xf>
    <xf numFmtId="38" fontId="23" fillId="0" borderId="1" xfId="0" applyNumberFormat="1" applyFont="1" applyFill="1" applyBorder="1" applyAlignment="1" applyProtection="1">
      <alignment horizontal="right"/>
      <protection locked="0"/>
    </xf>
    <xf numFmtId="38" fontId="23" fillId="0" borderId="11" xfId="0" applyNumberFormat="1" applyFont="1" applyFill="1" applyBorder="1" applyAlignment="1" applyProtection="1">
      <alignment horizontal="right"/>
      <protection locked="0"/>
    </xf>
    <xf numFmtId="0" fontId="23" fillId="0" borderId="1" xfId="0" applyFont="1" applyFill="1" applyBorder="1" applyAlignment="1">
      <alignment horizontal="left" wrapText="1" indent="1"/>
    </xf>
    <xf numFmtId="166" fontId="23" fillId="0" borderId="1" xfId="1" applyNumberFormat="1" applyFont="1" applyFill="1" applyBorder="1" applyAlignment="1" applyProtection="1">
      <alignment horizontal="right"/>
    </xf>
    <xf numFmtId="166" fontId="25" fillId="0" borderId="1" xfId="1" applyNumberFormat="1" applyFont="1" applyFill="1" applyBorder="1" applyAlignment="1" applyProtection="1">
      <alignment horizontal="right"/>
    </xf>
    <xf numFmtId="166" fontId="23" fillId="5" borderId="1" xfId="1" applyNumberFormat="1" applyFont="1" applyFill="1" applyBorder="1" applyAlignment="1" applyProtection="1">
      <alignment horizontal="right"/>
    </xf>
    <xf numFmtId="0" fontId="23" fillId="0" borderId="1" xfId="0" applyFont="1" applyFill="1" applyBorder="1" applyAlignment="1">
      <alignment horizontal="left" wrapText="1" indent="2"/>
    </xf>
    <xf numFmtId="0" fontId="26" fillId="0" borderId="0" xfId="0" applyFont="1"/>
    <xf numFmtId="0" fontId="24" fillId="0" borderId="1" xfId="0" applyFont="1" applyFill="1" applyBorder="1" applyAlignment="1"/>
    <xf numFmtId="43" fontId="26" fillId="0" borderId="0" xfId="0" applyNumberFormat="1" applyFont="1"/>
    <xf numFmtId="166" fontId="26" fillId="0" borderId="0" xfId="0" applyNumberFormat="1" applyFont="1"/>
    <xf numFmtId="0" fontId="24" fillId="0" borderId="1" xfId="0" applyFont="1" applyFill="1" applyBorder="1" applyAlignment="1">
      <alignment horizontal="left"/>
    </xf>
    <xf numFmtId="166" fontId="24" fillId="0" borderId="1" xfId="1" applyNumberFormat="1" applyFont="1" applyFill="1" applyBorder="1" applyAlignment="1" applyProtection="1">
      <alignment horizontal="center"/>
    </xf>
    <xf numFmtId="166" fontId="24" fillId="0" borderId="11" xfId="1" applyNumberFormat="1" applyFont="1" applyFill="1" applyBorder="1" applyAlignment="1" applyProtection="1">
      <alignment horizontal="center"/>
    </xf>
    <xf numFmtId="0" fontId="23" fillId="0" borderId="1" xfId="0" applyFont="1" applyFill="1" applyBorder="1" applyAlignment="1">
      <alignment horizontal="left" indent="1"/>
    </xf>
    <xf numFmtId="166" fontId="23" fillId="0" borderId="11" xfId="1" applyNumberFormat="1" applyFont="1" applyFill="1" applyBorder="1" applyAlignment="1" applyProtection="1">
      <alignment horizontal="right"/>
    </xf>
    <xf numFmtId="0" fontId="0" fillId="0" borderId="0" xfId="0" applyAlignment="1">
      <alignment horizontal="left" indent="1"/>
    </xf>
    <xf numFmtId="0" fontId="26" fillId="0" borderId="0" xfId="0" applyFont="1" applyAlignment="1">
      <alignment horizontal="left" indent="1"/>
    </xf>
    <xf numFmtId="0" fontId="24" fillId="0" borderId="1" xfId="0" applyFont="1" applyFill="1" applyBorder="1" applyAlignment="1">
      <alignment horizontal="left" indent="1"/>
    </xf>
    <xf numFmtId="0" fontId="24" fillId="0" borderId="1" xfId="0" applyFont="1" applyFill="1" applyBorder="1" applyAlignment="1">
      <alignment horizontal="center" vertical="center" wrapText="1"/>
    </xf>
    <xf numFmtId="0" fontId="23" fillId="0" borderId="12" xfId="0" applyFont="1" applyFill="1" applyBorder="1" applyAlignment="1">
      <alignment horizontal="left" vertical="center" indent="1"/>
    </xf>
    <xf numFmtId="0" fontId="24" fillId="0" borderId="13" xfId="0" applyFont="1" applyFill="1" applyBorder="1" applyAlignment="1"/>
    <xf numFmtId="166" fontId="23"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20" fillId="0" borderId="0" xfId="0" applyFont="1" applyFill="1" applyAlignment="1">
      <alignment horizont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20" fillId="0" borderId="25" xfId="0" applyFont="1" applyFill="1" applyBorder="1" applyAlignment="1" applyProtection="1">
      <alignment horizontal="left" vertical="center" indent="1"/>
      <protection locked="0"/>
    </xf>
    <xf numFmtId="0" fontId="20" fillId="0" borderId="25" xfId="0" applyFont="1" applyFill="1" applyBorder="1" applyAlignment="1" applyProtection="1">
      <alignment horizontal="left" vertical="center"/>
      <protection locked="0"/>
    </xf>
    <xf numFmtId="166" fontId="27"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8" fillId="0" borderId="0" xfId="0" applyFont="1" applyAlignment="1">
      <alignment wrapText="1"/>
    </xf>
    <xf numFmtId="166" fontId="0" fillId="0" borderId="0" xfId="1" applyNumberFormat="1" applyFont="1"/>
    <xf numFmtId="0" fontId="26" fillId="0" borderId="0" xfId="0" applyFont="1" applyBorder="1"/>
    <xf numFmtId="0" fontId="3" fillId="0" borderId="5" xfId="0" applyFont="1" applyBorder="1"/>
    <xf numFmtId="0" fontId="15" fillId="0" borderId="5" xfId="0" applyFont="1" applyBorder="1" applyAlignment="1">
      <alignment horizontal="center"/>
    </xf>
    <xf numFmtId="0" fontId="20" fillId="0" borderId="5" xfId="0" applyFont="1" applyFill="1" applyBorder="1" applyAlignment="1">
      <alignment horizontal="center"/>
    </xf>
    <xf numFmtId="0" fontId="3" fillId="0" borderId="23" xfId="0" applyFont="1" applyBorder="1" applyAlignment="1">
      <alignment vertical="center" wrapText="1"/>
    </xf>
    <xf numFmtId="0" fontId="15" fillId="0" borderId="24" xfId="0" applyFont="1" applyBorder="1" applyAlignment="1">
      <alignment vertical="center" wrapText="1"/>
    </xf>
    <xf numFmtId="14" fontId="29" fillId="0" borderId="24" xfId="0" applyNumberFormat="1" applyFont="1" applyBorder="1" applyAlignment="1">
      <alignment horizontal="center" vertical="center" wrapText="1"/>
    </xf>
    <xf numFmtId="14" fontId="29" fillId="0" borderId="27" xfId="0" applyNumberFormat="1"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vertical="center" wrapText="1"/>
    </xf>
    <xf numFmtId="3" fontId="30" fillId="5" borderId="1" xfId="0" applyNumberFormat="1" applyFont="1" applyFill="1" applyBorder="1" applyAlignment="1">
      <alignment vertical="center" wrapText="1"/>
    </xf>
    <xf numFmtId="3" fontId="30"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30" fillId="0" borderId="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30" fillId="0" borderId="1" xfId="0" applyNumberFormat="1" applyFont="1" applyFill="1" applyBorder="1" applyAlignment="1">
      <alignment vertical="center" wrapText="1"/>
    </xf>
    <xf numFmtId="0" fontId="29" fillId="0" borderId="1" xfId="0" applyFont="1" applyFill="1" applyBorder="1" applyAlignment="1">
      <alignment horizontal="left" vertical="center" wrapText="1" indent="2"/>
    </xf>
    <xf numFmtId="0" fontId="29" fillId="0" borderId="12" xfId="0" applyFont="1" applyBorder="1" applyAlignment="1">
      <alignment horizontal="center" vertical="center" wrapText="1"/>
    </xf>
    <xf numFmtId="0" fontId="29" fillId="0" borderId="13" xfId="0" applyFont="1" applyBorder="1" applyAlignment="1">
      <alignment vertical="center" wrapText="1"/>
    </xf>
    <xf numFmtId="3" fontId="30" fillId="5" borderId="13" xfId="0" applyNumberFormat="1" applyFont="1" applyFill="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9" xfId="0" applyFont="1" applyBorder="1" applyAlignment="1">
      <alignment vertical="center"/>
    </xf>
    <xf numFmtId="0" fontId="32" fillId="0" borderId="19" xfId="0" applyFont="1" applyBorder="1" applyAlignment="1">
      <alignment wrapText="1"/>
    </xf>
    <xf numFmtId="0" fontId="3" fillId="0" borderId="28" xfId="0" applyFont="1" applyBorder="1" applyAlignment="1"/>
    <xf numFmtId="0" fontId="8" fillId="0" borderId="19" xfId="0" applyFont="1" applyBorder="1" applyAlignment="1">
      <alignment wrapText="1"/>
    </xf>
    <xf numFmtId="0" fontId="8" fillId="0" borderId="28" xfId="0" applyFont="1" applyBorder="1" applyAlignment="1"/>
    <xf numFmtId="0" fontId="8" fillId="0" borderId="28" xfId="0" applyFont="1" applyBorder="1" applyAlignment="1">
      <alignment wrapText="1"/>
    </xf>
    <xf numFmtId="9" fontId="3" fillId="0" borderId="28" xfId="0" applyNumberFormat="1" applyFont="1" applyBorder="1" applyAlignment="1"/>
    <xf numFmtId="0" fontId="8" fillId="0" borderId="29" xfId="0" applyFont="1" applyBorder="1" applyAlignment="1">
      <alignment vertical="center"/>
    </xf>
    <xf numFmtId="0" fontId="32" fillId="0" borderId="3" xfId="0" applyFont="1" applyBorder="1" applyAlignment="1">
      <alignment wrapText="1"/>
    </xf>
    <xf numFmtId="9" fontId="3" fillId="0" borderId="30" xfId="0" applyNumberFormat="1" applyFont="1" applyBorder="1" applyAlignment="1"/>
    <xf numFmtId="0" fontId="8" fillId="0" borderId="12" xfId="0" applyFont="1" applyBorder="1"/>
    <xf numFmtId="0" fontId="32" fillId="0" borderId="20" xfId="0" applyFont="1" applyBorder="1" applyAlignment="1">
      <alignment wrapText="1"/>
    </xf>
    <xf numFmtId="0" fontId="3" fillId="0" borderId="31"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5" fontId="3" fillId="0" borderId="1"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6" fontId="0" fillId="0" borderId="0" xfId="0" applyNumberFormat="1"/>
    <xf numFmtId="3" fontId="0" fillId="0" borderId="0" xfId="0" applyNumberFormat="1"/>
    <xf numFmtId="0" fontId="33" fillId="0" borderId="25" xfId="0" applyFont="1" applyBorder="1" applyAlignment="1">
      <alignment vertical="center" wrapText="1"/>
    </xf>
    <xf numFmtId="166" fontId="34"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5" fontId="15" fillId="5" borderId="13" xfId="0" applyNumberFormat="1" applyFont="1" applyFill="1" applyBorder="1" applyAlignment="1">
      <alignment horizontal="center" vertical="center"/>
    </xf>
    <xf numFmtId="165" fontId="15" fillId="5" borderId="14" xfId="0" applyNumberFormat="1" applyFont="1" applyFill="1" applyBorder="1" applyAlignment="1">
      <alignment horizontal="center" vertical="center"/>
    </xf>
    <xf numFmtId="0" fontId="3" fillId="0" borderId="0" xfId="0" applyFont="1" applyFill="1" applyBorder="1" applyAlignment="1">
      <alignment vertical="center" wrapText="1"/>
    </xf>
    <xf numFmtId="43" fontId="0" fillId="0" borderId="0" xfId="0" applyNumberFormat="1"/>
    <xf numFmtId="0" fontId="3" fillId="0" borderId="32" xfId="0" applyFont="1" applyFill="1" applyBorder="1" applyAlignment="1">
      <alignment vertical="center" wrapText="1"/>
    </xf>
    <xf numFmtId="165" fontId="3" fillId="0" borderId="0" xfId="0" applyNumberFormat="1" applyFont="1"/>
    <xf numFmtId="0" fontId="6" fillId="0" borderId="0" xfId="0" applyFont="1" applyAlignment="1">
      <alignment vertical="center"/>
    </xf>
    <xf numFmtId="0" fontId="3" fillId="0" borderId="0" xfId="0" applyFont="1" applyAlignment="1">
      <alignment vertical="center"/>
    </xf>
    <xf numFmtId="0" fontId="14" fillId="0" borderId="0" xfId="5" applyFont="1" applyFill="1" applyBorder="1" applyAlignment="1" applyProtection="1">
      <alignment horizontal="center" vertical="center" wrapText="1"/>
    </xf>
    <xf numFmtId="0" fontId="20"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6" xfId="0" applyFont="1" applyFill="1" applyBorder="1" applyAlignment="1">
      <alignment wrapText="1"/>
    </xf>
    <xf numFmtId="165" fontId="0" fillId="5" borderId="8" xfId="0" applyNumberFormat="1" applyFill="1" applyBorder="1" applyAlignment="1">
      <alignment horizontal="center" vertical="center"/>
    </xf>
    <xf numFmtId="0" fontId="3" fillId="0" borderId="9" xfId="0" applyFont="1" applyBorder="1" applyAlignment="1">
      <alignment horizontal="center" vertical="center"/>
    </xf>
    <xf numFmtId="0" fontId="3" fillId="0" borderId="33" xfId="0" applyFont="1" applyFill="1" applyBorder="1" applyAlignment="1"/>
    <xf numFmtId="165" fontId="0" fillId="0" borderId="11" xfId="0" applyNumberFormat="1" applyBorder="1" applyAlignment="1"/>
    <xf numFmtId="165" fontId="0" fillId="0" borderId="0" xfId="0" applyNumberFormat="1" applyAlignment="1"/>
    <xf numFmtId="0" fontId="3" fillId="0" borderId="9" xfId="0" applyFont="1" applyBorder="1" applyAlignment="1">
      <alignment horizontal="center" vertical="center" wrapText="1"/>
    </xf>
    <xf numFmtId="0" fontId="3" fillId="0" borderId="33" xfId="0" applyFont="1" applyFill="1" applyBorder="1" applyAlignment="1">
      <alignment vertical="center" wrapText="1"/>
    </xf>
    <xf numFmtId="165" fontId="0" fillId="0" borderId="11" xfId="0" applyNumberFormat="1" applyBorder="1" applyAlignment="1">
      <alignment wrapText="1"/>
    </xf>
    <xf numFmtId="165" fontId="0" fillId="0" borderId="0" xfId="0" applyNumberFormat="1" applyAlignment="1">
      <alignment wrapText="1"/>
    </xf>
    <xf numFmtId="0" fontId="0" fillId="0" borderId="0" xfId="0" applyAlignment="1">
      <alignment wrapText="1"/>
    </xf>
    <xf numFmtId="0" fontId="15" fillId="5" borderId="33" xfId="0" applyFont="1" applyFill="1" applyBorder="1" applyAlignment="1">
      <alignment wrapText="1"/>
    </xf>
    <xf numFmtId="165" fontId="0" fillId="5" borderId="11" xfId="0" applyNumberFormat="1" applyFill="1" applyBorder="1" applyAlignment="1">
      <alignment horizontal="center" vertical="center" wrapText="1"/>
    </xf>
    <xf numFmtId="0" fontId="3" fillId="0" borderId="33" xfId="0" applyFont="1" applyFill="1" applyBorder="1" applyAlignment="1">
      <alignment vertical="center"/>
    </xf>
    <xf numFmtId="165" fontId="0" fillId="0" borderId="11" xfId="0" applyNumberFormat="1" applyFill="1" applyBorder="1" applyAlignment="1"/>
    <xf numFmtId="0" fontId="3" fillId="0" borderId="33" xfId="0" applyFont="1" applyBorder="1" applyAlignment="1">
      <alignment wrapText="1"/>
    </xf>
    <xf numFmtId="0" fontId="3" fillId="0" borderId="12" xfId="0" applyFont="1" applyBorder="1" applyAlignment="1">
      <alignment horizontal="center" vertical="center" wrapText="1"/>
    </xf>
    <xf numFmtId="0" fontId="15" fillId="5" borderId="34" xfId="0" applyFont="1" applyFill="1" applyBorder="1" applyAlignment="1">
      <alignment wrapText="1"/>
    </xf>
    <xf numFmtId="165" fontId="0" fillId="5" borderId="14" xfId="0" applyNumberFormat="1" applyFill="1" applyBorder="1" applyAlignment="1">
      <alignment horizontal="center" vertical="center" wrapText="1"/>
    </xf>
    <xf numFmtId="169" fontId="0" fillId="0" borderId="0" xfId="0" applyNumberFormat="1"/>
    <xf numFmtId="0" fontId="3" fillId="6" borderId="0" xfId="0" applyFont="1" applyFill="1" applyAlignment="1">
      <alignment horizontal="center" vertical="center"/>
    </xf>
    <xf numFmtId="170" fontId="0" fillId="6" borderId="0" xfId="0" applyNumberFormat="1" applyFill="1"/>
    <xf numFmtId="0" fontId="6" fillId="0" borderId="0" xfId="0" applyFont="1" applyAlignment="1">
      <alignment horizontal="center" vertical="center"/>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34" fillId="2" borderId="11" xfId="1" applyNumberFormat="1" applyFont="1" applyFill="1" applyBorder="1" applyAlignment="1" applyProtection="1">
      <alignment vertical="top"/>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166" fontId="3" fillId="0" borderId="0" xfId="1" applyNumberFormat="1" applyFont="1"/>
    <xf numFmtId="0" fontId="13" fillId="0" borderId="0" xfId="5" applyFont="1" applyFill="1" applyBorder="1" applyProtection="1"/>
    <xf numFmtId="0" fontId="6" fillId="0" borderId="0" xfId="0" applyFont="1"/>
    <xf numFmtId="0" fontId="13" fillId="0" borderId="0" xfId="5" applyFont="1" applyFill="1" applyBorder="1" applyAlignment="1" applyProtection="1"/>
    <xf numFmtId="0" fontId="13" fillId="0" borderId="0" xfId="5" applyFont="1" applyFill="1" applyBorder="1" applyAlignment="1" applyProtection="1">
      <alignment horizontal="center"/>
    </xf>
    <xf numFmtId="0" fontId="20"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9" xfId="0" applyFont="1" applyBorder="1" applyAlignment="1">
      <alignment horizontal="center"/>
    </xf>
    <xf numFmtId="0" fontId="6" fillId="0" borderId="38" xfId="0" applyFont="1" applyBorder="1" applyAlignment="1">
      <alignment wrapText="1"/>
    </xf>
    <xf numFmtId="165" fontId="6" fillId="0" borderId="39" xfId="0" applyNumberFormat="1" applyFont="1" applyBorder="1" applyAlignment="1">
      <alignment vertical="center"/>
    </xf>
    <xf numFmtId="168" fontId="6" fillId="0" borderId="40" xfId="0" applyNumberFormat="1" applyFont="1" applyBorder="1" applyAlignment="1">
      <alignment horizontal="center"/>
    </xf>
    <xf numFmtId="168" fontId="0" fillId="0" borderId="0" xfId="0" applyNumberFormat="1" applyBorder="1" applyAlignment="1">
      <alignment horizontal="center"/>
    </xf>
    <xf numFmtId="0" fontId="6" fillId="0" borderId="41" xfId="0" applyFont="1" applyBorder="1" applyAlignment="1">
      <alignment wrapText="1"/>
    </xf>
    <xf numFmtId="168" fontId="6" fillId="0" borderId="42" xfId="0" applyNumberFormat="1" applyFont="1" applyBorder="1" applyAlignment="1">
      <alignment horizontal="center"/>
    </xf>
    <xf numFmtId="165" fontId="22" fillId="0" borderId="43" xfId="0" applyNumberFormat="1" applyFont="1" applyBorder="1" applyAlignment="1">
      <alignment vertical="center"/>
    </xf>
    <xf numFmtId="168" fontId="22" fillId="0" borderId="42" xfId="0" applyNumberFormat="1" applyFont="1" applyBorder="1" applyAlignment="1">
      <alignment horizontal="center"/>
    </xf>
    <xf numFmtId="168" fontId="27" fillId="0" borderId="0" xfId="0" applyNumberFormat="1" applyFont="1" applyBorder="1" applyAlignment="1">
      <alignment horizontal="center"/>
    </xf>
    <xf numFmtId="0" fontId="22" fillId="0" borderId="41" xfId="0" applyFont="1" applyBorder="1" applyAlignment="1">
      <alignment wrapText="1"/>
    </xf>
    <xf numFmtId="168" fontId="20" fillId="7" borderId="42" xfId="0" applyNumberFormat="1" applyFont="1" applyFill="1" applyBorder="1" applyAlignment="1">
      <alignment horizontal="center"/>
    </xf>
    <xf numFmtId="166" fontId="22" fillId="0" borderId="43" xfId="1" applyNumberFormat="1" applyFont="1" applyBorder="1" applyAlignment="1">
      <alignment vertical="center"/>
    </xf>
    <xf numFmtId="165" fontId="6" fillId="5" borderId="43" xfId="0" applyNumberFormat="1" applyFont="1" applyFill="1" applyBorder="1" applyAlignment="1">
      <alignment vertical="center"/>
    </xf>
    <xf numFmtId="165" fontId="6" fillId="0" borderId="43" xfId="0" applyNumberFormat="1" applyFont="1" applyBorder="1" applyAlignment="1">
      <alignment vertical="center"/>
    </xf>
    <xf numFmtId="0" fontId="22" fillId="0" borderId="41" xfId="0" applyFont="1" applyBorder="1" applyAlignment="1">
      <alignment horizontal="right" wrapText="1"/>
    </xf>
    <xf numFmtId="0" fontId="6" fillId="0" borderId="44" xfId="0" applyFont="1" applyBorder="1" applyAlignment="1">
      <alignment wrapText="1"/>
    </xf>
    <xf numFmtId="165" fontId="6" fillId="0" borderId="45" xfId="0" applyNumberFormat="1" applyFont="1" applyBorder="1" applyAlignment="1">
      <alignment vertical="center"/>
    </xf>
    <xf numFmtId="168" fontId="6" fillId="0" borderId="46" xfId="0" applyNumberFormat="1" applyFont="1" applyBorder="1" applyAlignment="1">
      <alignment horizontal="center"/>
    </xf>
    <xf numFmtId="0" fontId="35" fillId="5" borderId="47" xfId="0" applyFont="1" applyFill="1" applyBorder="1" applyAlignment="1">
      <alignment wrapText="1"/>
    </xf>
    <xf numFmtId="165" fontId="35" fillId="5" borderId="48" xfId="0" applyNumberFormat="1" applyFont="1" applyFill="1" applyBorder="1" applyAlignment="1">
      <alignment vertical="center"/>
    </xf>
    <xf numFmtId="168" fontId="35" fillId="5" borderId="49"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50" xfId="0" applyNumberFormat="1" applyFont="1" applyBorder="1" applyAlignment="1">
      <alignment vertical="center"/>
    </xf>
    <xf numFmtId="168" fontId="6" fillId="0" borderId="51" xfId="0" applyNumberFormat="1" applyFont="1" applyBorder="1" applyAlignment="1">
      <alignment horizontal="center"/>
    </xf>
    <xf numFmtId="166" fontId="22" fillId="0" borderId="50" xfId="1" applyNumberFormat="1" applyFont="1" applyBorder="1" applyAlignment="1">
      <alignment vertical="center"/>
    </xf>
    <xf numFmtId="0" fontId="22" fillId="0" borderId="44" xfId="0" applyFont="1" applyBorder="1" applyAlignment="1">
      <alignment horizontal="right" wrapText="1"/>
    </xf>
    <xf numFmtId="166" fontId="6" fillId="0" borderId="43" xfId="1" applyNumberFormat="1" applyFont="1" applyBorder="1" applyAlignment="1">
      <alignment vertical="center"/>
    </xf>
    <xf numFmtId="166" fontId="21" fillId="0" borderId="43" xfId="1" applyNumberFormat="1" applyFont="1" applyBorder="1" applyAlignment="1">
      <alignment vertical="center"/>
    </xf>
    <xf numFmtId="0" fontId="6" fillId="0" borderId="12" xfId="0" applyFont="1" applyBorder="1" applyAlignment="1">
      <alignment horizontal="center"/>
    </xf>
    <xf numFmtId="0" fontId="35" fillId="5" borderId="52" xfId="0" applyFont="1" applyFill="1" applyBorder="1" applyAlignment="1">
      <alignment wrapText="1"/>
    </xf>
    <xf numFmtId="165" fontId="35" fillId="5" borderId="53" xfId="0" applyNumberFormat="1" applyFont="1" applyFill="1" applyBorder="1" applyAlignment="1">
      <alignment vertical="center"/>
    </xf>
    <xf numFmtId="168" fontId="35" fillId="5" borderId="54"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5" xfId="0" applyFont="1" applyBorder="1"/>
    <xf numFmtId="0" fontId="3" fillId="0" borderId="56"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7" xfId="0" applyFont="1" applyBorder="1"/>
    <xf numFmtId="9" fontId="39"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9" xfId="1" applyNumberFormat="1" applyFont="1" applyBorder="1" applyAlignment="1"/>
    <xf numFmtId="166" fontId="3" fillId="0" borderId="11" xfId="1" applyNumberFormat="1" applyFont="1" applyBorder="1" applyAlignment="1"/>
    <xf numFmtId="0" fontId="26" fillId="0" borderId="0" xfId="0" applyFont="1" applyAlignment="1"/>
    <xf numFmtId="0" fontId="7" fillId="2" borderId="12" xfId="9" applyFont="1" applyFill="1" applyBorder="1" applyAlignment="1" applyProtection="1">
      <alignment horizontal="left" vertical="center"/>
      <protection locked="0"/>
    </xf>
    <xf numFmtId="0" fontId="14" fillId="2" borderId="13" xfId="15" applyFont="1" applyFill="1" applyBorder="1" applyAlignment="1" applyProtection="1">
      <protection locked="0"/>
    </xf>
    <xf numFmtId="166" fontId="3" fillId="5" borderId="13" xfId="1" applyNumberFormat="1" applyFont="1" applyFill="1" applyBorder="1"/>
    <xf numFmtId="166" fontId="3" fillId="5" borderId="14"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4" applyNumberFormat="1" applyFont="1" applyFill="1" applyBorder="1" applyAlignment="1" applyProtection="1">
      <alignment horizontal="center" vertical="center" wrapText="1"/>
      <protection locked="0"/>
    </xf>
    <xf numFmtId="166" fontId="7" fillId="2" borderId="1" xfId="14"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4"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8" xfId="1" applyNumberFormat="1" applyFont="1" applyBorder="1" applyAlignment="1">
      <alignment wrapText="1"/>
    </xf>
    <xf numFmtId="165" fontId="3" fillId="0" borderId="28" xfId="0" applyNumberFormat="1" applyFont="1" applyBorder="1" applyAlignment="1"/>
    <xf numFmtId="165" fontId="3" fillId="5" borderId="62" xfId="0" applyNumberFormat="1" applyFont="1" applyFill="1" applyBorder="1" applyAlignment="1"/>
    <xf numFmtId="0" fontId="14" fillId="2" borderId="14" xfId="15"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14" xfId="0" applyNumberFormat="1" applyFont="1" applyFill="1" applyBorder="1"/>
    <xf numFmtId="165" fontId="3" fillId="5" borderId="63"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6"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14" xfId="2" applyFont="1" applyFill="1" applyBorder="1"/>
    <xf numFmtId="0" fontId="33" fillId="2" borderId="65" xfId="0" applyFont="1" applyFill="1" applyBorder="1" applyAlignment="1">
      <alignment horizontal="left"/>
    </xf>
    <xf numFmtId="0" fontId="33"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5" xfId="0" applyFont="1" applyFill="1" applyBorder="1" applyAlignment="1">
      <alignment vertical="center"/>
    </xf>
    <xf numFmtId="0" fontId="3" fillId="2" borderId="33" xfId="0" applyFont="1" applyFill="1" applyBorder="1" applyAlignment="1">
      <alignment vertical="center"/>
    </xf>
    <xf numFmtId="0" fontId="3" fillId="2" borderId="28"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6" xfId="1" applyNumberFormat="1" applyFont="1" applyFill="1" applyBorder="1" applyAlignment="1">
      <alignment vertical="center"/>
    </xf>
    <xf numFmtId="166" fontId="3" fillId="0" borderId="27"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3" xfId="1" applyNumberFormat="1" applyFont="1" applyFill="1" applyBorder="1" applyAlignment="1">
      <alignment vertical="center"/>
    </xf>
    <xf numFmtId="166" fontId="3" fillId="2" borderId="28"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7"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6"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29" xfId="0" applyFont="1" applyFill="1" applyBorder="1" applyAlignment="1">
      <alignment horizontal="center" vertical="center"/>
    </xf>
    <xf numFmtId="0" fontId="3" fillId="0" borderId="2" xfId="0" applyFont="1" applyFill="1" applyBorder="1" applyAlignment="1">
      <alignment vertical="center"/>
    </xf>
    <xf numFmtId="164" fontId="16" fillId="3" borderId="20" xfId="6" applyBorder="1"/>
    <xf numFmtId="164" fontId="16" fillId="3" borderId="34" xfId="6" applyBorder="1"/>
    <xf numFmtId="164" fontId="16" fillId="3" borderId="26" xfId="6" applyBorder="1"/>
    <xf numFmtId="166" fontId="3" fillId="0" borderId="3" xfId="1" applyNumberFormat="1" applyFont="1" applyFill="1" applyBorder="1" applyAlignment="1">
      <alignment vertical="center"/>
    </xf>
    <xf numFmtId="166" fontId="3" fillId="0" borderId="58" xfId="1" applyNumberFormat="1"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vertical="center"/>
    </xf>
    <xf numFmtId="164" fontId="16" fillId="3" borderId="69" xfId="6" applyBorder="1"/>
    <xf numFmtId="9" fontId="3" fillId="0" borderId="70" xfId="2" applyNumberFormat="1" applyFont="1" applyFill="1" applyBorder="1" applyAlignment="1">
      <alignment vertical="center"/>
    </xf>
    <xf numFmtId="9" fontId="3" fillId="0" borderId="70" xfId="2" applyFont="1" applyFill="1" applyBorder="1" applyAlignment="1">
      <alignment vertical="center"/>
    </xf>
    <xf numFmtId="9" fontId="3" fillId="0" borderId="71" xfId="2" applyFont="1" applyFill="1" applyBorder="1" applyAlignment="1">
      <alignment vertical="center"/>
    </xf>
    <xf numFmtId="0" fontId="3" fillId="0" borderId="0" xfId="0" applyFont="1" applyAlignment="1">
      <alignment wrapText="1"/>
    </xf>
    <xf numFmtId="0" fontId="35" fillId="0" borderId="0" xfId="0" applyFont="1"/>
    <xf numFmtId="0" fontId="3" fillId="0" borderId="55" xfId="0" applyFont="1" applyBorder="1" applyAlignment="1">
      <alignment horizontal="center"/>
    </xf>
    <xf numFmtId="0" fontId="3" fillId="0" borderId="5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6"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4"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6"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8"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5" applyFont="1" applyFill="1" applyBorder="1" applyAlignment="1" applyProtection="1">
      <protection locked="0"/>
    </xf>
    <xf numFmtId="165" fontId="13" fillId="5" borderId="13" xfId="15" applyNumberFormat="1" applyFont="1" applyFill="1" applyBorder="1" applyAlignment="1" applyProtection="1"/>
    <xf numFmtId="3" fontId="13" fillId="5" borderId="13" xfId="15" applyNumberFormat="1" applyFont="1" applyFill="1" applyBorder="1" applyAlignment="1" applyProtection="1"/>
    <xf numFmtId="165" fontId="13" fillId="5" borderId="13" xfId="14" applyNumberFormat="1" applyFont="1" applyFill="1" applyBorder="1" applyAlignment="1" applyProtection="1"/>
    <xf numFmtId="0" fontId="6" fillId="0" borderId="0" xfId="0" applyFont="1" applyProtection="1"/>
    <xf numFmtId="165" fontId="6" fillId="0" borderId="0" xfId="0" applyNumberFormat="1" applyFont="1" applyProtection="1"/>
    <xf numFmtId="0" fontId="11" fillId="0" borderId="3" xfId="0" applyFont="1" applyBorder="1" applyAlignment="1">
      <alignment horizontal="left" wrapText="1"/>
    </xf>
    <xf numFmtId="0" fontId="11" fillId="0" borderId="4" xfId="0" applyFont="1" applyBorder="1" applyAlignment="1">
      <alignment horizontal="left" wrapText="1"/>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5" xfId="0" applyFont="1" applyBorder="1" applyAlignment="1">
      <alignment horizontal="center" wrapText="1"/>
    </xf>
    <xf numFmtId="0" fontId="8" fillId="0" borderId="18" xfId="0" applyFont="1" applyBorder="1" applyAlignment="1">
      <alignment horizontal="center"/>
    </xf>
    <xf numFmtId="0" fontId="32" fillId="0" borderId="19" xfId="0" applyFont="1" applyBorder="1" applyAlignment="1">
      <alignment wrapText="1"/>
    </xf>
    <xf numFmtId="0" fontId="32" fillId="0" borderId="28" xfId="0" applyFont="1" applyBorder="1" applyAlignment="1">
      <alignment wrapText="1"/>
    </xf>
    <xf numFmtId="0" fontId="13" fillId="0" borderId="19" xfId="0" applyFont="1" applyBorder="1" applyAlignment="1">
      <alignment horizontal="center" wrapText="1"/>
    </xf>
    <xf numFmtId="0" fontId="8" fillId="0" borderId="28" xfId="0" applyFont="1" applyBorder="1" applyAlignment="1">
      <alignment horizontal="center"/>
    </xf>
    <xf numFmtId="0" fontId="13"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8" xfId="0" applyFont="1" applyFill="1" applyBorder="1" applyAlignment="1">
      <alignment horizontal="center"/>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8" fillId="2" borderId="58" xfId="11" applyFont="1" applyFill="1" applyBorder="1" applyAlignment="1" applyProtection="1">
      <alignment horizontal="center" vertical="center" wrapText="1"/>
      <protection locked="0"/>
    </xf>
    <xf numFmtId="0" fontId="38" fillId="2" borderId="27"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4" fillId="2" borderId="6" xfId="14" applyNumberFormat="1" applyFont="1" applyFill="1" applyBorder="1" applyAlignment="1" applyProtection="1">
      <alignment horizontal="center"/>
      <protection locked="0"/>
    </xf>
    <xf numFmtId="166" fontId="14" fillId="2" borderId="7" xfId="14" applyNumberFormat="1" applyFont="1" applyFill="1" applyBorder="1" applyAlignment="1" applyProtection="1">
      <alignment horizontal="center"/>
      <protection locked="0"/>
    </xf>
    <xf numFmtId="166" fontId="14" fillId="2" borderId="8" xfId="14" applyNumberFormat="1" applyFont="1" applyFill="1" applyBorder="1" applyAlignment="1" applyProtection="1">
      <alignment horizontal="center"/>
      <protection locked="0"/>
    </xf>
    <xf numFmtId="166" fontId="14" fillId="0" borderId="59" xfId="14" applyNumberFormat="1" applyFont="1" applyFill="1" applyBorder="1" applyAlignment="1" applyProtection="1">
      <alignment horizontal="center" vertical="center" wrapText="1"/>
      <protection locked="0"/>
    </xf>
    <xf numFmtId="166" fontId="14" fillId="0" borderId="61" xfId="14" applyNumberFormat="1" applyFont="1" applyFill="1" applyBorder="1" applyAlignment="1" applyProtection="1">
      <alignment horizontal="center" vertical="center" wrapText="1"/>
      <protection locked="0"/>
    </xf>
    <xf numFmtId="0" fontId="15" fillId="0" borderId="60" xfId="0" applyFont="1" applyBorder="1" applyAlignment="1">
      <alignment horizontal="center" vertical="center" wrapText="1"/>
    </xf>
    <xf numFmtId="0" fontId="15" fillId="0" borderId="6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3" fillId="0" borderId="55" xfId="0" applyFont="1" applyFill="1" applyBorder="1" applyAlignment="1">
      <alignment horizontal="left" vertical="center"/>
    </xf>
    <xf numFmtId="0" fontId="33" fillId="0" borderId="56" xfId="0" applyFont="1" applyFill="1" applyBorder="1" applyAlignment="1">
      <alignment horizontal="left" vertical="center"/>
    </xf>
    <xf numFmtId="0" fontId="3" fillId="0" borderId="5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6" xfId="0" applyFont="1" applyFill="1" applyBorder="1" applyAlignment="1">
      <alignment horizontal="center" vertical="center" wrapText="1"/>
    </xf>
  </cellXfs>
  <cellStyles count="17">
    <cellStyle name="1Normal 2" xfId="6"/>
    <cellStyle name="Comma" xfId="1" builtinId="3"/>
    <cellStyle name="Comma 2" xfId="14"/>
    <cellStyle name="Comma 3" xfId="10"/>
    <cellStyle name="Hyperlink" xfId="4" builtinId="8"/>
    <cellStyle name="Normal" xfId="0" builtinId="0"/>
    <cellStyle name="Normal 121 2" xfId="12"/>
    <cellStyle name="Normal 122" xfId="3"/>
    <cellStyle name="Normal 2" xfId="5"/>
    <cellStyle name="Normal 2 2" xfId="13"/>
    <cellStyle name="Normal 4" xfId="11"/>
    <cellStyle name="Normal_Capital &amp; RWA N" xfId="8"/>
    <cellStyle name="Normal_Capital &amp; RWA N 2" xfId="15"/>
    <cellStyle name="Normal_Casestdy draft" xfId="16"/>
    <cellStyle name="Normal_Casestdy draft 2" xfId="9"/>
    <cellStyle name="Percent" xfId="2" builtinId="5"/>
    <cellStyle name="Percent 2" xfId="7"/>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zoomScaleNormal="100" workbookViewId="0">
      <pane xSplit="1" ySplit="7" topLeftCell="B8" activePane="bottomRight" state="frozen"/>
      <selection activeCell="P24" sqref="P24:Q24"/>
      <selection pane="topRight" activeCell="P24" sqref="P24:Q24"/>
      <selection pane="bottomLeft" activeCell="P24" sqref="P24:Q24"/>
      <selection pane="bottomRight" activeCell="A6" sqref="A6:C6"/>
    </sheetView>
  </sheetViews>
  <sheetFormatPr defaultRowHeight="15" x14ac:dyDescent="0.25"/>
  <cols>
    <col min="1" max="1" width="10.28515625" style="22"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472" t="s">
        <v>9</v>
      </c>
      <c r="B6" s="473"/>
      <c r="C6" s="473"/>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c r="C11" s="15"/>
    </row>
    <row r="12" spans="1:3" x14ac:dyDescent="0.25">
      <c r="A12" s="1">
        <v>5</v>
      </c>
      <c r="B12" s="14" t="s">
        <v>16</v>
      </c>
    </row>
    <row r="13" spans="1:3" x14ac:dyDescent="0.25">
      <c r="A13" s="1">
        <v>6</v>
      </c>
      <c r="B13" s="16"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7" t="s">
        <v>21</v>
      </c>
      <c r="B17" s="14" t="s">
        <v>22</v>
      </c>
    </row>
    <row r="18" spans="1:2" x14ac:dyDescent="0.25">
      <c r="A18" s="1">
        <v>10</v>
      </c>
      <c r="B18" s="14" t="s">
        <v>23</v>
      </c>
    </row>
    <row r="19" spans="1:2" x14ac:dyDescent="0.25">
      <c r="A19" s="1">
        <v>11</v>
      </c>
      <c r="B19" s="16" t="s">
        <v>24</v>
      </c>
    </row>
    <row r="20" spans="1:2" x14ac:dyDescent="0.25">
      <c r="A20" s="1">
        <v>12</v>
      </c>
      <c r="B20" s="16" t="s">
        <v>25</v>
      </c>
    </row>
    <row r="21" spans="1:2" x14ac:dyDescent="0.25">
      <c r="A21" s="1">
        <v>13</v>
      </c>
      <c r="B21" s="18" t="s">
        <v>26</v>
      </c>
    </row>
    <row r="22" spans="1:2" x14ac:dyDescent="0.25">
      <c r="A22" s="1">
        <v>14</v>
      </c>
      <c r="B22" s="11" t="s">
        <v>27</v>
      </c>
    </row>
    <row r="23" spans="1:2" x14ac:dyDescent="0.25">
      <c r="A23" s="19">
        <v>15</v>
      </c>
      <c r="B23" s="16" t="s">
        <v>28</v>
      </c>
    </row>
    <row r="24" spans="1:2" x14ac:dyDescent="0.25">
      <c r="A24" s="20"/>
      <c r="B24" s="21"/>
    </row>
    <row r="25" spans="1:2" x14ac:dyDescent="0.25">
      <c r="A25" s="20"/>
      <c r="B25" s="21"/>
    </row>
    <row r="26" spans="1:2" x14ac:dyDescent="0.25">
      <c r="A26" s="20"/>
      <c r="B26" s="2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45" activePane="bottomRight" state="frozen"/>
      <selection activeCell="P24" sqref="P24:Q24"/>
      <selection pane="topRight" activeCell="P24" sqref="P24:Q24"/>
      <selection pane="bottomLeft" activeCell="P24" sqref="P24:Q24"/>
      <selection pane="bottomRight" activeCell="B23" sqref="B23"/>
    </sheetView>
  </sheetViews>
  <sheetFormatPr defaultRowHeight="15" x14ac:dyDescent="0.25"/>
  <cols>
    <col min="1" max="1" width="9.5703125" style="20" bestFit="1" customWidth="1"/>
    <col min="2" max="2" width="132.42578125" style="22" customWidth="1"/>
    <col min="3" max="3" width="18.42578125" style="292" customWidth="1"/>
    <col min="6" max="6" width="17.42578125" bestFit="1" customWidth="1"/>
  </cols>
  <sheetData>
    <row r="1" spans="1:6" ht="15.75" x14ac:dyDescent="0.3">
      <c r="A1" s="23" t="s">
        <v>29</v>
      </c>
      <c r="B1" s="22" t="str">
        <f>'1. key ratios'!B1</f>
        <v>სს ტერაბანკი</v>
      </c>
      <c r="C1" s="22"/>
      <c r="D1" s="22"/>
      <c r="E1" s="22"/>
      <c r="F1" s="22"/>
    </row>
    <row r="2" spans="1:6" s="202" customFormat="1" ht="15.75" customHeight="1" x14ac:dyDescent="0.3">
      <c r="A2" s="202" t="s">
        <v>31</v>
      </c>
      <c r="B2" s="82">
        <f>'1. key ratios'!B2</f>
        <v>43281</v>
      </c>
    </row>
    <row r="3" spans="1:6" s="202" customFormat="1" ht="15.75" customHeight="1" x14ac:dyDescent="0.3"/>
    <row r="4" spans="1:6" ht="15.75" thickBot="1" x14ac:dyDescent="0.3">
      <c r="A4" s="20" t="s">
        <v>276</v>
      </c>
      <c r="B4" s="261" t="s">
        <v>20</v>
      </c>
      <c r="C4" s="22"/>
    </row>
    <row r="5" spans="1:6" x14ac:dyDescent="0.25">
      <c r="A5" s="262" t="s">
        <v>33</v>
      </c>
      <c r="B5" s="263"/>
      <c r="C5" s="264" t="s">
        <v>74</v>
      </c>
    </row>
    <row r="6" spans="1:6" x14ac:dyDescent="0.25">
      <c r="A6" s="265">
        <v>1</v>
      </c>
      <c r="B6" s="266" t="s">
        <v>277</v>
      </c>
      <c r="C6" s="267">
        <f>SUM(C7:C11)</f>
        <v>123440970.55000006</v>
      </c>
    </row>
    <row r="7" spans="1:6" x14ac:dyDescent="0.25">
      <c r="A7" s="265">
        <v>2</v>
      </c>
      <c r="B7" s="268" t="s">
        <v>278</v>
      </c>
      <c r="C7" s="269">
        <v>121372000.00000001</v>
      </c>
    </row>
    <row r="8" spans="1:6" x14ac:dyDescent="0.25">
      <c r="A8" s="265">
        <v>3</v>
      </c>
      <c r="B8" s="270" t="s">
        <v>279</v>
      </c>
      <c r="C8" s="269">
        <v>0</v>
      </c>
    </row>
    <row r="9" spans="1:6" x14ac:dyDescent="0.25">
      <c r="A9" s="265">
        <v>4</v>
      </c>
      <c r="B9" s="270" t="s">
        <v>280</v>
      </c>
      <c r="C9" s="269">
        <v>0</v>
      </c>
    </row>
    <row r="10" spans="1:6" x14ac:dyDescent="0.25">
      <c r="A10" s="265">
        <v>5</v>
      </c>
      <c r="B10" s="270" t="s">
        <v>281</v>
      </c>
      <c r="C10" s="269">
        <v>0</v>
      </c>
    </row>
    <row r="11" spans="1:6" x14ac:dyDescent="0.25">
      <c r="A11" s="265">
        <v>6</v>
      </c>
      <c r="B11" s="271" t="s">
        <v>282</v>
      </c>
      <c r="C11" s="272">
        <v>2068970.550000038</v>
      </c>
    </row>
    <row r="12" spans="1:6" s="248" customFormat="1" x14ac:dyDescent="0.25">
      <c r="A12" s="265">
        <v>7</v>
      </c>
      <c r="B12" s="266" t="s">
        <v>283</v>
      </c>
      <c r="C12" s="273">
        <f>SUM(C13:C27)</f>
        <v>28532108</v>
      </c>
    </row>
    <row r="13" spans="1:6" s="248" customFormat="1" x14ac:dyDescent="0.25">
      <c r="A13" s="265">
        <v>8</v>
      </c>
      <c r="B13" s="274" t="s">
        <v>284</v>
      </c>
      <c r="C13" s="275">
        <v>0</v>
      </c>
    </row>
    <row r="14" spans="1:6" s="248" customFormat="1" ht="25.5" x14ac:dyDescent="0.25">
      <c r="A14" s="265">
        <v>9</v>
      </c>
      <c r="B14" s="276" t="s">
        <v>285</v>
      </c>
      <c r="C14" s="275">
        <v>0</v>
      </c>
    </row>
    <row r="15" spans="1:6" s="248" customFormat="1" x14ac:dyDescent="0.25">
      <c r="A15" s="265">
        <v>10</v>
      </c>
      <c r="B15" s="277" t="s">
        <v>286</v>
      </c>
      <c r="C15" s="275">
        <v>28532108</v>
      </c>
    </row>
    <row r="16" spans="1:6" s="248" customFormat="1" x14ac:dyDescent="0.25">
      <c r="A16" s="265">
        <v>11</v>
      </c>
      <c r="B16" s="278" t="s">
        <v>287</v>
      </c>
      <c r="C16" s="275">
        <v>0</v>
      </c>
    </row>
    <row r="17" spans="1:6" s="248" customFormat="1" x14ac:dyDescent="0.25">
      <c r="A17" s="265">
        <v>12</v>
      </c>
      <c r="B17" s="277" t="s">
        <v>288</v>
      </c>
      <c r="C17" s="275">
        <v>0</v>
      </c>
    </row>
    <row r="18" spans="1:6" s="248" customFormat="1" x14ac:dyDescent="0.25">
      <c r="A18" s="265">
        <v>13</v>
      </c>
      <c r="B18" s="277" t="s">
        <v>289</v>
      </c>
      <c r="C18" s="275">
        <v>0</v>
      </c>
    </row>
    <row r="19" spans="1:6" s="248" customFormat="1" x14ac:dyDescent="0.25">
      <c r="A19" s="265">
        <v>14</v>
      </c>
      <c r="B19" s="277" t="s">
        <v>290</v>
      </c>
      <c r="C19" s="275">
        <v>0</v>
      </c>
    </row>
    <row r="20" spans="1:6" s="248" customFormat="1" ht="25.5" x14ac:dyDescent="0.25">
      <c r="A20" s="265">
        <v>15</v>
      </c>
      <c r="B20" s="277" t="s">
        <v>291</v>
      </c>
      <c r="C20" s="275">
        <v>0</v>
      </c>
    </row>
    <row r="21" spans="1:6" s="248" customFormat="1" ht="25.5" x14ac:dyDescent="0.25">
      <c r="A21" s="265">
        <v>16</v>
      </c>
      <c r="B21" s="276" t="s">
        <v>292</v>
      </c>
      <c r="C21" s="275">
        <v>0</v>
      </c>
    </row>
    <row r="22" spans="1:6" s="248" customFormat="1" x14ac:dyDescent="0.25">
      <c r="A22" s="265">
        <v>17</v>
      </c>
      <c r="B22" s="279" t="s">
        <v>293</v>
      </c>
      <c r="C22" s="275">
        <v>0</v>
      </c>
    </row>
    <row r="23" spans="1:6" s="248" customFormat="1" ht="25.5" x14ac:dyDescent="0.25">
      <c r="A23" s="265">
        <v>18</v>
      </c>
      <c r="B23" s="276" t="s">
        <v>294</v>
      </c>
      <c r="C23" s="275">
        <v>0</v>
      </c>
    </row>
    <row r="24" spans="1:6" s="248" customFormat="1" ht="25.5" x14ac:dyDescent="0.25">
      <c r="A24" s="265">
        <v>19</v>
      </c>
      <c r="B24" s="276" t="s">
        <v>295</v>
      </c>
      <c r="C24" s="275">
        <v>0</v>
      </c>
    </row>
    <row r="25" spans="1:6" s="248" customFormat="1" ht="25.5" x14ac:dyDescent="0.25">
      <c r="A25" s="265">
        <v>20</v>
      </c>
      <c r="B25" s="280" t="s">
        <v>296</v>
      </c>
      <c r="C25" s="275">
        <v>0</v>
      </c>
    </row>
    <row r="26" spans="1:6" s="248" customFormat="1" x14ac:dyDescent="0.25">
      <c r="A26" s="265">
        <v>21</v>
      </c>
      <c r="B26" s="280" t="s">
        <v>297</v>
      </c>
      <c r="C26" s="275">
        <v>0</v>
      </c>
    </row>
    <row r="27" spans="1:6" s="248" customFormat="1" ht="25.5" x14ac:dyDescent="0.25">
      <c r="A27" s="265">
        <v>22</v>
      </c>
      <c r="B27" s="280" t="s">
        <v>298</v>
      </c>
      <c r="C27" s="275">
        <v>0</v>
      </c>
    </row>
    <row r="28" spans="1:6" s="248" customFormat="1" x14ac:dyDescent="0.25">
      <c r="A28" s="265">
        <v>23</v>
      </c>
      <c r="B28" s="281" t="s">
        <v>36</v>
      </c>
      <c r="C28" s="273">
        <f>C6-C12</f>
        <v>94908862.550000057</v>
      </c>
    </row>
    <row r="29" spans="1:6" s="248" customFormat="1" x14ac:dyDescent="0.25">
      <c r="A29" s="282"/>
      <c r="B29" s="283"/>
      <c r="C29" s="275"/>
    </row>
    <row r="30" spans="1:6" s="248" customFormat="1" x14ac:dyDescent="0.25">
      <c r="A30" s="282">
        <v>24</v>
      </c>
      <c r="B30" s="281" t="s">
        <v>299</v>
      </c>
      <c r="C30" s="273">
        <f>C31+C34</f>
        <v>0</v>
      </c>
      <c r="F30" s="284"/>
    </row>
    <row r="31" spans="1:6" s="248" customFormat="1" x14ac:dyDescent="0.25">
      <c r="A31" s="282">
        <v>25</v>
      </c>
      <c r="B31" s="270" t="s">
        <v>300</v>
      </c>
      <c r="C31" s="285">
        <f>C32+C33</f>
        <v>0</v>
      </c>
      <c r="F31" s="286"/>
    </row>
    <row r="32" spans="1:6" s="248" customFormat="1" x14ac:dyDescent="0.25">
      <c r="A32" s="282">
        <v>26</v>
      </c>
      <c r="B32" s="287" t="s">
        <v>301</v>
      </c>
      <c r="C32" s="275">
        <v>0</v>
      </c>
      <c r="F32" s="286"/>
    </row>
    <row r="33" spans="1:6" s="248" customFormat="1" x14ac:dyDescent="0.25">
      <c r="A33" s="282">
        <v>27</v>
      </c>
      <c r="B33" s="287" t="s">
        <v>302</v>
      </c>
      <c r="C33" s="275">
        <v>0</v>
      </c>
      <c r="F33" s="286"/>
    </row>
    <row r="34" spans="1:6" s="248" customFormat="1" x14ac:dyDescent="0.25">
      <c r="A34" s="282">
        <v>28</v>
      </c>
      <c r="B34" s="270" t="s">
        <v>303</v>
      </c>
      <c r="C34" s="275">
        <v>0</v>
      </c>
      <c r="F34" s="286"/>
    </row>
    <row r="35" spans="1:6" s="248" customFormat="1" x14ac:dyDescent="0.25">
      <c r="A35" s="282">
        <v>29</v>
      </c>
      <c r="B35" s="281" t="s">
        <v>304</v>
      </c>
      <c r="C35" s="273">
        <f>SUM(C36:C40)</f>
        <v>0</v>
      </c>
      <c r="F35" s="286"/>
    </row>
    <row r="36" spans="1:6" s="248" customFormat="1" x14ac:dyDescent="0.25">
      <c r="A36" s="282">
        <v>30</v>
      </c>
      <c r="B36" s="276" t="s">
        <v>305</v>
      </c>
      <c r="C36" s="275">
        <v>0</v>
      </c>
      <c r="F36" s="286"/>
    </row>
    <row r="37" spans="1:6" s="248" customFormat="1" x14ac:dyDescent="0.25">
      <c r="A37" s="282">
        <v>31</v>
      </c>
      <c r="B37" s="277" t="s">
        <v>306</v>
      </c>
      <c r="C37" s="275">
        <v>0</v>
      </c>
      <c r="F37" s="286"/>
    </row>
    <row r="38" spans="1:6" s="248" customFormat="1" ht="25.5" x14ac:dyDescent="0.25">
      <c r="A38" s="282">
        <v>32</v>
      </c>
      <c r="B38" s="276" t="s">
        <v>307</v>
      </c>
      <c r="C38" s="275">
        <v>0</v>
      </c>
      <c r="F38" s="286"/>
    </row>
    <row r="39" spans="1:6" s="248" customFormat="1" ht="25.5" x14ac:dyDescent="0.25">
      <c r="A39" s="282">
        <v>33</v>
      </c>
      <c r="B39" s="276" t="s">
        <v>295</v>
      </c>
      <c r="C39" s="275">
        <v>0</v>
      </c>
      <c r="F39" s="286"/>
    </row>
    <row r="40" spans="1:6" s="248" customFormat="1" ht="25.5" x14ac:dyDescent="0.25">
      <c r="A40" s="282">
        <v>34</v>
      </c>
      <c r="B40" s="280" t="s">
        <v>308</v>
      </c>
      <c r="C40" s="275">
        <v>0</v>
      </c>
      <c r="F40" s="286"/>
    </row>
    <row r="41" spans="1:6" s="248" customFormat="1" x14ac:dyDescent="0.25">
      <c r="A41" s="282">
        <v>35</v>
      </c>
      <c r="B41" s="281" t="s">
        <v>309</v>
      </c>
      <c r="C41" s="273">
        <f>C30-C35</f>
        <v>0</v>
      </c>
      <c r="F41" s="286"/>
    </row>
    <row r="42" spans="1:6" s="248" customFormat="1" x14ac:dyDescent="0.25">
      <c r="A42" s="282"/>
      <c r="B42" s="283"/>
      <c r="C42" s="275"/>
      <c r="F42" s="286"/>
    </row>
    <row r="43" spans="1:6" s="248" customFormat="1" x14ac:dyDescent="0.25">
      <c r="A43" s="282">
        <v>36</v>
      </c>
      <c r="B43" s="288" t="s">
        <v>310</v>
      </c>
      <c r="C43" s="273">
        <f>SUM(C44:C46)</f>
        <v>41179214.60687609</v>
      </c>
      <c r="F43" s="286"/>
    </row>
    <row r="44" spans="1:6" s="248" customFormat="1" x14ac:dyDescent="0.25">
      <c r="A44" s="282">
        <v>37</v>
      </c>
      <c r="B44" s="270" t="s">
        <v>311</v>
      </c>
      <c r="C44" s="275">
        <v>32362380.120000001</v>
      </c>
      <c r="F44" s="286"/>
    </row>
    <row r="45" spans="1:6" s="248" customFormat="1" x14ac:dyDescent="0.25">
      <c r="A45" s="282">
        <v>38</v>
      </c>
      <c r="B45" s="270" t="s">
        <v>312</v>
      </c>
      <c r="C45" s="275">
        <v>0</v>
      </c>
      <c r="F45" s="286"/>
    </row>
    <row r="46" spans="1:6" s="248" customFormat="1" x14ac:dyDescent="0.25">
      <c r="A46" s="282">
        <v>39</v>
      </c>
      <c r="B46" s="270" t="s">
        <v>313</v>
      </c>
      <c r="C46" s="275">
        <v>8816834.4868760873</v>
      </c>
      <c r="F46" s="286"/>
    </row>
    <row r="47" spans="1:6" s="248" customFormat="1" x14ac:dyDescent="0.25">
      <c r="A47" s="282">
        <v>40</v>
      </c>
      <c r="B47" s="288" t="s">
        <v>314</v>
      </c>
      <c r="C47" s="273">
        <f>SUM(C48:C51)</f>
        <v>0</v>
      </c>
      <c r="F47" s="286"/>
    </row>
    <row r="48" spans="1:6" s="248" customFormat="1" x14ac:dyDescent="0.25">
      <c r="A48" s="282">
        <v>41</v>
      </c>
      <c r="B48" s="276" t="s">
        <v>315</v>
      </c>
      <c r="C48" s="275">
        <v>0</v>
      </c>
      <c r="F48" s="286"/>
    </row>
    <row r="49" spans="1:6" s="248" customFormat="1" x14ac:dyDescent="0.25">
      <c r="A49" s="282">
        <v>42</v>
      </c>
      <c r="B49" s="277" t="s">
        <v>316</v>
      </c>
      <c r="C49" s="275">
        <v>0</v>
      </c>
      <c r="F49" s="286"/>
    </row>
    <row r="50" spans="1:6" s="248" customFormat="1" ht="25.5" x14ac:dyDescent="0.25">
      <c r="A50" s="282">
        <v>43</v>
      </c>
      <c r="B50" s="276" t="s">
        <v>317</v>
      </c>
      <c r="C50" s="275">
        <v>0</v>
      </c>
      <c r="F50" s="286"/>
    </row>
    <row r="51" spans="1:6" s="248" customFormat="1" ht="25.5" x14ac:dyDescent="0.25">
      <c r="A51" s="282">
        <v>44</v>
      </c>
      <c r="B51" s="276" t="s">
        <v>295</v>
      </c>
      <c r="C51" s="275">
        <v>0</v>
      </c>
      <c r="F51" s="286"/>
    </row>
    <row r="52" spans="1:6" s="248" customFormat="1" ht="15.75" thickBot="1" x14ac:dyDescent="0.3">
      <c r="A52" s="289">
        <v>45</v>
      </c>
      <c r="B52" s="290" t="s">
        <v>318</v>
      </c>
      <c r="C52" s="291">
        <f>C43-C47</f>
        <v>41179214.60687609</v>
      </c>
      <c r="F52" s="286"/>
    </row>
    <row r="53" spans="1:6" x14ac:dyDescent="0.25">
      <c r="F53" s="286"/>
    </row>
    <row r="54" spans="1:6" x14ac:dyDescent="0.25">
      <c r="F54" s="286"/>
    </row>
    <row r="55" spans="1:6" x14ac:dyDescent="0.25">
      <c r="B55" s="22" t="s">
        <v>319</v>
      </c>
      <c r="F55" s="286"/>
    </row>
    <row r="56" spans="1:6" x14ac:dyDescent="0.25">
      <c r="F56" s="286"/>
    </row>
    <row r="57" spans="1:6" x14ac:dyDescent="0.25">
      <c r="F57" s="286"/>
    </row>
    <row r="58" spans="1:6" x14ac:dyDescent="0.25">
      <c r="F58" s="286"/>
    </row>
    <row r="59" spans="1:6" x14ac:dyDescent="0.25">
      <c r="F59" s="286"/>
    </row>
    <row r="60" spans="1:6" x14ac:dyDescent="0.25">
      <c r="F60" s="286"/>
    </row>
    <row r="61" spans="1:6" x14ac:dyDescent="0.25">
      <c r="F61" s="286"/>
    </row>
    <row r="62" spans="1:6" x14ac:dyDescent="0.25">
      <c r="F62" s="286"/>
    </row>
    <row r="63" spans="1:6" x14ac:dyDescent="0.25">
      <c r="F63" s="286"/>
    </row>
    <row r="64" spans="1:6" x14ac:dyDescent="0.25">
      <c r="F64" s="286"/>
    </row>
    <row r="65" spans="6:6" x14ac:dyDescent="0.25">
      <c r="F65" s="286"/>
    </row>
    <row r="66" spans="6:6" x14ac:dyDescent="0.25">
      <c r="F66" s="286"/>
    </row>
    <row r="67" spans="6:6" x14ac:dyDescent="0.25">
      <c r="F67" s="286"/>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2" tint="-0.249977111117893"/>
    <pageSetUpPr fitToPage="1"/>
  </sheetPr>
  <dimension ref="A1:F42"/>
  <sheetViews>
    <sheetView tabSelected="1" zoomScaleNormal="100" workbookViewId="0">
      <pane xSplit="1" ySplit="5" topLeftCell="B6" activePane="bottomRight" state="frozen"/>
      <selection activeCell="P24" sqref="P24:Q24"/>
      <selection pane="topRight" activeCell="P24" sqref="P24:Q24"/>
      <selection pane="bottomLeft" activeCell="P24" sqref="P24:Q24"/>
      <selection pane="bottomRight" activeCell="C19" sqref="C19"/>
    </sheetView>
  </sheetViews>
  <sheetFormatPr defaultRowHeight="15.75" x14ac:dyDescent="0.3"/>
  <cols>
    <col min="1" max="1" width="10.7109375" style="294" customWidth="1"/>
    <col min="2" max="2" width="91.85546875" style="294" customWidth="1"/>
    <col min="3" max="3" width="53.140625" style="294" customWidth="1"/>
    <col min="4" max="4" width="32.28515625" style="294" customWidth="1"/>
    <col min="5" max="5" width="9.42578125" customWidth="1"/>
  </cols>
  <sheetData>
    <row r="1" spans="1:6" x14ac:dyDescent="0.3">
      <c r="A1" s="293" t="s">
        <v>29</v>
      </c>
      <c r="B1" s="22" t="str">
        <f>'1. key ratios'!B1</f>
        <v>სს ტერაბანკი</v>
      </c>
      <c r="E1" s="22"/>
      <c r="F1" s="22"/>
    </row>
    <row r="2" spans="1:6" s="202" customFormat="1" ht="15.75" customHeight="1" x14ac:dyDescent="0.3">
      <c r="A2" s="295" t="s">
        <v>31</v>
      </c>
      <c r="B2" s="82">
        <f>'1. key ratios'!B2</f>
        <v>43281</v>
      </c>
    </row>
    <row r="3" spans="1:6" s="202" customFormat="1" ht="15.75" customHeight="1" x14ac:dyDescent="0.3">
      <c r="A3" s="295"/>
    </row>
    <row r="4" spans="1:6" s="202" customFormat="1" ht="15.75" customHeight="1" thickBot="1" x14ac:dyDescent="0.35">
      <c r="A4" s="202" t="s">
        <v>320</v>
      </c>
      <c r="B4" s="296" t="s">
        <v>23</v>
      </c>
      <c r="D4" s="297" t="s">
        <v>70</v>
      </c>
    </row>
    <row r="5" spans="1:6" ht="38.25" x14ac:dyDescent="0.25">
      <c r="A5" s="298" t="s">
        <v>33</v>
      </c>
      <c r="B5" s="299" t="s">
        <v>256</v>
      </c>
      <c r="C5" s="300" t="s">
        <v>321</v>
      </c>
      <c r="D5" s="301" t="s">
        <v>322</v>
      </c>
    </row>
    <row r="6" spans="1:6" x14ac:dyDescent="0.3">
      <c r="A6" s="302">
        <v>1</v>
      </c>
      <c r="B6" s="303" t="s">
        <v>77</v>
      </c>
      <c r="C6" s="304">
        <f>'2. RC'!E7</f>
        <v>35052499.399999999</v>
      </c>
      <c r="D6" s="305"/>
      <c r="E6" s="306"/>
    </row>
    <row r="7" spans="1:6" x14ac:dyDescent="0.3">
      <c r="A7" s="302">
        <v>2</v>
      </c>
      <c r="B7" s="307" t="s">
        <v>78</v>
      </c>
      <c r="C7" s="304">
        <f>'2. RC'!E8</f>
        <v>89129969.319999993</v>
      </c>
      <c r="D7" s="308"/>
      <c r="E7" s="306"/>
    </row>
    <row r="8" spans="1:6" x14ac:dyDescent="0.3">
      <c r="A8" s="302">
        <v>3</v>
      </c>
      <c r="B8" s="307" t="s">
        <v>79</v>
      </c>
      <c r="C8" s="304">
        <f>'2. RC'!E9</f>
        <v>42771485.300000004</v>
      </c>
      <c r="D8" s="308"/>
      <c r="E8" s="306"/>
    </row>
    <row r="9" spans="1:6" x14ac:dyDescent="0.3">
      <c r="A9" s="302">
        <v>4</v>
      </c>
      <c r="B9" s="307" t="s">
        <v>80</v>
      </c>
      <c r="C9" s="304">
        <f>'2. RC'!E10</f>
        <v>0</v>
      </c>
      <c r="D9" s="308"/>
      <c r="E9" s="306"/>
    </row>
    <row r="10" spans="1:6" x14ac:dyDescent="0.3">
      <c r="A10" s="302">
        <v>5</v>
      </c>
      <c r="B10" s="307" t="s">
        <v>81</v>
      </c>
      <c r="C10" s="304">
        <f>'2. RC'!E11</f>
        <v>47611632.120000005</v>
      </c>
      <c r="D10" s="308"/>
      <c r="E10" s="306"/>
    </row>
    <row r="11" spans="1:6" x14ac:dyDescent="0.3">
      <c r="A11" s="302">
        <v>6.1</v>
      </c>
      <c r="B11" s="307" t="s">
        <v>82</v>
      </c>
      <c r="C11" s="309">
        <f>'2. RC'!E12</f>
        <v>635186262.4999994</v>
      </c>
      <c r="D11" s="310"/>
      <c r="E11" s="311"/>
    </row>
    <row r="12" spans="1:6" x14ac:dyDescent="0.3">
      <c r="A12" s="302">
        <v>6.2</v>
      </c>
      <c r="B12" s="312" t="s">
        <v>83</v>
      </c>
      <c r="C12" s="309">
        <f>'2. RC'!E13</f>
        <v>-42836744.100000039</v>
      </c>
      <c r="D12" s="313" t="s">
        <v>323</v>
      </c>
      <c r="E12" s="311"/>
    </row>
    <row r="13" spans="1:6" x14ac:dyDescent="0.3">
      <c r="A13" s="302" t="s">
        <v>324</v>
      </c>
      <c r="B13" s="312" t="s">
        <v>325</v>
      </c>
      <c r="C13" s="314">
        <f>-'5. RWA'!C6*1.25%</f>
        <v>-8816834.4868760873</v>
      </c>
      <c r="D13" s="313" t="s">
        <v>323</v>
      </c>
      <c r="E13" s="311"/>
    </row>
    <row r="14" spans="1:6" x14ac:dyDescent="0.3">
      <c r="A14" s="302" t="s">
        <v>326</v>
      </c>
      <c r="B14" s="312" t="s">
        <v>327</v>
      </c>
      <c r="C14" s="314">
        <v>-11086789.430000074</v>
      </c>
      <c r="D14" s="313" t="s">
        <v>323</v>
      </c>
      <c r="E14" s="311"/>
    </row>
    <row r="15" spans="1:6" x14ac:dyDescent="0.3">
      <c r="A15" s="302">
        <v>6</v>
      </c>
      <c r="B15" s="307" t="s">
        <v>84</v>
      </c>
      <c r="C15" s="315">
        <f>C11+C12</f>
        <v>592349518.39999938</v>
      </c>
      <c r="D15" s="310"/>
      <c r="E15" s="306"/>
    </row>
    <row r="16" spans="1:6" x14ac:dyDescent="0.3">
      <c r="A16" s="302">
        <v>7</v>
      </c>
      <c r="B16" s="307" t="s">
        <v>85</v>
      </c>
      <c r="C16" s="316">
        <f>'2. RC'!E15</f>
        <v>6039119.5299999909</v>
      </c>
      <c r="D16" s="308"/>
      <c r="E16" s="306"/>
    </row>
    <row r="17" spans="1:5" x14ac:dyDescent="0.3">
      <c r="A17" s="302">
        <v>8</v>
      </c>
      <c r="B17" s="307" t="s">
        <v>86</v>
      </c>
      <c r="C17" s="316">
        <f>'2. RC'!E16</f>
        <v>1183461.7500000005</v>
      </c>
      <c r="D17" s="308"/>
      <c r="E17" s="306"/>
    </row>
    <row r="18" spans="1:5" x14ac:dyDescent="0.3">
      <c r="A18" s="302">
        <v>9</v>
      </c>
      <c r="B18" s="307" t="s">
        <v>87</v>
      </c>
      <c r="C18" s="316">
        <f>'2. RC'!E17</f>
        <v>0</v>
      </c>
      <c r="D18" s="308"/>
      <c r="E18" s="306"/>
    </row>
    <row r="19" spans="1:5" x14ac:dyDescent="0.3">
      <c r="A19" s="302">
        <v>10</v>
      </c>
      <c r="B19" s="307" t="s">
        <v>88</v>
      </c>
      <c r="C19" s="316">
        <f>'2. RC'!E18</f>
        <v>45605521.980000041</v>
      </c>
      <c r="D19" s="308"/>
      <c r="E19" s="306"/>
    </row>
    <row r="20" spans="1:5" x14ac:dyDescent="0.3">
      <c r="A20" s="302">
        <v>10.1</v>
      </c>
      <c r="B20" s="317" t="s">
        <v>328</v>
      </c>
      <c r="C20" s="316">
        <f>'9. Capital'!C15</f>
        <v>28532108</v>
      </c>
      <c r="D20" s="313" t="s">
        <v>329</v>
      </c>
      <c r="E20" s="306"/>
    </row>
    <row r="21" spans="1:5" x14ac:dyDescent="0.3">
      <c r="A21" s="302">
        <v>11</v>
      </c>
      <c r="B21" s="318" t="s">
        <v>89</v>
      </c>
      <c r="C21" s="319">
        <f>'2. RC'!E19</f>
        <v>3898589.4566000002</v>
      </c>
      <c r="D21" s="320"/>
      <c r="E21" s="306"/>
    </row>
    <row r="22" spans="1:5" x14ac:dyDescent="0.3">
      <c r="A22" s="302">
        <v>12</v>
      </c>
      <c r="B22" s="321" t="s">
        <v>90</v>
      </c>
      <c r="C22" s="322">
        <f>SUM(C6:C10,C15:C18,C19,C21)</f>
        <v>863641797.25659931</v>
      </c>
      <c r="D22" s="323"/>
      <c r="E22" s="324"/>
    </row>
    <row r="23" spans="1:5" x14ac:dyDescent="0.3">
      <c r="A23" s="302">
        <v>13</v>
      </c>
      <c r="B23" s="307" t="s">
        <v>92</v>
      </c>
      <c r="C23" s="325">
        <f>'2. RC'!E22</f>
        <v>7161325.2300000004</v>
      </c>
      <c r="D23" s="326"/>
      <c r="E23" s="306"/>
    </row>
    <row r="24" spans="1:5" x14ac:dyDescent="0.3">
      <c r="A24" s="302">
        <v>14</v>
      </c>
      <c r="B24" s="307" t="s">
        <v>93</v>
      </c>
      <c r="C24" s="325">
        <f>'2. RC'!E23</f>
        <v>160778141.1200026</v>
      </c>
      <c r="D24" s="308"/>
      <c r="E24" s="306"/>
    </row>
    <row r="25" spans="1:5" x14ac:dyDescent="0.3">
      <c r="A25" s="302">
        <v>15</v>
      </c>
      <c r="B25" s="307" t="s">
        <v>94</v>
      </c>
      <c r="C25" s="325">
        <f>'2. RC'!E24</f>
        <v>207749136.24000001</v>
      </c>
      <c r="D25" s="308"/>
      <c r="E25" s="306"/>
    </row>
    <row r="26" spans="1:5" x14ac:dyDescent="0.3">
      <c r="A26" s="302">
        <v>16</v>
      </c>
      <c r="B26" s="307" t="s">
        <v>95</v>
      </c>
      <c r="C26" s="325">
        <f>'2. RC'!E25</f>
        <v>230478896.11999989</v>
      </c>
      <c r="D26" s="308"/>
      <c r="E26" s="306"/>
    </row>
    <row r="27" spans="1:5" x14ac:dyDescent="0.3">
      <c r="A27" s="302">
        <v>17</v>
      </c>
      <c r="B27" s="307" t="s">
        <v>96</v>
      </c>
      <c r="C27" s="325">
        <f>'2. RC'!E26</f>
        <v>0</v>
      </c>
      <c r="D27" s="308"/>
      <c r="E27" s="306"/>
    </row>
    <row r="28" spans="1:5" x14ac:dyDescent="0.3">
      <c r="A28" s="302">
        <v>18</v>
      </c>
      <c r="B28" s="307" t="s">
        <v>97</v>
      </c>
      <c r="C28" s="325">
        <f>'2. RC'!E27</f>
        <v>85184582</v>
      </c>
      <c r="D28" s="308"/>
      <c r="E28" s="306"/>
    </row>
    <row r="29" spans="1:5" x14ac:dyDescent="0.3">
      <c r="A29" s="302">
        <v>19</v>
      </c>
      <c r="B29" s="307" t="s">
        <v>98</v>
      </c>
      <c r="C29" s="325">
        <f>'2. RC'!E28</f>
        <v>3094606.55</v>
      </c>
      <c r="D29" s="308"/>
      <c r="E29" s="306"/>
    </row>
    <row r="30" spans="1:5" x14ac:dyDescent="0.3">
      <c r="A30" s="302">
        <v>20</v>
      </c>
      <c r="B30" s="307" t="s">
        <v>99</v>
      </c>
      <c r="C30" s="325">
        <f>'2. RC'!E29</f>
        <v>9713606.5200000014</v>
      </c>
      <c r="D30" s="313" t="s">
        <v>323</v>
      </c>
      <c r="E30" s="306"/>
    </row>
    <row r="31" spans="1:5" x14ac:dyDescent="0.3">
      <c r="A31" s="302">
        <v>20.100000000000001</v>
      </c>
      <c r="B31" s="318" t="s">
        <v>330</v>
      </c>
      <c r="C31" s="327">
        <v>1012134.9700000003</v>
      </c>
      <c r="D31" s="313" t="s">
        <v>323</v>
      </c>
      <c r="E31" s="306"/>
    </row>
    <row r="32" spans="1:5" x14ac:dyDescent="0.3">
      <c r="A32" s="302">
        <v>21</v>
      </c>
      <c r="B32" s="318" t="s">
        <v>100</v>
      </c>
      <c r="C32" s="325">
        <f>'2. RC'!E30</f>
        <v>36040536.159999996</v>
      </c>
      <c r="D32" s="320"/>
      <c r="E32" s="306"/>
    </row>
    <row r="33" spans="1:5" x14ac:dyDescent="0.3">
      <c r="A33" s="302">
        <v>21.1</v>
      </c>
      <c r="B33" s="328" t="s">
        <v>331</v>
      </c>
      <c r="C33" s="325">
        <v>32362380.120000001</v>
      </c>
      <c r="D33" s="313" t="s">
        <v>332</v>
      </c>
      <c r="E33" s="306"/>
    </row>
    <row r="34" spans="1:5" x14ac:dyDescent="0.3">
      <c r="A34" s="302">
        <v>22</v>
      </c>
      <c r="B34" s="321" t="s">
        <v>101</v>
      </c>
      <c r="C34" s="322">
        <f>SUM(C23:C30)+C32</f>
        <v>740200829.94000232</v>
      </c>
      <c r="D34" s="323"/>
      <c r="E34" s="324"/>
    </row>
    <row r="35" spans="1:5" x14ac:dyDescent="0.3">
      <c r="A35" s="302">
        <v>23</v>
      </c>
      <c r="B35" s="318" t="s">
        <v>103</v>
      </c>
      <c r="C35" s="316">
        <f>'2. RC'!E33</f>
        <v>121372000.00000001</v>
      </c>
      <c r="D35" s="313" t="s">
        <v>333</v>
      </c>
      <c r="E35" s="306"/>
    </row>
    <row r="36" spans="1:5" x14ac:dyDescent="0.3">
      <c r="A36" s="302">
        <v>24</v>
      </c>
      <c r="B36" s="318" t="s">
        <v>104</v>
      </c>
      <c r="C36" s="329">
        <f>'2. RC'!E34</f>
        <v>0</v>
      </c>
      <c r="D36" s="308"/>
      <c r="E36" s="306"/>
    </row>
    <row r="37" spans="1:5" x14ac:dyDescent="0.3">
      <c r="A37" s="302">
        <v>25</v>
      </c>
      <c r="B37" s="318" t="s">
        <v>334</v>
      </c>
      <c r="C37" s="329">
        <f>'2. RC'!E35</f>
        <v>0</v>
      </c>
      <c r="D37" s="308"/>
      <c r="E37" s="306"/>
    </row>
    <row r="38" spans="1:5" x14ac:dyDescent="0.3">
      <c r="A38" s="302">
        <v>26</v>
      </c>
      <c r="B38" s="318" t="s">
        <v>106</v>
      </c>
      <c r="C38" s="329">
        <f>'2. RC'!E36</f>
        <v>0</v>
      </c>
      <c r="D38" s="308"/>
      <c r="E38" s="306"/>
    </row>
    <row r="39" spans="1:5" x14ac:dyDescent="0.3">
      <c r="A39" s="302">
        <v>27</v>
      </c>
      <c r="B39" s="318" t="s">
        <v>107</v>
      </c>
      <c r="C39" s="329">
        <f>'2. RC'!E37</f>
        <v>0</v>
      </c>
      <c r="D39" s="308"/>
      <c r="E39" s="306"/>
    </row>
    <row r="40" spans="1:5" x14ac:dyDescent="0.3">
      <c r="A40" s="302">
        <v>28</v>
      </c>
      <c r="B40" s="318" t="s">
        <v>108</v>
      </c>
      <c r="C40" s="330">
        <f>'2. RC'!E38</f>
        <v>2068970.5500000038</v>
      </c>
      <c r="D40" s="313" t="s">
        <v>335</v>
      </c>
      <c r="E40" s="306"/>
    </row>
    <row r="41" spans="1:5" x14ac:dyDescent="0.3">
      <c r="A41" s="302">
        <v>29</v>
      </c>
      <c r="B41" s="318" t="s">
        <v>284</v>
      </c>
      <c r="C41" s="329">
        <f>'2. RC'!E39</f>
        <v>0</v>
      </c>
      <c r="D41" s="313" t="s">
        <v>336</v>
      </c>
      <c r="E41" s="306"/>
    </row>
    <row r="42" spans="1:5" ht="16.5" thickBot="1" x14ac:dyDescent="0.35">
      <c r="A42" s="331">
        <v>30</v>
      </c>
      <c r="B42" s="332" t="s">
        <v>110</v>
      </c>
      <c r="C42" s="333">
        <f>SUM(C35:C41)</f>
        <v>123440970.55000001</v>
      </c>
      <c r="D42" s="334"/>
      <c r="E42" s="324"/>
    </row>
  </sheetData>
  <pageMargins left="0.7" right="0.7" top="0.75" bottom="0.75" header="0.3" footer="0.3"/>
  <pageSetup paperSize="9" scale="46"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zoomScaleNormal="100" workbookViewId="0">
      <pane xSplit="2" ySplit="7" topLeftCell="K8" activePane="bottomRight" state="frozen"/>
      <selection activeCell="P24" sqref="P24:Q24"/>
      <selection pane="topRight" activeCell="P24" sqref="P24:Q24"/>
      <selection pane="bottomLeft" activeCell="P24" sqref="P24:Q24"/>
      <selection pane="bottomRight" activeCell="S18" sqref="S18"/>
    </sheetView>
  </sheetViews>
  <sheetFormatPr defaultColWidth="9.140625" defaultRowHeight="12.75" x14ac:dyDescent="0.2"/>
  <cols>
    <col min="1" max="1" width="10.5703125" style="22" bestFit="1" customWidth="1"/>
    <col min="2" max="2" width="105.140625" style="22" bestFit="1" customWidth="1"/>
    <col min="3" max="3" width="16.28515625" style="22" bestFit="1" customWidth="1"/>
    <col min="4" max="4" width="13.42578125" style="22" bestFit="1" customWidth="1"/>
    <col min="5" max="5" width="16.140625" style="22" bestFit="1" customWidth="1"/>
    <col min="6" max="6" width="13.42578125" style="22" bestFit="1" customWidth="1"/>
    <col min="7" max="7" width="9.5703125" style="22" bestFit="1" customWidth="1"/>
    <col min="8" max="8" width="13.42578125" style="22" bestFit="1" customWidth="1"/>
    <col min="9" max="9" width="15.5703125" style="22" bestFit="1" customWidth="1"/>
    <col min="10" max="10" width="13.42578125" style="22" bestFit="1" customWidth="1"/>
    <col min="11" max="11" width="17" style="22" bestFit="1" customWidth="1"/>
    <col min="12" max="12" width="14.7109375" style="22" bestFit="1" customWidth="1"/>
    <col min="13" max="13" width="17.28515625" style="22" bestFit="1" customWidth="1"/>
    <col min="14" max="14" width="16.28515625" style="22" bestFit="1" customWidth="1"/>
    <col min="15" max="15" width="15.140625" style="22" bestFit="1" customWidth="1"/>
    <col min="16" max="16" width="13.42578125" style="22" bestFit="1" customWidth="1"/>
    <col min="17" max="17" width="9.5703125" style="22" bestFit="1" customWidth="1"/>
    <col min="18" max="18" width="13.42578125" style="22" bestFit="1" customWidth="1"/>
    <col min="19" max="19" width="33.140625" style="22" bestFit="1" customWidth="1"/>
    <col min="20" max="16384" width="9.140625" style="128"/>
  </cols>
  <sheetData>
    <row r="1" spans="1:19" x14ac:dyDescent="0.2">
      <c r="A1" s="22" t="s">
        <v>29</v>
      </c>
      <c r="B1" s="22" t="str">
        <f>'1. key ratios'!B1</f>
        <v>სს ტერაბანკი</v>
      </c>
    </row>
    <row r="2" spans="1:19" x14ac:dyDescent="0.2">
      <c r="A2" s="22" t="s">
        <v>31</v>
      </c>
      <c r="B2" s="82">
        <f>'1. key ratios'!B2</f>
        <v>43281</v>
      </c>
    </row>
    <row r="4" spans="1:19" ht="26.25" thickBot="1" x14ac:dyDescent="0.25">
      <c r="A4" s="335" t="s">
        <v>337</v>
      </c>
      <c r="B4" s="336" t="s">
        <v>338</v>
      </c>
    </row>
    <row r="5" spans="1:19" x14ac:dyDescent="0.2">
      <c r="A5" s="337"/>
      <c r="B5" s="338"/>
      <c r="C5" s="339" t="s">
        <v>253</v>
      </c>
      <c r="D5" s="339" t="s">
        <v>254</v>
      </c>
      <c r="E5" s="339" t="s">
        <v>255</v>
      </c>
      <c r="F5" s="339" t="s">
        <v>339</v>
      </c>
      <c r="G5" s="339" t="s">
        <v>340</v>
      </c>
      <c r="H5" s="339" t="s">
        <v>341</v>
      </c>
      <c r="I5" s="339" t="s">
        <v>342</v>
      </c>
      <c r="J5" s="339" t="s">
        <v>343</v>
      </c>
      <c r="K5" s="339" t="s">
        <v>344</v>
      </c>
      <c r="L5" s="339" t="s">
        <v>345</v>
      </c>
      <c r="M5" s="339" t="s">
        <v>346</v>
      </c>
      <c r="N5" s="339" t="s">
        <v>347</v>
      </c>
      <c r="O5" s="339" t="s">
        <v>348</v>
      </c>
      <c r="P5" s="339" t="s">
        <v>349</v>
      </c>
      <c r="Q5" s="339" t="s">
        <v>350</v>
      </c>
      <c r="R5" s="340" t="s">
        <v>351</v>
      </c>
      <c r="S5" s="341" t="s">
        <v>352</v>
      </c>
    </row>
    <row r="6" spans="1:19" ht="46.5" customHeight="1" x14ac:dyDescent="0.2">
      <c r="A6" s="342"/>
      <c r="B6" s="499" t="s">
        <v>353</v>
      </c>
      <c r="C6" s="495">
        <v>0</v>
      </c>
      <c r="D6" s="496"/>
      <c r="E6" s="495">
        <v>0.2</v>
      </c>
      <c r="F6" s="496"/>
      <c r="G6" s="495">
        <v>0.35</v>
      </c>
      <c r="H6" s="496"/>
      <c r="I6" s="495">
        <v>0.5</v>
      </c>
      <c r="J6" s="496"/>
      <c r="K6" s="495">
        <v>0.75</v>
      </c>
      <c r="L6" s="496"/>
      <c r="M6" s="495">
        <v>1</v>
      </c>
      <c r="N6" s="496"/>
      <c r="O6" s="495">
        <v>1.5</v>
      </c>
      <c r="P6" s="496"/>
      <c r="Q6" s="495">
        <v>2.5</v>
      </c>
      <c r="R6" s="496"/>
      <c r="S6" s="497" t="s">
        <v>354</v>
      </c>
    </row>
    <row r="7" spans="1:19" x14ac:dyDescent="0.2">
      <c r="A7" s="342"/>
      <c r="B7" s="500"/>
      <c r="C7" s="343" t="s">
        <v>355</v>
      </c>
      <c r="D7" s="343" t="s">
        <v>356</v>
      </c>
      <c r="E7" s="343" t="s">
        <v>355</v>
      </c>
      <c r="F7" s="343" t="s">
        <v>356</v>
      </c>
      <c r="G7" s="343" t="s">
        <v>355</v>
      </c>
      <c r="H7" s="343" t="s">
        <v>356</v>
      </c>
      <c r="I7" s="343" t="s">
        <v>355</v>
      </c>
      <c r="J7" s="343" t="s">
        <v>356</v>
      </c>
      <c r="K7" s="343" t="s">
        <v>355</v>
      </c>
      <c r="L7" s="343" t="s">
        <v>356</v>
      </c>
      <c r="M7" s="343" t="s">
        <v>355</v>
      </c>
      <c r="N7" s="343" t="s">
        <v>356</v>
      </c>
      <c r="O7" s="343" t="s">
        <v>355</v>
      </c>
      <c r="P7" s="343" t="s">
        <v>356</v>
      </c>
      <c r="Q7" s="343" t="s">
        <v>355</v>
      </c>
      <c r="R7" s="343" t="s">
        <v>356</v>
      </c>
      <c r="S7" s="498"/>
    </row>
    <row r="8" spans="1:19" s="349" customFormat="1" x14ac:dyDescent="0.2">
      <c r="A8" s="344">
        <v>1</v>
      </c>
      <c r="B8" s="345" t="s">
        <v>357</v>
      </c>
      <c r="C8" s="346">
        <v>63318268.279999956</v>
      </c>
      <c r="D8" s="346"/>
      <c r="E8" s="346">
        <v>0</v>
      </c>
      <c r="F8" s="347"/>
      <c r="G8" s="346">
        <v>0</v>
      </c>
      <c r="H8" s="346"/>
      <c r="I8" s="346">
        <v>0</v>
      </c>
      <c r="J8" s="346"/>
      <c r="K8" s="346">
        <v>0</v>
      </c>
      <c r="L8" s="346"/>
      <c r="M8" s="346">
        <v>75366227.159999996</v>
      </c>
      <c r="N8" s="346"/>
      <c r="O8" s="346">
        <v>0</v>
      </c>
      <c r="P8" s="346"/>
      <c r="Q8" s="346">
        <v>0</v>
      </c>
      <c r="R8" s="347"/>
      <c r="S8" s="348">
        <f>$C$6*SUM(C8:D8)+$E$6*SUM(E8:F8)+$G$6*SUM(G8:H8)+$I$6*SUM(I8:J8)+$K$6*SUM(K8:L8)+$M$6*SUM(M8:N8)+$O$6*SUM(O8:P8)+$Q$6*SUM(Q8:R8)</f>
        <v>75366227.159999996</v>
      </c>
    </row>
    <row r="9" spans="1:19" s="349" customFormat="1" x14ac:dyDescent="0.2">
      <c r="A9" s="344">
        <v>2</v>
      </c>
      <c r="B9" s="345" t="s">
        <v>358</v>
      </c>
      <c r="C9" s="346">
        <v>0</v>
      </c>
      <c r="D9" s="346"/>
      <c r="E9" s="346">
        <v>0</v>
      </c>
      <c r="F9" s="346"/>
      <c r="G9" s="346">
        <v>0</v>
      </c>
      <c r="H9" s="346"/>
      <c r="I9" s="346">
        <v>0</v>
      </c>
      <c r="J9" s="346"/>
      <c r="K9" s="346">
        <v>0</v>
      </c>
      <c r="L9" s="346"/>
      <c r="M9" s="346">
        <v>0</v>
      </c>
      <c r="N9" s="346"/>
      <c r="O9" s="346">
        <v>0</v>
      </c>
      <c r="P9" s="346"/>
      <c r="Q9" s="346">
        <v>0</v>
      </c>
      <c r="R9" s="347"/>
      <c r="S9" s="348">
        <f t="shared" ref="S9:S21" si="0">$C$6*SUM(C9:D9)+$E$6*SUM(E9:F9)+$G$6*SUM(G9:H9)+$I$6*SUM(I9:J9)+$K$6*SUM(K9:L9)+$M$6*SUM(M9:N9)+$O$6*SUM(O9:P9)+$Q$6*SUM(Q9:R9)</f>
        <v>0</v>
      </c>
    </row>
    <row r="10" spans="1:19" s="349" customFormat="1" x14ac:dyDescent="0.2">
      <c r="A10" s="344">
        <v>3</v>
      </c>
      <c r="B10" s="345" t="s">
        <v>359</v>
      </c>
      <c r="C10" s="346">
        <v>0</v>
      </c>
      <c r="D10" s="346"/>
      <c r="E10" s="346">
        <v>0</v>
      </c>
      <c r="F10" s="346"/>
      <c r="G10" s="346">
        <v>0</v>
      </c>
      <c r="H10" s="346"/>
      <c r="I10" s="346">
        <v>0</v>
      </c>
      <c r="J10" s="346"/>
      <c r="K10" s="346">
        <v>0</v>
      </c>
      <c r="L10" s="346"/>
      <c r="M10" s="346">
        <v>0</v>
      </c>
      <c r="N10" s="346"/>
      <c r="O10" s="346">
        <v>0</v>
      </c>
      <c r="P10" s="346"/>
      <c r="Q10" s="346">
        <v>0</v>
      </c>
      <c r="R10" s="347"/>
      <c r="S10" s="348">
        <f t="shared" si="0"/>
        <v>0</v>
      </c>
    </row>
    <row r="11" spans="1:19" s="349" customFormat="1" x14ac:dyDescent="0.2">
      <c r="A11" s="344">
        <v>4</v>
      </c>
      <c r="B11" s="345" t="s">
        <v>360</v>
      </c>
      <c r="C11" s="346">
        <v>0</v>
      </c>
      <c r="D11" s="346"/>
      <c r="E11" s="346">
        <v>0</v>
      </c>
      <c r="F11" s="346"/>
      <c r="G11" s="346">
        <v>0</v>
      </c>
      <c r="H11" s="346"/>
      <c r="I11" s="346">
        <v>0</v>
      </c>
      <c r="J11" s="346"/>
      <c r="K11" s="346">
        <v>0</v>
      </c>
      <c r="L11" s="346"/>
      <c r="M11" s="346">
        <v>0</v>
      </c>
      <c r="N11" s="346"/>
      <c r="O11" s="346">
        <v>0</v>
      </c>
      <c r="P11" s="346"/>
      <c r="Q11" s="346">
        <v>0</v>
      </c>
      <c r="R11" s="347"/>
      <c r="S11" s="348">
        <f t="shared" si="0"/>
        <v>0</v>
      </c>
    </row>
    <row r="12" spans="1:19" s="349" customFormat="1" x14ac:dyDescent="0.2">
      <c r="A12" s="344">
        <v>5</v>
      </c>
      <c r="B12" s="345" t="s">
        <v>361</v>
      </c>
      <c r="C12" s="346">
        <v>0</v>
      </c>
      <c r="D12" s="346"/>
      <c r="E12" s="346">
        <v>0</v>
      </c>
      <c r="F12" s="346"/>
      <c r="G12" s="346">
        <v>0</v>
      </c>
      <c r="H12" s="346"/>
      <c r="I12" s="346">
        <v>0</v>
      </c>
      <c r="J12" s="346"/>
      <c r="K12" s="346">
        <v>0</v>
      </c>
      <c r="L12" s="346"/>
      <c r="M12" s="346">
        <v>0</v>
      </c>
      <c r="N12" s="346"/>
      <c r="O12" s="346">
        <v>0</v>
      </c>
      <c r="P12" s="346"/>
      <c r="Q12" s="346">
        <v>0</v>
      </c>
      <c r="R12" s="347"/>
      <c r="S12" s="348">
        <f t="shared" si="0"/>
        <v>0</v>
      </c>
    </row>
    <row r="13" spans="1:19" s="349" customFormat="1" x14ac:dyDescent="0.2">
      <c r="A13" s="344">
        <v>6</v>
      </c>
      <c r="B13" s="345" t="s">
        <v>362</v>
      </c>
      <c r="C13" s="346">
        <v>0</v>
      </c>
      <c r="D13" s="346"/>
      <c r="E13" s="346">
        <v>11498300.120000001</v>
      </c>
      <c r="F13" s="346"/>
      <c r="G13" s="346">
        <v>0</v>
      </c>
      <c r="H13" s="346"/>
      <c r="I13" s="346">
        <v>30904365.870000001</v>
      </c>
      <c r="J13" s="346"/>
      <c r="K13" s="346">
        <v>0</v>
      </c>
      <c r="L13" s="346"/>
      <c r="M13" s="346">
        <v>368703.29000000004</v>
      </c>
      <c r="N13" s="346"/>
      <c r="O13" s="346">
        <v>0</v>
      </c>
      <c r="P13" s="346"/>
      <c r="Q13" s="346">
        <v>0</v>
      </c>
      <c r="R13" s="347"/>
      <c r="S13" s="348">
        <f t="shared" si="0"/>
        <v>18120546.248999998</v>
      </c>
    </row>
    <row r="14" spans="1:19" s="349" customFormat="1" x14ac:dyDescent="0.2">
      <c r="A14" s="344">
        <v>7</v>
      </c>
      <c r="B14" s="345" t="s">
        <v>363</v>
      </c>
      <c r="C14" s="346">
        <v>0</v>
      </c>
      <c r="D14" s="346"/>
      <c r="E14" s="346">
        <v>0</v>
      </c>
      <c r="F14" s="346"/>
      <c r="G14" s="346">
        <v>0</v>
      </c>
      <c r="H14" s="346"/>
      <c r="I14" s="346">
        <v>0</v>
      </c>
      <c r="J14" s="346"/>
      <c r="K14" s="346">
        <v>0</v>
      </c>
      <c r="L14" s="346"/>
      <c r="M14" s="346">
        <v>133071680.88000003</v>
      </c>
      <c r="N14" s="346">
        <v>28572922.970000003</v>
      </c>
      <c r="O14" s="346">
        <v>0</v>
      </c>
      <c r="P14" s="346"/>
      <c r="Q14" s="346">
        <v>0</v>
      </c>
      <c r="R14" s="347"/>
      <c r="S14" s="348">
        <f t="shared" si="0"/>
        <v>161644603.85000002</v>
      </c>
    </row>
    <row r="15" spans="1:19" s="349" customFormat="1" x14ac:dyDescent="0.2">
      <c r="A15" s="344">
        <v>8</v>
      </c>
      <c r="B15" s="345" t="s">
        <v>364</v>
      </c>
      <c r="C15" s="346">
        <v>0</v>
      </c>
      <c r="D15" s="346"/>
      <c r="E15" s="346">
        <v>0</v>
      </c>
      <c r="F15" s="346"/>
      <c r="G15" s="346">
        <v>0</v>
      </c>
      <c r="H15" s="346"/>
      <c r="I15" s="346">
        <v>0</v>
      </c>
      <c r="J15" s="346"/>
      <c r="K15" s="346">
        <v>171059236.86000043</v>
      </c>
      <c r="L15" s="346">
        <v>5069732.5619999971</v>
      </c>
      <c r="M15" s="346">
        <v>0</v>
      </c>
      <c r="N15" s="346"/>
      <c r="O15" s="346">
        <v>0</v>
      </c>
      <c r="P15" s="346"/>
      <c r="Q15" s="346">
        <v>0</v>
      </c>
      <c r="R15" s="347"/>
      <c r="S15" s="348">
        <f t="shared" si="0"/>
        <v>132096727.06650034</v>
      </c>
    </row>
    <row r="16" spans="1:19" s="349" customFormat="1" x14ac:dyDescent="0.2">
      <c r="A16" s="344">
        <v>9</v>
      </c>
      <c r="B16" s="345" t="s">
        <v>365</v>
      </c>
      <c r="C16" s="346">
        <v>0</v>
      </c>
      <c r="D16" s="346"/>
      <c r="E16" s="346">
        <v>0</v>
      </c>
      <c r="F16" s="346"/>
      <c r="G16" s="346">
        <v>0</v>
      </c>
      <c r="H16" s="346"/>
      <c r="I16" s="346">
        <v>0</v>
      </c>
      <c r="J16" s="346"/>
      <c r="K16" s="346">
        <v>0</v>
      </c>
      <c r="L16" s="346"/>
      <c r="M16" s="346">
        <v>0</v>
      </c>
      <c r="N16" s="346"/>
      <c r="O16" s="346">
        <v>0</v>
      </c>
      <c r="P16" s="346"/>
      <c r="Q16" s="346">
        <v>0</v>
      </c>
      <c r="R16" s="347"/>
      <c r="S16" s="348">
        <f t="shared" si="0"/>
        <v>0</v>
      </c>
    </row>
    <row r="17" spans="1:19" s="349" customFormat="1" x14ac:dyDescent="0.2">
      <c r="A17" s="344">
        <v>10</v>
      </c>
      <c r="B17" s="345" t="s">
        <v>366</v>
      </c>
      <c r="C17" s="346">
        <v>0</v>
      </c>
      <c r="D17" s="346"/>
      <c r="E17" s="346">
        <v>0</v>
      </c>
      <c r="F17" s="346"/>
      <c r="G17" s="346">
        <v>0</v>
      </c>
      <c r="H17" s="346"/>
      <c r="I17" s="346">
        <v>0</v>
      </c>
      <c r="J17" s="346"/>
      <c r="K17" s="346">
        <v>0</v>
      </c>
      <c r="L17" s="346"/>
      <c r="M17" s="346">
        <v>16419796.340000009</v>
      </c>
      <c r="N17" s="346"/>
      <c r="O17" s="346">
        <v>736085.95999999985</v>
      </c>
      <c r="P17" s="346"/>
      <c r="Q17" s="346">
        <v>0</v>
      </c>
      <c r="R17" s="347"/>
      <c r="S17" s="348">
        <f t="shared" si="0"/>
        <v>17523925.280000009</v>
      </c>
    </row>
    <row r="18" spans="1:19" s="349" customFormat="1" x14ac:dyDescent="0.2">
      <c r="A18" s="344">
        <v>11</v>
      </c>
      <c r="B18" s="345" t="s">
        <v>367</v>
      </c>
      <c r="C18" s="346">
        <v>0</v>
      </c>
      <c r="D18" s="346"/>
      <c r="E18" s="346">
        <v>0</v>
      </c>
      <c r="F18" s="346"/>
      <c r="G18" s="346">
        <v>0</v>
      </c>
      <c r="H18" s="346"/>
      <c r="I18" s="346">
        <v>0</v>
      </c>
      <c r="J18" s="346"/>
      <c r="K18" s="346">
        <v>0</v>
      </c>
      <c r="L18" s="346"/>
      <c r="M18" s="346">
        <v>78603300.969999999</v>
      </c>
      <c r="N18" s="346"/>
      <c r="O18" s="346">
        <v>37401166.60999994</v>
      </c>
      <c r="P18" s="346"/>
      <c r="Q18" s="346">
        <v>0</v>
      </c>
      <c r="R18" s="347"/>
      <c r="S18" s="348">
        <f t="shared" si="0"/>
        <v>134705050.8849999</v>
      </c>
    </row>
    <row r="19" spans="1:19" s="349" customFormat="1" x14ac:dyDescent="0.2">
      <c r="A19" s="344">
        <v>12</v>
      </c>
      <c r="B19" s="345" t="s">
        <v>368</v>
      </c>
      <c r="C19" s="346">
        <v>0</v>
      </c>
      <c r="D19" s="346"/>
      <c r="E19" s="346">
        <v>0</v>
      </c>
      <c r="F19" s="346"/>
      <c r="G19" s="346">
        <v>0</v>
      </c>
      <c r="H19" s="346"/>
      <c r="I19" s="346">
        <v>0</v>
      </c>
      <c r="J19" s="346"/>
      <c r="K19" s="346">
        <v>0</v>
      </c>
      <c r="L19" s="346"/>
      <c r="M19" s="346">
        <v>0</v>
      </c>
      <c r="N19" s="346"/>
      <c r="O19" s="346">
        <v>0</v>
      </c>
      <c r="P19" s="346"/>
      <c r="Q19" s="346">
        <v>0</v>
      </c>
      <c r="R19" s="347"/>
      <c r="S19" s="348">
        <f t="shared" si="0"/>
        <v>0</v>
      </c>
    </row>
    <row r="20" spans="1:19" s="349" customFormat="1" x14ac:dyDescent="0.2">
      <c r="A20" s="344">
        <v>13</v>
      </c>
      <c r="B20" s="345" t="s">
        <v>369</v>
      </c>
      <c r="C20" s="346">
        <v>0</v>
      </c>
      <c r="D20" s="346"/>
      <c r="E20" s="346">
        <v>0</v>
      </c>
      <c r="F20" s="346"/>
      <c r="G20" s="346">
        <v>0</v>
      </c>
      <c r="H20" s="346"/>
      <c r="I20" s="346">
        <v>0</v>
      </c>
      <c r="J20" s="346"/>
      <c r="K20" s="346">
        <v>0</v>
      </c>
      <c r="L20" s="346"/>
      <c r="M20" s="346">
        <v>0</v>
      </c>
      <c r="N20" s="346"/>
      <c r="O20" s="346">
        <v>0</v>
      </c>
      <c r="P20" s="346"/>
      <c r="Q20" s="346">
        <v>0</v>
      </c>
      <c r="R20" s="347"/>
      <c r="S20" s="348">
        <f t="shared" si="0"/>
        <v>0</v>
      </c>
    </row>
    <row r="21" spans="1:19" s="349" customFormat="1" x14ac:dyDescent="0.2">
      <c r="A21" s="344">
        <v>14</v>
      </c>
      <c r="B21" s="345" t="s">
        <v>370</v>
      </c>
      <c r="C21" s="346">
        <v>35040578.909999989</v>
      </c>
      <c r="D21" s="346"/>
      <c r="E21" s="346">
        <v>11920.490000000002</v>
      </c>
      <c r="F21" s="346"/>
      <c r="G21" s="346">
        <v>0</v>
      </c>
      <c r="H21" s="346"/>
      <c r="I21" s="346">
        <v>0</v>
      </c>
      <c r="J21" s="346">
        <v>0</v>
      </c>
      <c r="K21" s="346">
        <v>0</v>
      </c>
      <c r="L21" s="346"/>
      <c r="M21" s="346">
        <v>192396847.26999915</v>
      </c>
      <c r="N21" s="346">
        <v>6804484.1320000002</v>
      </c>
      <c r="O21" s="346">
        <v>0</v>
      </c>
      <c r="P21" s="346"/>
      <c r="Q21" s="346">
        <v>0</v>
      </c>
      <c r="R21" s="347"/>
      <c r="S21" s="348">
        <f t="shared" si="0"/>
        <v>199203715.49999914</v>
      </c>
    </row>
    <row r="22" spans="1:19" ht="13.5" thickBot="1" x14ac:dyDescent="0.25">
      <c r="A22" s="350"/>
      <c r="B22" s="351" t="s">
        <v>76</v>
      </c>
      <c r="C22" s="352">
        <f>SUM(C8:C21)</f>
        <v>98358847.189999938</v>
      </c>
      <c r="D22" s="352">
        <f t="shared" ref="D22:S22" si="1">SUM(D8:D21)</f>
        <v>0</v>
      </c>
      <c r="E22" s="352">
        <f t="shared" si="1"/>
        <v>11510220.610000001</v>
      </c>
      <c r="F22" s="352">
        <f t="shared" si="1"/>
        <v>0</v>
      </c>
      <c r="G22" s="352">
        <f t="shared" si="1"/>
        <v>0</v>
      </c>
      <c r="H22" s="352">
        <f t="shared" si="1"/>
        <v>0</v>
      </c>
      <c r="I22" s="352">
        <f>SUM(I8:I21)</f>
        <v>30904365.870000001</v>
      </c>
      <c r="J22" s="352">
        <f t="shared" si="1"/>
        <v>0</v>
      </c>
      <c r="K22" s="352">
        <f t="shared" si="1"/>
        <v>171059236.86000043</v>
      </c>
      <c r="L22" s="352">
        <f t="shared" si="1"/>
        <v>5069732.5619999971</v>
      </c>
      <c r="M22" s="352">
        <f t="shared" si="1"/>
        <v>496226555.90999919</v>
      </c>
      <c r="N22" s="352">
        <f>SUM(N8:N21)</f>
        <v>35377407.102000006</v>
      </c>
      <c r="O22" s="352">
        <f t="shared" si="1"/>
        <v>38137252.569999941</v>
      </c>
      <c r="P22" s="352">
        <f t="shared" si="1"/>
        <v>0</v>
      </c>
      <c r="Q22" s="352">
        <f t="shared" si="1"/>
        <v>0</v>
      </c>
      <c r="R22" s="352">
        <f t="shared" si="1"/>
        <v>0</v>
      </c>
      <c r="S22" s="353">
        <f t="shared" si="1"/>
        <v>738660795.9904995</v>
      </c>
    </row>
    <row r="24" spans="1:19" x14ac:dyDescent="0.2">
      <c r="S24" s="184">
        <v>738660795.9904995</v>
      </c>
    </row>
    <row r="25" spans="1:19" x14ac:dyDescent="0.2">
      <c r="N25" s="292"/>
      <c r="S25" s="184">
        <f>S22-S24</f>
        <v>0</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Normal="100" workbookViewId="0">
      <pane xSplit="2" ySplit="6" topLeftCell="O7" activePane="bottomRight" state="frozen"/>
      <selection activeCell="P24" sqref="P24:Q24"/>
      <selection pane="topRight" activeCell="P24" sqref="P24:Q24"/>
      <selection pane="bottomLeft" activeCell="P24" sqref="P24:Q24"/>
      <selection pane="bottomRight" activeCell="Q11" sqref="Q11"/>
    </sheetView>
  </sheetViews>
  <sheetFormatPr defaultColWidth="9.140625" defaultRowHeight="12.75" x14ac:dyDescent="0.2"/>
  <cols>
    <col min="1" max="1" width="10.5703125" style="22" bestFit="1" customWidth="1"/>
    <col min="2" max="2" width="74.5703125" style="22" customWidth="1"/>
    <col min="3" max="3" width="19" style="22" customWidth="1"/>
    <col min="4" max="4" width="19.5703125" style="22" customWidth="1"/>
    <col min="5" max="5" width="31.140625" style="22" customWidth="1"/>
    <col min="6" max="6" width="29.140625" style="22" customWidth="1"/>
    <col min="7" max="7" width="28.5703125" style="22" customWidth="1"/>
    <col min="8" max="8" width="26.42578125" style="22" customWidth="1"/>
    <col min="9" max="9" width="23.7109375" style="22" customWidth="1"/>
    <col min="10" max="10" width="21.5703125" style="22" customWidth="1"/>
    <col min="11" max="11" width="15.7109375" style="22" customWidth="1"/>
    <col min="12" max="12" width="13.28515625" style="22" customWidth="1"/>
    <col min="13" max="13" width="20.85546875" style="22" customWidth="1"/>
    <col min="14" max="14" width="19.28515625" style="22" customWidth="1"/>
    <col min="15" max="15" width="18.42578125" style="22" customWidth="1"/>
    <col min="16" max="16" width="19" style="22" customWidth="1"/>
    <col min="17" max="17" width="20.28515625" style="22" customWidth="1"/>
    <col min="18" max="18" width="18" style="22" customWidth="1"/>
    <col min="19" max="19" width="36" style="22" customWidth="1"/>
    <col min="20" max="20" width="19.42578125" style="22" customWidth="1"/>
    <col min="21" max="21" width="19.140625" style="22" customWidth="1"/>
    <col min="22" max="22" width="20" style="22" customWidth="1"/>
    <col min="23" max="16384" width="9.140625" style="128"/>
  </cols>
  <sheetData>
    <row r="1" spans="1:22" x14ac:dyDescent="0.2">
      <c r="A1" s="22" t="s">
        <v>29</v>
      </c>
      <c r="B1" s="22" t="str">
        <f>'1. key ratios'!B1</f>
        <v>სს ტერაბანკი</v>
      </c>
    </row>
    <row r="2" spans="1:22" x14ac:dyDescent="0.2">
      <c r="A2" s="22" t="s">
        <v>31</v>
      </c>
      <c r="B2" s="82">
        <f>'1. key ratios'!B2</f>
        <v>43281</v>
      </c>
    </row>
    <row r="4" spans="1:22" ht="27.75" thickBot="1" x14ac:dyDescent="0.35">
      <c r="A4" s="22" t="s">
        <v>371</v>
      </c>
      <c r="B4" s="354" t="s">
        <v>372</v>
      </c>
      <c r="V4" s="297" t="s">
        <v>70</v>
      </c>
    </row>
    <row r="5" spans="1:22" x14ac:dyDescent="0.2">
      <c r="A5" s="355"/>
      <c r="B5" s="356"/>
      <c r="C5" s="501" t="s">
        <v>373</v>
      </c>
      <c r="D5" s="502"/>
      <c r="E5" s="502"/>
      <c r="F5" s="502"/>
      <c r="G5" s="502"/>
      <c r="H5" s="502"/>
      <c r="I5" s="502"/>
      <c r="J5" s="502"/>
      <c r="K5" s="502"/>
      <c r="L5" s="503"/>
      <c r="M5" s="501" t="s">
        <v>374</v>
      </c>
      <c r="N5" s="502"/>
      <c r="O5" s="502"/>
      <c r="P5" s="502"/>
      <c r="Q5" s="502"/>
      <c r="R5" s="502"/>
      <c r="S5" s="503"/>
      <c r="T5" s="504" t="s">
        <v>375</v>
      </c>
      <c r="U5" s="504" t="s">
        <v>376</v>
      </c>
      <c r="V5" s="506" t="s">
        <v>377</v>
      </c>
    </row>
    <row r="6" spans="1:22" s="335" customFormat="1" ht="140.25" x14ac:dyDescent="0.25">
      <c r="A6" s="240"/>
      <c r="B6" s="357"/>
      <c r="C6" s="358" t="s">
        <v>378</v>
      </c>
      <c r="D6" s="359" t="s">
        <v>379</v>
      </c>
      <c r="E6" s="360" t="s">
        <v>380</v>
      </c>
      <c r="F6" s="361" t="s">
        <v>381</v>
      </c>
      <c r="G6" s="359" t="s">
        <v>382</v>
      </c>
      <c r="H6" s="359" t="s">
        <v>383</v>
      </c>
      <c r="I6" s="359" t="s">
        <v>384</v>
      </c>
      <c r="J6" s="359" t="s">
        <v>385</v>
      </c>
      <c r="K6" s="359" t="s">
        <v>386</v>
      </c>
      <c r="L6" s="362" t="s">
        <v>387</v>
      </c>
      <c r="M6" s="358" t="s">
        <v>388</v>
      </c>
      <c r="N6" s="359" t="s">
        <v>389</v>
      </c>
      <c r="O6" s="359" t="s">
        <v>390</v>
      </c>
      <c r="P6" s="359" t="s">
        <v>391</v>
      </c>
      <c r="Q6" s="359" t="s">
        <v>392</v>
      </c>
      <c r="R6" s="359" t="s">
        <v>393</v>
      </c>
      <c r="S6" s="362" t="s">
        <v>394</v>
      </c>
      <c r="T6" s="505"/>
      <c r="U6" s="505"/>
      <c r="V6" s="507"/>
    </row>
    <row r="7" spans="1:22" s="349" customFormat="1" x14ac:dyDescent="0.2">
      <c r="A7" s="363">
        <v>1</v>
      </c>
      <c r="B7" s="364" t="s">
        <v>357</v>
      </c>
      <c r="C7" s="365">
        <v>0</v>
      </c>
      <c r="D7" s="346">
        <f t="shared" ref="D7:D19" si="0">U7+T7</f>
        <v>0</v>
      </c>
      <c r="E7" s="346">
        <v>0</v>
      </c>
      <c r="F7" s="346">
        <v>0</v>
      </c>
      <c r="G7" s="346">
        <v>0</v>
      </c>
      <c r="H7" s="346">
        <v>0</v>
      </c>
      <c r="I7" s="346">
        <v>0</v>
      </c>
      <c r="J7" s="346">
        <v>0</v>
      </c>
      <c r="K7" s="346">
        <v>0</v>
      </c>
      <c r="L7" s="346">
        <v>0</v>
      </c>
      <c r="M7" s="366"/>
      <c r="N7" s="367"/>
      <c r="O7" s="367"/>
      <c r="P7" s="367"/>
      <c r="Q7" s="367"/>
      <c r="R7" s="367"/>
      <c r="S7" s="368"/>
      <c r="T7" s="369">
        <v>0</v>
      </c>
      <c r="U7" s="370"/>
      <c r="V7" s="371">
        <f>SUM(C7:S7)</f>
        <v>0</v>
      </c>
    </row>
    <row r="8" spans="1:22" s="349" customFormat="1" x14ac:dyDescent="0.2">
      <c r="A8" s="363">
        <v>2</v>
      </c>
      <c r="B8" s="364" t="s">
        <v>358</v>
      </c>
      <c r="C8" s="365">
        <v>0</v>
      </c>
      <c r="D8" s="346">
        <f t="shared" si="0"/>
        <v>0</v>
      </c>
      <c r="E8" s="346">
        <v>0</v>
      </c>
      <c r="F8" s="346">
        <v>0</v>
      </c>
      <c r="G8" s="346">
        <v>0</v>
      </c>
      <c r="H8" s="346">
        <v>0</v>
      </c>
      <c r="I8" s="346">
        <v>0</v>
      </c>
      <c r="J8" s="346">
        <v>0</v>
      </c>
      <c r="K8" s="346">
        <v>0</v>
      </c>
      <c r="L8" s="346">
        <v>0</v>
      </c>
      <c r="M8" s="366"/>
      <c r="N8" s="367"/>
      <c r="O8" s="367"/>
      <c r="P8" s="367"/>
      <c r="Q8" s="367"/>
      <c r="R8" s="367"/>
      <c r="S8" s="368"/>
      <c r="T8" s="369">
        <v>0</v>
      </c>
      <c r="U8" s="370"/>
      <c r="V8" s="371">
        <f t="shared" ref="V8:V20" si="1">SUM(C8:S8)</f>
        <v>0</v>
      </c>
    </row>
    <row r="9" spans="1:22" s="349" customFormat="1" x14ac:dyDescent="0.2">
      <c r="A9" s="363">
        <v>3</v>
      </c>
      <c r="B9" s="364" t="s">
        <v>359</v>
      </c>
      <c r="C9" s="365">
        <v>0</v>
      </c>
      <c r="D9" s="346">
        <f t="shared" si="0"/>
        <v>0</v>
      </c>
      <c r="E9" s="346">
        <v>0</v>
      </c>
      <c r="F9" s="346">
        <v>0</v>
      </c>
      <c r="G9" s="346">
        <v>0</v>
      </c>
      <c r="H9" s="346">
        <v>0</v>
      </c>
      <c r="I9" s="346">
        <v>0</v>
      </c>
      <c r="J9" s="346">
        <v>0</v>
      </c>
      <c r="K9" s="346">
        <v>0</v>
      </c>
      <c r="L9" s="346">
        <v>0</v>
      </c>
      <c r="M9" s="366"/>
      <c r="N9" s="367"/>
      <c r="O9" s="367"/>
      <c r="P9" s="367"/>
      <c r="Q9" s="367"/>
      <c r="R9" s="367"/>
      <c r="S9" s="368"/>
      <c r="T9" s="369">
        <v>0</v>
      </c>
      <c r="U9" s="370"/>
      <c r="V9" s="371">
        <f>SUM(C9:S9)</f>
        <v>0</v>
      </c>
    </row>
    <row r="10" spans="1:22" s="349" customFormat="1" x14ac:dyDescent="0.2">
      <c r="A10" s="363">
        <v>4</v>
      </c>
      <c r="B10" s="364" t="s">
        <v>360</v>
      </c>
      <c r="C10" s="365">
        <v>0</v>
      </c>
      <c r="D10" s="346">
        <f t="shared" si="0"/>
        <v>0</v>
      </c>
      <c r="E10" s="346">
        <v>0</v>
      </c>
      <c r="F10" s="346">
        <v>0</v>
      </c>
      <c r="G10" s="346">
        <v>0</v>
      </c>
      <c r="H10" s="346">
        <v>0</v>
      </c>
      <c r="I10" s="346">
        <v>0</v>
      </c>
      <c r="J10" s="346">
        <v>0</v>
      </c>
      <c r="K10" s="346">
        <v>0</v>
      </c>
      <c r="L10" s="346">
        <v>0</v>
      </c>
      <c r="M10" s="366"/>
      <c r="N10" s="367"/>
      <c r="O10" s="367"/>
      <c r="P10" s="367"/>
      <c r="Q10" s="367"/>
      <c r="R10" s="367"/>
      <c r="S10" s="368"/>
      <c r="T10" s="369">
        <v>0</v>
      </c>
      <c r="U10" s="370"/>
      <c r="V10" s="371">
        <f t="shared" si="1"/>
        <v>0</v>
      </c>
    </row>
    <row r="11" spans="1:22" s="349" customFormat="1" x14ac:dyDescent="0.2">
      <c r="A11" s="363">
        <v>5</v>
      </c>
      <c r="B11" s="364" t="s">
        <v>361</v>
      </c>
      <c r="C11" s="365">
        <v>0</v>
      </c>
      <c r="D11" s="346">
        <f t="shared" si="0"/>
        <v>0</v>
      </c>
      <c r="E11" s="346">
        <v>0</v>
      </c>
      <c r="F11" s="346">
        <v>0</v>
      </c>
      <c r="G11" s="346">
        <v>0</v>
      </c>
      <c r="H11" s="346">
        <v>0</v>
      </c>
      <c r="I11" s="346">
        <v>0</v>
      </c>
      <c r="J11" s="346">
        <v>0</v>
      </c>
      <c r="K11" s="346">
        <v>0</v>
      </c>
      <c r="L11" s="346">
        <v>0</v>
      </c>
      <c r="M11" s="366"/>
      <c r="N11" s="367"/>
      <c r="O11" s="367"/>
      <c r="P11" s="367"/>
      <c r="Q11" s="367"/>
      <c r="R11" s="367"/>
      <c r="S11" s="368"/>
      <c r="T11" s="369">
        <v>0</v>
      </c>
      <c r="U11" s="370"/>
      <c r="V11" s="371">
        <f t="shared" si="1"/>
        <v>0</v>
      </c>
    </row>
    <row r="12" spans="1:22" s="349" customFormat="1" x14ac:dyDescent="0.2">
      <c r="A12" s="363">
        <v>6</v>
      </c>
      <c r="B12" s="364" t="s">
        <v>362</v>
      </c>
      <c r="C12" s="365">
        <v>0</v>
      </c>
      <c r="D12" s="346">
        <f t="shared" si="0"/>
        <v>0</v>
      </c>
      <c r="E12" s="346">
        <v>0</v>
      </c>
      <c r="F12" s="346">
        <v>0</v>
      </c>
      <c r="G12" s="346">
        <v>0</v>
      </c>
      <c r="H12" s="346">
        <v>0</v>
      </c>
      <c r="I12" s="346">
        <v>0</v>
      </c>
      <c r="J12" s="346">
        <v>0</v>
      </c>
      <c r="K12" s="346">
        <v>0</v>
      </c>
      <c r="L12" s="346">
        <v>0</v>
      </c>
      <c r="M12" s="366"/>
      <c r="N12" s="367"/>
      <c r="O12" s="367"/>
      <c r="P12" s="367"/>
      <c r="Q12" s="367"/>
      <c r="R12" s="367"/>
      <c r="S12" s="368"/>
      <c r="T12" s="369">
        <v>0</v>
      </c>
      <c r="U12" s="370"/>
      <c r="V12" s="371">
        <f t="shared" si="1"/>
        <v>0</v>
      </c>
    </row>
    <row r="13" spans="1:22" s="349" customFormat="1" x14ac:dyDescent="0.2">
      <c r="A13" s="363">
        <v>7</v>
      </c>
      <c r="B13" s="364" t="s">
        <v>363</v>
      </c>
      <c r="C13" s="365">
        <v>0</v>
      </c>
      <c r="D13" s="346">
        <f t="shared" si="0"/>
        <v>27123986.743029997</v>
      </c>
      <c r="E13" s="346">
        <v>0</v>
      </c>
      <c r="F13" s="346">
        <v>0</v>
      </c>
      <c r="G13" s="346">
        <v>0</v>
      </c>
      <c r="H13" s="346">
        <v>0</v>
      </c>
      <c r="I13" s="346">
        <v>0</v>
      </c>
      <c r="J13" s="346">
        <v>0</v>
      </c>
      <c r="K13" s="346">
        <v>0</v>
      </c>
      <c r="L13" s="346">
        <v>0</v>
      </c>
      <c r="M13" s="366"/>
      <c r="N13" s="367"/>
      <c r="O13" s="367"/>
      <c r="P13" s="367"/>
      <c r="Q13" s="367"/>
      <c r="R13" s="367"/>
      <c r="S13" s="368"/>
      <c r="T13" s="369">
        <v>15181337.718639998</v>
      </c>
      <c r="U13" s="370">
        <v>11942649.024389999</v>
      </c>
      <c r="V13" s="371">
        <f t="shared" si="1"/>
        <v>27123986.743029997</v>
      </c>
    </row>
    <row r="14" spans="1:22" s="349" customFormat="1" x14ac:dyDescent="0.2">
      <c r="A14" s="363">
        <v>8</v>
      </c>
      <c r="B14" s="364" t="s">
        <v>364</v>
      </c>
      <c r="C14" s="365">
        <v>0</v>
      </c>
      <c r="D14" s="346">
        <f t="shared" si="0"/>
        <v>1832055.8352824999</v>
      </c>
      <c r="E14" s="346">
        <v>0</v>
      </c>
      <c r="F14" s="346">
        <v>0</v>
      </c>
      <c r="G14" s="346">
        <v>0</v>
      </c>
      <c r="H14" s="346">
        <v>0</v>
      </c>
      <c r="I14" s="346">
        <v>0</v>
      </c>
      <c r="J14" s="346">
        <v>0</v>
      </c>
      <c r="K14" s="346">
        <v>0</v>
      </c>
      <c r="L14" s="346">
        <v>0</v>
      </c>
      <c r="M14" s="366"/>
      <c r="N14" s="367"/>
      <c r="O14" s="367"/>
      <c r="P14" s="367"/>
      <c r="Q14" s="367"/>
      <c r="R14" s="367"/>
      <c r="S14" s="368"/>
      <c r="T14" s="369">
        <v>1155924.5071950001</v>
      </c>
      <c r="U14" s="370">
        <v>676131.32808749995</v>
      </c>
      <c r="V14" s="371">
        <f t="shared" si="1"/>
        <v>1832055.8352824999</v>
      </c>
    </row>
    <row r="15" spans="1:22" s="349" customFormat="1" x14ac:dyDescent="0.2">
      <c r="A15" s="363">
        <v>9</v>
      </c>
      <c r="B15" s="364" t="s">
        <v>365</v>
      </c>
      <c r="C15" s="365">
        <v>0</v>
      </c>
      <c r="D15" s="346">
        <f t="shared" si="0"/>
        <v>0</v>
      </c>
      <c r="E15" s="346">
        <v>0</v>
      </c>
      <c r="F15" s="346">
        <v>0</v>
      </c>
      <c r="G15" s="346">
        <v>0</v>
      </c>
      <c r="H15" s="346">
        <v>0</v>
      </c>
      <c r="I15" s="346">
        <v>0</v>
      </c>
      <c r="J15" s="346">
        <v>0</v>
      </c>
      <c r="K15" s="346">
        <v>0</v>
      </c>
      <c r="L15" s="346">
        <v>0</v>
      </c>
      <c r="M15" s="366"/>
      <c r="N15" s="367"/>
      <c r="O15" s="367"/>
      <c r="P15" s="367"/>
      <c r="Q15" s="367"/>
      <c r="R15" s="367"/>
      <c r="S15" s="368"/>
      <c r="T15" s="369">
        <v>0</v>
      </c>
      <c r="U15" s="370"/>
      <c r="V15" s="371">
        <f t="shared" si="1"/>
        <v>0</v>
      </c>
    </row>
    <row r="16" spans="1:22" s="349" customFormat="1" x14ac:dyDescent="0.2">
      <c r="A16" s="363">
        <v>10</v>
      </c>
      <c r="B16" s="364" t="s">
        <v>366</v>
      </c>
      <c r="C16" s="365">
        <v>0</v>
      </c>
      <c r="D16" s="346">
        <f t="shared" si="0"/>
        <v>0</v>
      </c>
      <c r="E16" s="346">
        <v>0</v>
      </c>
      <c r="F16" s="346">
        <v>0</v>
      </c>
      <c r="G16" s="346">
        <v>0</v>
      </c>
      <c r="H16" s="346">
        <v>0</v>
      </c>
      <c r="I16" s="346">
        <v>0</v>
      </c>
      <c r="J16" s="346">
        <v>0</v>
      </c>
      <c r="K16" s="346">
        <v>0</v>
      </c>
      <c r="L16" s="346">
        <v>0</v>
      </c>
      <c r="M16" s="366"/>
      <c r="N16" s="367"/>
      <c r="O16" s="367"/>
      <c r="P16" s="367"/>
      <c r="Q16" s="367"/>
      <c r="R16" s="367"/>
      <c r="S16" s="368"/>
      <c r="T16" s="369">
        <v>0</v>
      </c>
      <c r="U16" s="370"/>
      <c r="V16" s="371">
        <f t="shared" si="1"/>
        <v>0</v>
      </c>
    </row>
    <row r="17" spans="1:22" s="349" customFormat="1" x14ac:dyDescent="0.2">
      <c r="A17" s="363">
        <v>11</v>
      </c>
      <c r="B17" s="364" t="s">
        <v>367</v>
      </c>
      <c r="C17" s="365">
        <v>0</v>
      </c>
      <c r="D17" s="346">
        <f t="shared" si="0"/>
        <v>0</v>
      </c>
      <c r="E17" s="346">
        <v>0</v>
      </c>
      <c r="F17" s="346">
        <v>0</v>
      </c>
      <c r="G17" s="346">
        <v>0</v>
      </c>
      <c r="H17" s="346">
        <v>0</v>
      </c>
      <c r="I17" s="346">
        <v>0</v>
      </c>
      <c r="J17" s="346">
        <v>0</v>
      </c>
      <c r="K17" s="346">
        <v>0</v>
      </c>
      <c r="L17" s="346">
        <v>0</v>
      </c>
      <c r="M17" s="366"/>
      <c r="N17" s="367"/>
      <c r="O17" s="367"/>
      <c r="P17" s="367"/>
      <c r="Q17" s="367"/>
      <c r="R17" s="367"/>
      <c r="S17" s="368"/>
      <c r="T17" s="369">
        <v>0</v>
      </c>
      <c r="U17" s="370"/>
      <c r="V17" s="371">
        <f t="shared" si="1"/>
        <v>0</v>
      </c>
    </row>
    <row r="18" spans="1:22" s="349" customFormat="1" x14ac:dyDescent="0.2">
      <c r="A18" s="363">
        <v>12</v>
      </c>
      <c r="B18" s="364" t="s">
        <v>368</v>
      </c>
      <c r="C18" s="365">
        <v>0</v>
      </c>
      <c r="D18" s="346">
        <f t="shared" si="0"/>
        <v>0</v>
      </c>
      <c r="E18" s="346">
        <v>0</v>
      </c>
      <c r="F18" s="346">
        <v>0</v>
      </c>
      <c r="G18" s="346">
        <v>0</v>
      </c>
      <c r="H18" s="346">
        <v>0</v>
      </c>
      <c r="I18" s="346">
        <v>0</v>
      </c>
      <c r="J18" s="346">
        <v>0</v>
      </c>
      <c r="K18" s="346">
        <v>0</v>
      </c>
      <c r="L18" s="346">
        <v>0</v>
      </c>
      <c r="M18" s="366"/>
      <c r="N18" s="367"/>
      <c r="O18" s="367"/>
      <c r="P18" s="367"/>
      <c r="Q18" s="367"/>
      <c r="R18" s="367"/>
      <c r="S18" s="368"/>
      <c r="T18" s="369">
        <v>0</v>
      </c>
      <c r="U18" s="370"/>
      <c r="V18" s="371">
        <f t="shared" si="1"/>
        <v>0</v>
      </c>
    </row>
    <row r="19" spans="1:22" s="349" customFormat="1" x14ac:dyDescent="0.2">
      <c r="A19" s="363">
        <v>13</v>
      </c>
      <c r="B19" s="364" t="s">
        <v>369</v>
      </c>
      <c r="C19" s="365">
        <v>0</v>
      </c>
      <c r="D19" s="346">
        <f t="shared" si="0"/>
        <v>0</v>
      </c>
      <c r="E19" s="346">
        <v>0</v>
      </c>
      <c r="F19" s="346">
        <v>0</v>
      </c>
      <c r="G19" s="346">
        <v>0</v>
      </c>
      <c r="H19" s="346">
        <v>0</v>
      </c>
      <c r="I19" s="346">
        <v>0</v>
      </c>
      <c r="J19" s="346">
        <v>0</v>
      </c>
      <c r="K19" s="346">
        <v>0</v>
      </c>
      <c r="L19" s="346">
        <v>0</v>
      </c>
      <c r="M19" s="366"/>
      <c r="N19" s="367"/>
      <c r="O19" s="367"/>
      <c r="P19" s="367"/>
      <c r="Q19" s="367"/>
      <c r="R19" s="367"/>
      <c r="S19" s="368"/>
      <c r="T19" s="369">
        <v>0</v>
      </c>
      <c r="U19" s="370"/>
      <c r="V19" s="371">
        <f t="shared" si="1"/>
        <v>0</v>
      </c>
    </row>
    <row r="20" spans="1:22" s="349" customFormat="1" x14ac:dyDescent="0.2">
      <c r="A20" s="363">
        <v>14</v>
      </c>
      <c r="B20" s="364" t="s">
        <v>370</v>
      </c>
      <c r="C20" s="365">
        <v>0</v>
      </c>
      <c r="D20" s="346">
        <f>U20+T20</f>
        <v>5463322.8380999994</v>
      </c>
      <c r="E20" s="346">
        <v>0</v>
      </c>
      <c r="F20" s="346">
        <v>0</v>
      </c>
      <c r="G20" s="346">
        <v>0</v>
      </c>
      <c r="H20" s="346">
        <v>0</v>
      </c>
      <c r="I20" s="346">
        <v>0</v>
      </c>
      <c r="J20" s="346">
        <v>0</v>
      </c>
      <c r="K20" s="346">
        <v>0</v>
      </c>
      <c r="L20" s="346">
        <v>0</v>
      </c>
      <c r="M20" s="366"/>
      <c r="N20" s="367"/>
      <c r="O20" s="367"/>
      <c r="P20" s="367"/>
      <c r="Q20" s="367"/>
      <c r="R20" s="367"/>
      <c r="S20" s="368"/>
      <c r="T20" s="369">
        <v>4157371.4500999996</v>
      </c>
      <c r="U20" s="370">
        <v>1305951.388</v>
      </c>
      <c r="V20" s="371">
        <f t="shared" si="1"/>
        <v>5463322.8380999994</v>
      </c>
    </row>
    <row r="21" spans="1:22" ht="13.5" thickBot="1" x14ac:dyDescent="0.25">
      <c r="A21" s="350"/>
      <c r="B21" s="372" t="s">
        <v>76</v>
      </c>
      <c r="C21" s="373">
        <f>SUM(C7:C20)</f>
        <v>0</v>
      </c>
      <c r="D21" s="374">
        <f t="shared" ref="D21:V21" si="2">SUM(D7:D20)</f>
        <v>34419365.416412495</v>
      </c>
      <c r="E21" s="374">
        <f t="shared" si="2"/>
        <v>0</v>
      </c>
      <c r="F21" s="374">
        <f t="shared" si="2"/>
        <v>0</v>
      </c>
      <c r="G21" s="374">
        <f t="shared" si="2"/>
        <v>0</v>
      </c>
      <c r="H21" s="374">
        <f t="shared" si="2"/>
        <v>0</v>
      </c>
      <c r="I21" s="374">
        <f t="shared" si="2"/>
        <v>0</v>
      </c>
      <c r="J21" s="374">
        <f t="shared" si="2"/>
        <v>0</v>
      </c>
      <c r="K21" s="374">
        <f t="shared" si="2"/>
        <v>0</v>
      </c>
      <c r="L21" s="375">
        <f t="shared" si="2"/>
        <v>0</v>
      </c>
      <c r="M21" s="373">
        <f t="shared" si="2"/>
        <v>0</v>
      </c>
      <c r="N21" s="374">
        <f t="shared" si="2"/>
        <v>0</v>
      </c>
      <c r="O21" s="374">
        <f t="shared" si="2"/>
        <v>0</v>
      </c>
      <c r="P21" s="374">
        <f t="shared" si="2"/>
        <v>0</v>
      </c>
      <c r="Q21" s="374">
        <f t="shared" si="2"/>
        <v>0</v>
      </c>
      <c r="R21" s="374">
        <f t="shared" si="2"/>
        <v>0</v>
      </c>
      <c r="S21" s="375">
        <f t="shared" si="2"/>
        <v>0</v>
      </c>
      <c r="T21" s="375">
        <f>SUM(T7:T20)</f>
        <v>20494633.675934996</v>
      </c>
      <c r="U21" s="375">
        <f t="shared" si="2"/>
        <v>13924731.740477499</v>
      </c>
      <c r="V21" s="376">
        <f t="shared" si="2"/>
        <v>34419365.416412495</v>
      </c>
    </row>
    <row r="24" spans="1:22" x14ac:dyDescent="0.2">
      <c r="A24" s="27"/>
      <c r="B24" s="27"/>
      <c r="C24" s="377"/>
      <c r="D24" s="377"/>
      <c r="E24" s="377"/>
      <c r="V24" s="22">
        <v>34419365.416412495</v>
      </c>
    </row>
    <row r="25" spans="1:22" x14ac:dyDescent="0.2">
      <c r="A25" s="378"/>
      <c r="B25" s="378"/>
      <c r="C25" s="27"/>
      <c r="D25" s="377"/>
      <c r="E25" s="377"/>
      <c r="V25" s="232">
        <f>V24-V21</f>
        <v>0</v>
      </c>
    </row>
    <row r="26" spans="1:22" x14ac:dyDescent="0.2">
      <c r="A26" s="378"/>
      <c r="B26" s="379"/>
      <c r="C26" s="27"/>
      <c r="D26" s="377"/>
      <c r="E26" s="377"/>
    </row>
    <row r="27" spans="1:22" x14ac:dyDescent="0.2">
      <c r="A27" s="378"/>
      <c r="B27" s="378"/>
      <c r="C27" s="27"/>
      <c r="D27" s="377"/>
      <c r="E27" s="377"/>
    </row>
    <row r="28" spans="1:22" x14ac:dyDescent="0.2">
      <c r="A28" s="378"/>
      <c r="B28" s="379"/>
      <c r="C28" s="27"/>
      <c r="D28" s="377"/>
      <c r="E28" s="377"/>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8" activePane="bottomRight" state="frozen"/>
      <selection activeCell="P24" sqref="P24:Q24"/>
      <selection pane="topRight" activeCell="P24" sqref="P24:Q24"/>
      <selection pane="bottomLeft" activeCell="P24" sqref="P24:Q24"/>
      <selection pane="bottomRight" activeCell="G18" sqref="G18"/>
    </sheetView>
  </sheetViews>
  <sheetFormatPr defaultColWidth="9.140625" defaultRowHeight="12.75" x14ac:dyDescent="0.2"/>
  <cols>
    <col min="1" max="1" width="10.5703125" style="22" bestFit="1" customWidth="1"/>
    <col min="2" max="2" width="101.85546875" style="22" customWidth="1"/>
    <col min="3" max="3" width="13.7109375" style="22" customWidth="1"/>
    <col min="4" max="4" width="14.85546875" style="22" bestFit="1" customWidth="1"/>
    <col min="5" max="5" width="17.7109375" style="22" customWidth="1"/>
    <col min="6" max="6" width="15.85546875" style="22" customWidth="1"/>
    <col min="7" max="7" width="17.42578125" style="22" customWidth="1"/>
    <col min="8" max="8" width="15.28515625" style="22" customWidth="1"/>
    <col min="9" max="16384" width="9.140625" style="128"/>
  </cols>
  <sheetData>
    <row r="1" spans="1:9" x14ac:dyDescent="0.2">
      <c r="A1" s="22" t="s">
        <v>29</v>
      </c>
      <c r="B1" s="22" t="str">
        <f>'1. key ratios'!B1</f>
        <v>სს ტერაბანკი</v>
      </c>
    </row>
    <row r="2" spans="1:9" x14ac:dyDescent="0.2">
      <c r="A2" s="22" t="s">
        <v>31</v>
      </c>
      <c r="B2" s="82">
        <f>'1. key ratios'!B2</f>
        <v>43281</v>
      </c>
    </row>
    <row r="4" spans="1:9" ht="13.5" thickBot="1" x14ac:dyDescent="0.25">
      <c r="A4" s="22" t="s">
        <v>395</v>
      </c>
      <c r="B4" s="380" t="s">
        <v>396</v>
      </c>
    </row>
    <row r="5" spans="1:9" x14ac:dyDescent="0.2">
      <c r="A5" s="355"/>
      <c r="B5" s="381"/>
      <c r="C5" s="382" t="s">
        <v>253</v>
      </c>
      <c r="D5" s="382" t="s">
        <v>254</v>
      </c>
      <c r="E5" s="382" t="s">
        <v>255</v>
      </c>
      <c r="F5" s="382" t="s">
        <v>339</v>
      </c>
      <c r="G5" s="383" t="s">
        <v>340</v>
      </c>
      <c r="H5" s="384" t="s">
        <v>341</v>
      </c>
      <c r="I5" s="385"/>
    </row>
    <row r="6" spans="1:9" ht="15" customHeight="1" x14ac:dyDescent="0.2">
      <c r="A6" s="342"/>
      <c r="B6" s="386"/>
      <c r="C6" s="508" t="s">
        <v>397</v>
      </c>
      <c r="D6" s="510" t="s">
        <v>398</v>
      </c>
      <c r="E6" s="511"/>
      <c r="F6" s="508" t="s">
        <v>399</v>
      </c>
      <c r="G6" s="508" t="s">
        <v>400</v>
      </c>
      <c r="H6" s="512" t="s">
        <v>401</v>
      </c>
      <c r="I6" s="385"/>
    </row>
    <row r="7" spans="1:9" ht="76.5" x14ac:dyDescent="0.2">
      <c r="A7" s="342"/>
      <c r="B7" s="386"/>
      <c r="C7" s="509"/>
      <c r="D7" s="387" t="s">
        <v>402</v>
      </c>
      <c r="E7" s="387" t="s">
        <v>403</v>
      </c>
      <c r="F7" s="509"/>
      <c r="G7" s="509"/>
      <c r="H7" s="513"/>
      <c r="I7" s="385"/>
    </row>
    <row r="8" spans="1:9" x14ac:dyDescent="0.2">
      <c r="A8" s="388">
        <v>1</v>
      </c>
      <c r="B8" s="276" t="s">
        <v>357</v>
      </c>
      <c r="C8" s="389">
        <v>138684495.43999994</v>
      </c>
      <c r="D8" s="390">
        <v>0</v>
      </c>
      <c r="E8" s="389">
        <v>0</v>
      </c>
      <c r="F8" s="389">
        <f>'11. CRWA'!S8</f>
        <v>75366227.159999996</v>
      </c>
      <c r="G8" s="391">
        <f>'11. CRWA'!S8-'12. CRM'!V7</f>
        <v>75366227.159999996</v>
      </c>
      <c r="H8" s="392">
        <f>IFERROR(G8/(C8+E8),"")</f>
        <v>0.5434365746573756</v>
      </c>
    </row>
    <row r="9" spans="1:9" ht="15" customHeight="1" x14ac:dyDescent="0.2">
      <c r="A9" s="388">
        <v>2</v>
      </c>
      <c r="B9" s="276" t="s">
        <v>358</v>
      </c>
      <c r="C9" s="389">
        <v>0</v>
      </c>
      <c r="D9" s="390">
        <v>0</v>
      </c>
      <c r="E9" s="389">
        <v>0</v>
      </c>
      <c r="F9" s="389">
        <f>'11. CRWA'!S9</f>
        <v>0</v>
      </c>
      <c r="G9" s="391">
        <f>'11. CRWA'!S9-'12. CRM'!V8</f>
        <v>0</v>
      </c>
      <c r="H9" s="392" t="str">
        <f t="shared" ref="H9:H22" si="0">IFERROR(G9/(C9+E9),"")</f>
        <v/>
      </c>
    </row>
    <row r="10" spans="1:9" x14ac:dyDescent="0.2">
      <c r="A10" s="388">
        <v>3</v>
      </c>
      <c r="B10" s="276" t="s">
        <v>359</v>
      </c>
      <c r="C10" s="389">
        <v>0</v>
      </c>
      <c r="D10" s="390">
        <v>0</v>
      </c>
      <c r="E10" s="389">
        <v>0</v>
      </c>
      <c r="F10" s="389">
        <f>'11. CRWA'!S10</f>
        <v>0</v>
      </c>
      <c r="G10" s="391">
        <f>'11. CRWA'!S10-'12. CRM'!V9</f>
        <v>0</v>
      </c>
      <c r="H10" s="392" t="str">
        <f t="shared" si="0"/>
        <v/>
      </c>
    </row>
    <row r="11" spans="1:9" x14ac:dyDescent="0.2">
      <c r="A11" s="388">
        <v>4</v>
      </c>
      <c r="B11" s="276" t="s">
        <v>360</v>
      </c>
      <c r="C11" s="389">
        <v>0</v>
      </c>
      <c r="D11" s="390">
        <v>0</v>
      </c>
      <c r="E11" s="389">
        <v>0</v>
      </c>
      <c r="F11" s="389">
        <f>'11. CRWA'!S11</f>
        <v>0</v>
      </c>
      <c r="G11" s="391">
        <f>'11. CRWA'!S11-'12. CRM'!V10</f>
        <v>0</v>
      </c>
      <c r="H11" s="392" t="str">
        <f t="shared" si="0"/>
        <v/>
      </c>
    </row>
    <row r="12" spans="1:9" x14ac:dyDescent="0.2">
      <c r="A12" s="388">
        <v>5</v>
      </c>
      <c r="B12" s="276" t="s">
        <v>361</v>
      </c>
      <c r="C12" s="389">
        <v>0</v>
      </c>
      <c r="D12" s="390">
        <v>0</v>
      </c>
      <c r="E12" s="389">
        <v>0</v>
      </c>
      <c r="F12" s="389">
        <f>'11. CRWA'!S12</f>
        <v>0</v>
      </c>
      <c r="G12" s="391">
        <f>'11. CRWA'!S12-'12. CRM'!V11</f>
        <v>0</v>
      </c>
      <c r="H12" s="392" t="str">
        <f t="shared" si="0"/>
        <v/>
      </c>
    </row>
    <row r="13" spans="1:9" x14ac:dyDescent="0.2">
      <c r="A13" s="388">
        <v>6</v>
      </c>
      <c r="B13" s="276" t="s">
        <v>362</v>
      </c>
      <c r="C13" s="389">
        <v>42771369.280000001</v>
      </c>
      <c r="D13" s="390">
        <v>0</v>
      </c>
      <c r="E13" s="389">
        <v>0</v>
      </c>
      <c r="F13" s="389">
        <f>'11. CRWA'!S13</f>
        <v>18120546.248999998</v>
      </c>
      <c r="G13" s="391">
        <f>'11. CRWA'!S13-'12. CRM'!V12</f>
        <v>18120546.248999998</v>
      </c>
      <c r="H13" s="392">
        <f t="shared" si="0"/>
        <v>0.42366065323686541</v>
      </c>
    </row>
    <row r="14" spans="1:9" x14ac:dyDescent="0.2">
      <c r="A14" s="388">
        <v>7</v>
      </c>
      <c r="B14" s="276" t="s">
        <v>363</v>
      </c>
      <c r="C14" s="389">
        <v>133071680.88000003</v>
      </c>
      <c r="D14" s="390">
        <v>55980512.75</v>
      </c>
      <c r="E14" s="389">
        <v>28572922.970000003</v>
      </c>
      <c r="F14" s="389">
        <f>'11. CRWA'!S14</f>
        <v>161644603.85000002</v>
      </c>
      <c r="G14" s="391">
        <f>'11. CRWA'!S14-'12. CRM'!V13</f>
        <v>134520617.10697001</v>
      </c>
      <c r="H14" s="392">
        <f t="shared" si="0"/>
        <v>0.83219986255650058</v>
      </c>
    </row>
    <row r="15" spans="1:9" x14ac:dyDescent="0.2">
      <c r="A15" s="388">
        <v>8</v>
      </c>
      <c r="B15" s="276" t="s">
        <v>364</v>
      </c>
      <c r="C15" s="389">
        <v>171059236.86000043</v>
      </c>
      <c r="D15" s="390">
        <v>9758346.4700000025</v>
      </c>
      <c r="E15" s="389">
        <v>5069732.5619999971</v>
      </c>
      <c r="F15" s="389">
        <f>'11. CRWA'!S15</f>
        <v>132096727.06650034</v>
      </c>
      <c r="G15" s="391">
        <f>'11. CRWA'!S15-'12. CRM'!V14</f>
        <v>130264671.23121783</v>
      </c>
      <c r="H15" s="392">
        <f t="shared" si="0"/>
        <v>0.739598214074069</v>
      </c>
    </row>
    <row r="16" spans="1:9" x14ac:dyDescent="0.2">
      <c r="A16" s="388">
        <v>9</v>
      </c>
      <c r="B16" s="276" t="s">
        <v>365</v>
      </c>
      <c r="C16" s="389">
        <v>0</v>
      </c>
      <c r="D16" s="390">
        <v>0</v>
      </c>
      <c r="E16" s="389">
        <v>0</v>
      </c>
      <c r="F16" s="389">
        <f>'11. CRWA'!S16</f>
        <v>0</v>
      </c>
      <c r="G16" s="391">
        <f>'11. CRWA'!S16-'12. CRM'!V15</f>
        <v>0</v>
      </c>
      <c r="H16" s="392" t="str">
        <f t="shared" si="0"/>
        <v/>
      </c>
    </row>
    <row r="17" spans="1:8" x14ac:dyDescent="0.2">
      <c r="A17" s="388">
        <v>10</v>
      </c>
      <c r="B17" s="276" t="s">
        <v>366</v>
      </c>
      <c r="C17" s="389">
        <v>17155882.300000008</v>
      </c>
      <c r="D17" s="390">
        <v>0</v>
      </c>
      <c r="E17" s="389">
        <v>0</v>
      </c>
      <c r="F17" s="389">
        <f>'11. CRWA'!S17</f>
        <v>17523925.280000009</v>
      </c>
      <c r="G17" s="391">
        <f>'11. CRWA'!S17-'12. CRM'!V16</f>
        <v>17523925.280000009</v>
      </c>
      <c r="H17" s="392">
        <f t="shared" si="0"/>
        <v>1.02145287392185</v>
      </c>
    </row>
    <row r="18" spans="1:8" x14ac:dyDescent="0.2">
      <c r="A18" s="388">
        <v>11</v>
      </c>
      <c r="B18" s="276" t="s">
        <v>367</v>
      </c>
      <c r="C18" s="389">
        <v>116004467.57999994</v>
      </c>
      <c r="D18" s="390">
        <v>0</v>
      </c>
      <c r="E18" s="389">
        <v>0</v>
      </c>
      <c r="F18" s="389">
        <f>'11. CRWA'!S18</f>
        <v>134705050.8849999</v>
      </c>
      <c r="G18" s="391">
        <f>'11. CRWA'!S18-'12. CRM'!V17</f>
        <v>134705050.8849999</v>
      </c>
      <c r="H18" s="392">
        <f t="shared" si="0"/>
        <v>1.1612057164272878</v>
      </c>
    </row>
    <row r="19" spans="1:8" x14ac:dyDescent="0.2">
      <c r="A19" s="388">
        <v>12</v>
      </c>
      <c r="B19" s="276" t="s">
        <v>368</v>
      </c>
      <c r="C19" s="389">
        <v>0</v>
      </c>
      <c r="D19" s="390">
        <v>0</v>
      </c>
      <c r="E19" s="389">
        <v>0</v>
      </c>
      <c r="F19" s="389">
        <f>'11. CRWA'!S19</f>
        <v>0</v>
      </c>
      <c r="G19" s="391">
        <f>'11. CRWA'!S19-'12. CRM'!V18</f>
        <v>0</v>
      </c>
      <c r="H19" s="392" t="str">
        <f t="shared" si="0"/>
        <v/>
      </c>
    </row>
    <row r="20" spans="1:8" x14ac:dyDescent="0.2">
      <c r="A20" s="388">
        <v>13</v>
      </c>
      <c r="B20" s="276" t="s">
        <v>369</v>
      </c>
      <c r="C20" s="389">
        <v>0</v>
      </c>
      <c r="D20" s="390">
        <v>0</v>
      </c>
      <c r="E20" s="389">
        <v>0</v>
      </c>
      <c r="F20" s="389">
        <f>'11. CRWA'!S20</f>
        <v>0</v>
      </c>
      <c r="G20" s="391">
        <f>'11. CRWA'!S20-'12. CRM'!V19</f>
        <v>0</v>
      </c>
      <c r="H20" s="392" t="str">
        <f t="shared" si="0"/>
        <v/>
      </c>
    </row>
    <row r="21" spans="1:8" x14ac:dyDescent="0.2">
      <c r="A21" s="388">
        <v>14</v>
      </c>
      <c r="B21" s="276" t="s">
        <v>370</v>
      </c>
      <c r="C21" s="389">
        <v>227449346.66999912</v>
      </c>
      <c r="D21" s="390">
        <v>12104375.930000002</v>
      </c>
      <c r="E21" s="389">
        <v>6804484.1320000002</v>
      </c>
      <c r="F21" s="389">
        <f>'11. CRWA'!S21</f>
        <v>199203715.49999914</v>
      </c>
      <c r="G21" s="391">
        <f>'11. CRWA'!S21-'12. CRM'!V20</f>
        <v>193740392.66189915</v>
      </c>
      <c r="H21" s="392">
        <f t="shared" si="0"/>
        <v>0.8270532524424602</v>
      </c>
    </row>
    <row r="22" spans="1:8" ht="13.5" thickBot="1" x14ac:dyDescent="0.25">
      <c r="A22" s="393"/>
      <c r="B22" s="394" t="s">
        <v>76</v>
      </c>
      <c r="C22" s="352">
        <f>SUM(C8:C21)</f>
        <v>846196479.00999951</v>
      </c>
      <c r="D22" s="352">
        <f>SUM(D8:D21)</f>
        <v>77843235.150000006</v>
      </c>
      <c r="E22" s="352">
        <f>SUM(E8:E21)</f>
        <v>40447139.663999997</v>
      </c>
      <c r="F22" s="352">
        <f>SUM(F8:F21)</f>
        <v>738660795.9904995</v>
      </c>
      <c r="G22" s="352">
        <f>SUM(G8:G21)</f>
        <v>704241430.5740869</v>
      </c>
      <c r="H22" s="395">
        <f t="shared" si="0"/>
        <v>0.79427789896835865</v>
      </c>
    </row>
    <row r="24" spans="1:8" x14ac:dyDescent="0.2">
      <c r="C24" s="184">
        <v>846196479.00999951</v>
      </c>
      <c r="D24" s="184">
        <v>77843235.149999991</v>
      </c>
      <c r="E24" s="184">
        <v>40447139.663999997</v>
      </c>
    </row>
    <row r="25" spans="1:8" x14ac:dyDescent="0.2">
      <c r="C25" s="107">
        <f>C24-C22</f>
        <v>0</v>
      </c>
      <c r="D25" s="107">
        <f>D24-D22</f>
        <v>0</v>
      </c>
      <c r="E25" s="107">
        <f>E24-E22</f>
        <v>0</v>
      </c>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8"/>
  <sheetViews>
    <sheetView zoomScale="90" zoomScaleNormal="90" workbookViewId="0">
      <pane xSplit="2" ySplit="6" topLeftCell="C7" activePane="bottomRight" state="frozen"/>
      <selection activeCell="P24" sqref="P24:Q24"/>
      <selection pane="topRight" activeCell="P24" sqref="P24:Q24"/>
      <selection pane="bottomLeft" activeCell="P24" sqref="P24:Q24"/>
      <selection pane="bottomRight" activeCell="H25" sqref="H25"/>
    </sheetView>
  </sheetViews>
  <sheetFormatPr defaultColWidth="9.140625" defaultRowHeight="12.75" x14ac:dyDescent="0.2"/>
  <cols>
    <col min="1" max="1" width="10.5703125" style="22" bestFit="1" customWidth="1"/>
    <col min="2" max="2" width="104.140625" style="22" customWidth="1"/>
    <col min="3" max="3" width="12.7109375" style="22" customWidth="1"/>
    <col min="4" max="4" width="14.5703125" style="22" bestFit="1" customWidth="1"/>
    <col min="5" max="11" width="12.7109375" style="22" customWidth="1"/>
    <col min="12" max="16384" width="9.140625" style="22"/>
  </cols>
  <sheetData>
    <row r="1" spans="1:11" x14ac:dyDescent="0.2">
      <c r="A1" s="22" t="s">
        <v>29</v>
      </c>
    </row>
    <row r="2" spans="1:11" x14ac:dyDescent="0.2">
      <c r="A2" s="22" t="s">
        <v>31</v>
      </c>
      <c r="B2" s="20"/>
      <c r="C2" s="20"/>
      <c r="D2" s="20"/>
    </row>
    <row r="3" spans="1:11" x14ac:dyDescent="0.2">
      <c r="B3" s="20"/>
      <c r="C3" s="20"/>
      <c r="D3" s="20"/>
    </row>
    <row r="4" spans="1:11" ht="13.5" thickBot="1" x14ac:dyDescent="0.25">
      <c r="A4" s="22" t="s">
        <v>404</v>
      </c>
      <c r="B4" s="380" t="s">
        <v>27</v>
      </c>
      <c r="C4" s="20"/>
      <c r="D4" s="20"/>
    </row>
    <row r="5" spans="1:11" ht="30" customHeight="1" x14ac:dyDescent="0.2">
      <c r="A5" s="514"/>
      <c r="B5" s="515"/>
      <c r="C5" s="516" t="s">
        <v>405</v>
      </c>
      <c r="D5" s="516"/>
      <c r="E5" s="516"/>
      <c r="F5" s="516" t="s">
        <v>406</v>
      </c>
      <c r="G5" s="516"/>
      <c r="H5" s="516"/>
      <c r="I5" s="516" t="s">
        <v>407</v>
      </c>
      <c r="J5" s="516"/>
      <c r="K5" s="517"/>
    </row>
    <row r="6" spans="1:11" x14ac:dyDescent="0.2">
      <c r="A6" s="396"/>
      <c r="B6" s="397"/>
      <c r="C6" s="387" t="s">
        <v>74</v>
      </c>
      <c r="D6" s="387" t="s">
        <v>114</v>
      </c>
      <c r="E6" s="387" t="s">
        <v>76</v>
      </c>
      <c r="F6" s="387" t="s">
        <v>74</v>
      </c>
      <c r="G6" s="387" t="s">
        <v>114</v>
      </c>
      <c r="H6" s="387" t="s">
        <v>76</v>
      </c>
      <c r="I6" s="387" t="s">
        <v>74</v>
      </c>
      <c r="J6" s="387" t="s">
        <v>114</v>
      </c>
      <c r="K6" s="398" t="s">
        <v>76</v>
      </c>
    </row>
    <row r="7" spans="1:11" x14ac:dyDescent="0.2">
      <c r="A7" s="399" t="s">
        <v>408</v>
      </c>
      <c r="B7" s="400"/>
      <c r="C7" s="400"/>
      <c r="D7" s="400"/>
      <c r="E7" s="400"/>
      <c r="F7" s="400"/>
      <c r="G7" s="400"/>
      <c r="H7" s="400"/>
      <c r="I7" s="400"/>
      <c r="J7" s="400"/>
      <c r="K7" s="401"/>
    </row>
    <row r="8" spans="1:11" x14ac:dyDescent="0.2">
      <c r="A8" s="402">
        <v>1</v>
      </c>
      <c r="B8" s="403" t="s">
        <v>408</v>
      </c>
      <c r="C8" s="40"/>
      <c r="D8" s="40"/>
      <c r="E8" s="40"/>
      <c r="F8" s="404">
        <v>47340254.022091694</v>
      </c>
      <c r="G8" s="404">
        <v>105319392.96355577</v>
      </c>
      <c r="H8" s="404">
        <v>152659646.98564747</v>
      </c>
      <c r="I8" s="404">
        <v>45656617.296707079</v>
      </c>
      <c r="J8" s="404">
        <v>93196507.552185699</v>
      </c>
      <c r="K8" s="405">
        <v>138853124.84889281</v>
      </c>
    </row>
    <row r="9" spans="1:11" x14ac:dyDescent="0.2">
      <c r="A9" s="399" t="s">
        <v>409</v>
      </c>
      <c r="B9" s="400"/>
      <c r="C9" s="400"/>
      <c r="D9" s="400"/>
      <c r="E9" s="400"/>
      <c r="F9" s="400"/>
      <c r="G9" s="400"/>
      <c r="H9" s="400"/>
      <c r="I9" s="400"/>
      <c r="J9" s="400"/>
      <c r="K9" s="401"/>
    </row>
    <row r="10" spans="1:11" x14ac:dyDescent="0.2">
      <c r="A10" s="148">
        <v>2</v>
      </c>
      <c r="B10" s="406" t="s">
        <v>410</v>
      </c>
      <c r="C10" s="407">
        <v>29706867.962241624</v>
      </c>
      <c r="D10" s="408">
        <v>170431413.45990995</v>
      </c>
      <c r="E10" s="408">
        <f>SUM(C10:D10)</f>
        <v>200138281.42215157</v>
      </c>
      <c r="F10" s="408">
        <v>6026396.6121939765</v>
      </c>
      <c r="G10" s="408">
        <v>33532650.84972154</v>
      </c>
      <c r="H10" s="408">
        <f>SUM(F10:G10)</f>
        <v>39559047.461915515</v>
      </c>
      <c r="I10" s="408">
        <v>1520158.8392752679</v>
      </c>
      <c r="J10" s="408">
        <v>7960798.1962650204</v>
      </c>
      <c r="K10" s="409">
        <f>SUM(I10:J10)</f>
        <v>9480957.0355402883</v>
      </c>
    </row>
    <row r="11" spans="1:11" x14ac:dyDescent="0.2">
      <c r="A11" s="148">
        <v>3</v>
      </c>
      <c r="B11" s="406" t="s">
        <v>411</v>
      </c>
      <c r="C11" s="407">
        <v>217990346.06571427</v>
      </c>
      <c r="D11" s="410">
        <v>254663763.66711912</v>
      </c>
      <c r="E11" s="408">
        <f t="shared" ref="E11:E21" si="0">SUM(C11:D11)</f>
        <v>472654109.73283339</v>
      </c>
      <c r="F11" s="408">
        <v>53613232.338539481</v>
      </c>
      <c r="G11" s="408">
        <v>69414301.416149303</v>
      </c>
      <c r="H11" s="408">
        <f t="shared" ref="H11:H21" si="1">SUM(F11:G11)</f>
        <v>123027533.75468878</v>
      </c>
      <c r="I11" s="408">
        <v>46830829.176264852</v>
      </c>
      <c r="J11" s="408">
        <v>56481312.155804969</v>
      </c>
      <c r="K11" s="409">
        <f t="shared" ref="K11:K16" si="2">SUM(I11:J11)</f>
        <v>103312141.33206981</v>
      </c>
    </row>
    <row r="12" spans="1:11" x14ac:dyDescent="0.2">
      <c r="A12" s="148">
        <v>4</v>
      </c>
      <c r="B12" s="406" t="s">
        <v>412</v>
      </c>
      <c r="C12" s="407">
        <v>31043956.043956045</v>
      </c>
      <c r="D12" s="408">
        <v>0</v>
      </c>
      <c r="E12" s="408">
        <f t="shared" si="0"/>
        <v>31043956.043956045</v>
      </c>
      <c r="F12" s="408">
        <v>0</v>
      </c>
      <c r="G12" s="408">
        <v>0</v>
      </c>
      <c r="H12" s="408">
        <f t="shared" si="1"/>
        <v>0</v>
      </c>
      <c r="I12" s="408">
        <v>0</v>
      </c>
      <c r="J12" s="408">
        <v>0</v>
      </c>
      <c r="K12" s="409">
        <f t="shared" si="2"/>
        <v>0</v>
      </c>
    </row>
    <row r="13" spans="1:11" x14ac:dyDescent="0.2">
      <c r="A13" s="148">
        <v>5</v>
      </c>
      <c r="B13" s="406" t="s">
        <v>413</v>
      </c>
      <c r="C13" s="407">
        <v>48960050.65615385</v>
      </c>
      <c r="D13" s="408">
        <v>31962079.97148462</v>
      </c>
      <c r="E13" s="408">
        <f t="shared" si="0"/>
        <v>80922130.627638474</v>
      </c>
      <c r="F13" s="408">
        <v>6069856.4985802183</v>
      </c>
      <c r="G13" s="408">
        <v>4392763.0357456617</v>
      </c>
      <c r="H13" s="408">
        <f t="shared" si="1"/>
        <v>10462619.534325879</v>
      </c>
      <c r="I13" s="408">
        <v>2617741.5481703295</v>
      </c>
      <c r="J13" s="408">
        <v>1887077.0623608248</v>
      </c>
      <c r="K13" s="409">
        <f t="shared" si="2"/>
        <v>4504818.6105311541</v>
      </c>
    </row>
    <row r="14" spans="1:11" x14ac:dyDescent="0.2">
      <c r="A14" s="148">
        <v>6</v>
      </c>
      <c r="B14" s="406" t="s">
        <v>414</v>
      </c>
      <c r="C14" s="407">
        <v>2369708.2953846157</v>
      </c>
      <c r="D14" s="408">
        <v>1561734.4205307693</v>
      </c>
      <c r="E14" s="408">
        <f t="shared" si="0"/>
        <v>3931442.7159153847</v>
      </c>
      <c r="F14" s="408">
        <v>0</v>
      </c>
      <c r="G14" s="408">
        <v>0</v>
      </c>
      <c r="H14" s="408">
        <f t="shared" si="1"/>
        <v>0</v>
      </c>
      <c r="I14" s="408">
        <v>0</v>
      </c>
      <c r="J14" s="408">
        <v>0</v>
      </c>
      <c r="K14" s="409">
        <f t="shared" si="2"/>
        <v>0</v>
      </c>
    </row>
    <row r="15" spans="1:11" x14ac:dyDescent="0.2">
      <c r="A15" s="148">
        <v>7</v>
      </c>
      <c r="B15" s="406" t="s">
        <v>415</v>
      </c>
      <c r="C15" s="407">
        <v>2341205.6169230766</v>
      </c>
      <c r="D15" s="408">
        <v>6059522.4080351647</v>
      </c>
      <c r="E15" s="408">
        <f t="shared" si="0"/>
        <v>8400728.0249582417</v>
      </c>
      <c r="F15" s="408">
        <v>950655.2201098901</v>
      </c>
      <c r="G15" s="408">
        <v>3457110.5283769229</v>
      </c>
      <c r="H15" s="408">
        <f t="shared" si="1"/>
        <v>4407765.7484868132</v>
      </c>
      <c r="I15" s="408">
        <v>950655.2201098901</v>
      </c>
      <c r="J15" s="408">
        <v>3457110.5283769229</v>
      </c>
      <c r="K15" s="409">
        <f t="shared" si="2"/>
        <v>4407765.7484868132</v>
      </c>
    </row>
    <row r="16" spans="1:11" x14ac:dyDescent="0.2">
      <c r="A16" s="148">
        <v>8</v>
      </c>
      <c r="B16" s="411" t="s">
        <v>416</v>
      </c>
      <c r="C16" s="407">
        <f>SUM(C10:C15)</f>
        <v>332412134.64037347</v>
      </c>
      <c r="D16" s="408">
        <f>SUM(D10:D15)</f>
        <v>464678513.92707962</v>
      </c>
      <c r="E16" s="408">
        <f t="shared" si="0"/>
        <v>797090648.56745315</v>
      </c>
      <c r="F16" s="408">
        <f>SUM(F10:F15)</f>
        <v>66660140.669423565</v>
      </c>
      <c r="G16" s="408">
        <f>SUM(G10:G15)</f>
        <v>110796825.82999343</v>
      </c>
      <c r="H16" s="408">
        <f t="shared" si="1"/>
        <v>177456966.49941701</v>
      </c>
      <c r="I16" s="408">
        <f>SUM(I10:I15)</f>
        <v>51919384.783820339</v>
      </c>
      <c r="J16" s="408">
        <f>SUM(J10:J15)</f>
        <v>69786297.942807734</v>
      </c>
      <c r="K16" s="409">
        <f t="shared" si="2"/>
        <v>121705682.72662807</v>
      </c>
    </row>
    <row r="17" spans="1:11" x14ac:dyDescent="0.2">
      <c r="A17" s="399" t="s">
        <v>417</v>
      </c>
      <c r="B17" s="400"/>
      <c r="C17" s="412"/>
      <c r="D17" s="412"/>
      <c r="E17" s="412"/>
      <c r="F17" s="412"/>
      <c r="G17" s="412"/>
      <c r="H17" s="412"/>
      <c r="I17" s="412"/>
      <c r="J17" s="412"/>
      <c r="K17" s="413"/>
    </row>
    <row r="18" spans="1:11" x14ac:dyDescent="0.2">
      <c r="A18" s="148">
        <v>9</v>
      </c>
      <c r="B18" s="406" t="s">
        <v>418</v>
      </c>
      <c r="C18" s="407">
        <v>0</v>
      </c>
      <c r="D18" s="408">
        <v>0</v>
      </c>
      <c r="E18" s="408">
        <f t="shared" si="0"/>
        <v>0</v>
      </c>
      <c r="F18" s="408">
        <v>0</v>
      </c>
      <c r="G18" s="408">
        <v>0</v>
      </c>
      <c r="H18" s="408">
        <f t="shared" si="1"/>
        <v>0</v>
      </c>
      <c r="I18" s="408">
        <v>0</v>
      </c>
      <c r="J18" s="408">
        <v>0</v>
      </c>
      <c r="K18" s="409">
        <f>SUM(I18:J18)</f>
        <v>0</v>
      </c>
    </row>
    <row r="19" spans="1:11" x14ac:dyDescent="0.2">
      <c r="A19" s="148">
        <v>10</v>
      </c>
      <c r="B19" s="406" t="s">
        <v>419</v>
      </c>
      <c r="C19" s="407">
        <v>223208296.35868147</v>
      </c>
      <c r="D19" s="408">
        <v>357416881.36835051</v>
      </c>
      <c r="E19" s="408">
        <f t="shared" si="0"/>
        <v>580625177.72703195</v>
      </c>
      <c r="F19" s="408">
        <v>22490586.52923077</v>
      </c>
      <c r="G19" s="408">
        <v>17537504.665148903</v>
      </c>
      <c r="H19" s="408">
        <f t="shared" si="1"/>
        <v>40028091.194379672</v>
      </c>
      <c r="I19" s="408">
        <v>24174223.254615385</v>
      </c>
      <c r="J19" s="408">
        <v>49061718.725829124</v>
      </c>
      <c r="K19" s="409">
        <f>SUM(I19:J19)</f>
        <v>73235941.980444506</v>
      </c>
    </row>
    <row r="20" spans="1:11" x14ac:dyDescent="0.2">
      <c r="A20" s="148">
        <v>11</v>
      </c>
      <c r="B20" s="406" t="s">
        <v>420</v>
      </c>
      <c r="C20" s="407">
        <v>1350020.4498901099</v>
      </c>
      <c r="D20" s="408">
        <v>727807.44944065937</v>
      </c>
      <c r="E20" s="408">
        <f t="shared" si="0"/>
        <v>2077827.8993307692</v>
      </c>
      <c r="F20" s="408">
        <v>435931.21065934072</v>
      </c>
      <c r="G20" s="408">
        <v>674898.13106593408</v>
      </c>
      <c r="H20" s="408">
        <f t="shared" si="1"/>
        <v>1110829.3417252749</v>
      </c>
      <c r="I20" s="408">
        <v>435931.21065934072</v>
      </c>
      <c r="J20" s="408">
        <v>674898.13106593408</v>
      </c>
      <c r="K20" s="409">
        <f>SUM(I20:J20)</f>
        <v>1110829.3417252749</v>
      </c>
    </row>
    <row r="21" spans="1:11" ht="13.5" thickBot="1" x14ac:dyDescent="0.25">
      <c r="A21" s="155">
        <v>12</v>
      </c>
      <c r="B21" s="414" t="s">
        <v>421</v>
      </c>
      <c r="C21" s="415">
        <f>SUM(C18:C20)</f>
        <v>224558316.80857158</v>
      </c>
      <c r="D21" s="415">
        <f>SUM(D18:D20)</f>
        <v>358144688.81779116</v>
      </c>
      <c r="E21" s="415">
        <f t="shared" si="0"/>
        <v>582703005.6263628</v>
      </c>
      <c r="F21" s="416">
        <f>SUM(F18:F20)</f>
        <v>22926517.73989011</v>
      </c>
      <c r="G21" s="416">
        <f>SUM(G18:G20)</f>
        <v>18212402.796214838</v>
      </c>
      <c r="H21" s="408">
        <f t="shared" si="1"/>
        <v>41138920.536104947</v>
      </c>
      <c r="I21" s="416">
        <f>SUM(I18:I20)</f>
        <v>24610154.465274725</v>
      </c>
      <c r="J21" s="416">
        <f>SUM(J18:J20)</f>
        <v>49736616.856895059</v>
      </c>
      <c r="K21" s="409">
        <f>SUM(I21:J21)</f>
        <v>74346771.322169781</v>
      </c>
    </row>
    <row r="22" spans="1:11" ht="38.25" customHeight="1" thickBot="1" x14ac:dyDescent="0.25">
      <c r="A22" s="417"/>
      <c r="B22" s="418"/>
      <c r="C22" s="418"/>
      <c r="D22" s="418"/>
      <c r="E22" s="418"/>
      <c r="F22" s="518" t="s">
        <v>422</v>
      </c>
      <c r="G22" s="516"/>
      <c r="H22" s="516"/>
      <c r="I22" s="518" t="s">
        <v>423</v>
      </c>
      <c r="J22" s="516"/>
      <c r="K22" s="517"/>
    </row>
    <row r="23" spans="1:11" x14ac:dyDescent="0.2">
      <c r="A23" s="419">
        <v>13</v>
      </c>
      <c r="B23" s="420" t="s">
        <v>408</v>
      </c>
      <c r="C23" s="421"/>
      <c r="D23" s="421"/>
      <c r="E23" s="421"/>
      <c r="F23" s="422">
        <f t="shared" ref="F23:K23" si="3">F8</f>
        <v>47340254.022091694</v>
      </c>
      <c r="G23" s="422">
        <f t="shared" si="3"/>
        <v>105319392.96355577</v>
      </c>
      <c r="H23" s="422">
        <f t="shared" si="3"/>
        <v>152659646.98564747</v>
      </c>
      <c r="I23" s="422">
        <f t="shared" si="3"/>
        <v>45656617.296707079</v>
      </c>
      <c r="J23" s="422">
        <f t="shared" si="3"/>
        <v>93196507.552185699</v>
      </c>
      <c r="K23" s="423">
        <f t="shared" si="3"/>
        <v>138853124.84889281</v>
      </c>
    </row>
    <row r="24" spans="1:11" ht="13.5" thickBot="1" x14ac:dyDescent="0.25">
      <c r="A24" s="424">
        <v>14</v>
      </c>
      <c r="B24" s="425" t="s">
        <v>424</v>
      </c>
      <c r="C24" s="426"/>
      <c r="D24" s="427"/>
      <c r="E24" s="428"/>
      <c r="F24" s="429">
        <f t="shared" ref="F24:K24" si="4">MAX(F16-F21,F16*0.25)</f>
        <v>43733622.929533452</v>
      </c>
      <c r="G24" s="429">
        <f t="shared" si="4"/>
        <v>92584423.033778593</v>
      </c>
      <c r="H24" s="429">
        <f t="shared" si="4"/>
        <v>136318045.96331206</v>
      </c>
      <c r="I24" s="429">
        <f t="shared" si="4"/>
        <v>27309230.318545613</v>
      </c>
      <c r="J24" s="429">
        <f t="shared" si="4"/>
        <v>20049681.085912675</v>
      </c>
      <c r="K24" s="430">
        <f t="shared" si="4"/>
        <v>47358911.404458284</v>
      </c>
    </row>
    <row r="25" spans="1:11" ht="13.5" thickBot="1" x14ac:dyDescent="0.25">
      <c r="A25" s="431">
        <v>15</v>
      </c>
      <c r="B25" s="432" t="s">
        <v>65</v>
      </c>
      <c r="C25" s="433"/>
      <c r="D25" s="433"/>
      <c r="E25" s="433"/>
      <c r="F25" s="434">
        <f t="shared" ref="F25:K25" si="5">F23/F24</f>
        <v>1.0824681526698461</v>
      </c>
      <c r="G25" s="434">
        <f t="shared" si="5"/>
        <v>1.1375498114313565</v>
      </c>
      <c r="H25" s="434">
        <f t="shared" si="5"/>
        <v>1.119878486423826</v>
      </c>
      <c r="I25" s="435">
        <f t="shared" si="5"/>
        <v>1.6718383039049551</v>
      </c>
      <c r="J25" s="435">
        <f t="shared" si="5"/>
        <v>4.6482788006871347</v>
      </c>
      <c r="K25" s="436">
        <f t="shared" si="5"/>
        <v>2.9319323593198434</v>
      </c>
    </row>
    <row r="28" spans="1:11" ht="38.25" x14ac:dyDescent="0.2">
      <c r="B28" s="437" t="s">
        <v>425</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B6" activePane="bottomRight" state="frozen"/>
      <selection activeCell="P24" sqref="P24:Q24"/>
      <selection pane="topRight" activeCell="P24" sqref="P24:Q24"/>
      <selection pane="bottomLeft" activeCell="P24" sqref="P24:Q24"/>
      <selection pane="bottomRight" activeCell="K8" sqref="K8"/>
    </sheetView>
  </sheetViews>
  <sheetFormatPr defaultColWidth="9.140625" defaultRowHeight="15" x14ac:dyDescent="0.3"/>
  <cols>
    <col min="1" max="1" width="10.5703125" style="294" bestFit="1" customWidth="1"/>
    <col min="2" max="2" width="95" style="294" customWidth="1"/>
    <col min="3" max="3" width="14.7109375" style="294" bestFit="1" customWidth="1"/>
    <col min="4" max="4" width="10" style="294" bestFit="1" customWidth="1"/>
    <col min="5" max="5" width="18.28515625" style="294" bestFit="1" customWidth="1"/>
    <col min="6" max="10" width="4.85546875" style="294" bestFit="1" customWidth="1"/>
    <col min="11" max="11" width="11" style="294" bestFit="1" customWidth="1"/>
    <col min="12" max="13" width="5.7109375" style="294" bestFit="1" customWidth="1"/>
    <col min="14" max="14" width="31" style="294" bestFit="1" customWidth="1"/>
    <col min="15" max="16384" width="9.140625" style="128"/>
  </cols>
  <sheetData>
    <row r="1" spans="1:15" x14ac:dyDescent="0.3">
      <c r="A1" s="294" t="s">
        <v>426</v>
      </c>
      <c r="B1" s="22" t="str">
        <f>'1. key ratios'!B1</f>
        <v>სს ტერაბანკი</v>
      </c>
    </row>
    <row r="2" spans="1:15" ht="14.25" customHeight="1" x14ac:dyDescent="0.3">
      <c r="A2" s="294" t="s">
        <v>31</v>
      </c>
      <c r="B2" s="82">
        <f>'1. key ratios'!B2</f>
        <v>43281</v>
      </c>
    </row>
    <row r="3" spans="1:15" ht="14.25" customHeight="1" x14ac:dyDescent="0.3"/>
    <row r="4" spans="1:15" ht="15.75" thickBot="1" x14ac:dyDescent="0.35">
      <c r="A4" s="22" t="s">
        <v>427</v>
      </c>
      <c r="B4" s="438" t="s">
        <v>28</v>
      </c>
    </row>
    <row r="5" spans="1:15" s="443" customFormat="1" ht="12.75" x14ac:dyDescent="0.2">
      <c r="A5" s="439"/>
      <c r="B5" s="440"/>
      <c r="C5" s="441" t="s">
        <v>253</v>
      </c>
      <c r="D5" s="441" t="s">
        <v>254</v>
      </c>
      <c r="E5" s="441" t="s">
        <v>255</v>
      </c>
      <c r="F5" s="441" t="s">
        <v>339</v>
      </c>
      <c r="G5" s="441" t="s">
        <v>340</v>
      </c>
      <c r="H5" s="441" t="s">
        <v>341</v>
      </c>
      <c r="I5" s="441" t="s">
        <v>342</v>
      </c>
      <c r="J5" s="441" t="s">
        <v>343</v>
      </c>
      <c r="K5" s="441" t="s">
        <v>344</v>
      </c>
      <c r="L5" s="441" t="s">
        <v>345</v>
      </c>
      <c r="M5" s="441" t="s">
        <v>346</v>
      </c>
      <c r="N5" s="442" t="s">
        <v>347</v>
      </c>
    </row>
    <row r="6" spans="1:15" ht="45" x14ac:dyDescent="0.3">
      <c r="A6" s="444"/>
      <c r="B6" s="445"/>
      <c r="C6" s="446" t="s">
        <v>428</v>
      </c>
      <c r="D6" s="447" t="s">
        <v>429</v>
      </c>
      <c r="E6" s="448" t="s">
        <v>430</v>
      </c>
      <c r="F6" s="449">
        <v>0</v>
      </c>
      <c r="G6" s="449">
        <v>0.2</v>
      </c>
      <c r="H6" s="449">
        <v>0.35</v>
      </c>
      <c r="I6" s="449">
        <v>0.5</v>
      </c>
      <c r="J6" s="449">
        <v>0.75</v>
      </c>
      <c r="K6" s="449">
        <v>1</v>
      </c>
      <c r="L6" s="449">
        <v>1.5</v>
      </c>
      <c r="M6" s="449">
        <v>2.5</v>
      </c>
      <c r="N6" s="450" t="s">
        <v>28</v>
      </c>
    </row>
    <row r="7" spans="1:15" x14ac:dyDescent="0.3">
      <c r="A7" s="451">
        <v>1</v>
      </c>
      <c r="B7" s="452" t="s">
        <v>431</v>
      </c>
      <c r="C7" s="453">
        <f>SUM(C8:C13)</f>
        <v>55266418.799999997</v>
      </c>
      <c r="D7" s="454"/>
      <c r="E7" s="455">
        <f>SUM(E8:E12)</f>
        <v>1105328.3759999999</v>
      </c>
      <c r="F7" s="456">
        <v>0</v>
      </c>
      <c r="G7" s="456">
        <v>0</v>
      </c>
      <c r="H7" s="456">
        <v>0</v>
      </c>
      <c r="I7" s="456">
        <v>0</v>
      </c>
      <c r="J7" s="456">
        <v>0</v>
      </c>
      <c r="K7" s="456">
        <v>1105328.3759999999</v>
      </c>
      <c r="L7" s="456">
        <v>0</v>
      </c>
      <c r="M7" s="456">
        <v>0</v>
      </c>
      <c r="N7" s="457">
        <v>1105328.3759999999</v>
      </c>
      <c r="O7" s="458"/>
    </row>
    <row r="8" spans="1:15" x14ac:dyDescent="0.3">
      <c r="A8" s="451">
        <v>1.1000000000000001</v>
      </c>
      <c r="B8" s="459" t="s">
        <v>432</v>
      </c>
      <c r="C8" s="456">
        <v>55266418.799999997</v>
      </c>
      <c r="D8" s="460">
        <v>0.02</v>
      </c>
      <c r="E8" s="455">
        <f>C8*D8</f>
        <v>1105328.3759999999</v>
      </c>
      <c r="F8" s="456">
        <v>0</v>
      </c>
      <c r="G8" s="456">
        <v>0</v>
      </c>
      <c r="H8" s="456">
        <v>0</v>
      </c>
      <c r="I8" s="456">
        <v>0</v>
      </c>
      <c r="J8" s="456">
        <v>0</v>
      </c>
      <c r="K8" s="456">
        <v>1105328.3759999999</v>
      </c>
      <c r="L8" s="456">
        <v>0</v>
      </c>
      <c r="M8" s="456">
        <v>0</v>
      </c>
      <c r="N8" s="457">
        <v>1105328.3759999999</v>
      </c>
      <c r="O8" s="458"/>
    </row>
    <row r="9" spans="1:15" x14ac:dyDescent="0.3">
      <c r="A9" s="451">
        <v>1.2</v>
      </c>
      <c r="B9" s="459" t="s">
        <v>433</v>
      </c>
      <c r="C9" s="456">
        <v>0</v>
      </c>
      <c r="D9" s="460">
        <v>0.05</v>
      </c>
      <c r="E9" s="455">
        <f>C9*D9</f>
        <v>0</v>
      </c>
      <c r="F9" s="456">
        <v>0</v>
      </c>
      <c r="G9" s="456">
        <v>0</v>
      </c>
      <c r="H9" s="456">
        <v>0</v>
      </c>
      <c r="I9" s="456">
        <v>0</v>
      </c>
      <c r="J9" s="456">
        <v>0</v>
      </c>
      <c r="K9" s="456">
        <v>0</v>
      </c>
      <c r="L9" s="456">
        <v>0</v>
      </c>
      <c r="M9" s="456">
        <v>0</v>
      </c>
      <c r="N9" s="457">
        <v>0</v>
      </c>
      <c r="O9" s="458"/>
    </row>
    <row r="10" spans="1:15" x14ac:dyDescent="0.3">
      <c r="A10" s="451">
        <v>1.3</v>
      </c>
      <c r="B10" s="459" t="s">
        <v>434</v>
      </c>
      <c r="C10" s="456">
        <v>0</v>
      </c>
      <c r="D10" s="460">
        <v>0.08</v>
      </c>
      <c r="E10" s="455">
        <f>C10*D10</f>
        <v>0</v>
      </c>
      <c r="F10" s="456">
        <v>0</v>
      </c>
      <c r="G10" s="456">
        <v>0</v>
      </c>
      <c r="H10" s="456">
        <v>0</v>
      </c>
      <c r="I10" s="456">
        <v>0</v>
      </c>
      <c r="J10" s="456">
        <v>0</v>
      </c>
      <c r="K10" s="456">
        <v>0</v>
      </c>
      <c r="L10" s="456">
        <v>0</v>
      </c>
      <c r="M10" s="456">
        <v>0</v>
      </c>
      <c r="N10" s="457">
        <v>0</v>
      </c>
      <c r="O10" s="458"/>
    </row>
    <row r="11" spans="1:15" x14ac:dyDescent="0.3">
      <c r="A11" s="451">
        <v>1.4</v>
      </c>
      <c r="B11" s="459" t="s">
        <v>435</v>
      </c>
      <c r="C11" s="456">
        <v>0</v>
      </c>
      <c r="D11" s="460">
        <v>0.11</v>
      </c>
      <c r="E11" s="455">
        <f>C11*D11</f>
        <v>0</v>
      </c>
      <c r="F11" s="456">
        <v>0</v>
      </c>
      <c r="G11" s="456">
        <v>0</v>
      </c>
      <c r="H11" s="456">
        <v>0</v>
      </c>
      <c r="I11" s="456">
        <v>0</v>
      </c>
      <c r="J11" s="456">
        <v>0</v>
      </c>
      <c r="K11" s="456">
        <v>0</v>
      </c>
      <c r="L11" s="456">
        <v>0</v>
      </c>
      <c r="M11" s="456">
        <v>0</v>
      </c>
      <c r="N11" s="457">
        <v>0</v>
      </c>
      <c r="O11" s="458"/>
    </row>
    <row r="12" spans="1:15" x14ac:dyDescent="0.3">
      <c r="A12" s="451">
        <v>1.5</v>
      </c>
      <c r="B12" s="459" t="s">
        <v>436</v>
      </c>
      <c r="C12" s="456">
        <v>0</v>
      </c>
      <c r="D12" s="460">
        <v>0.14000000000000001</v>
      </c>
      <c r="E12" s="455">
        <f>C12*D12</f>
        <v>0</v>
      </c>
      <c r="F12" s="456">
        <v>0</v>
      </c>
      <c r="G12" s="456">
        <v>0</v>
      </c>
      <c r="H12" s="456">
        <v>0</v>
      </c>
      <c r="I12" s="456">
        <v>0</v>
      </c>
      <c r="J12" s="456">
        <v>0</v>
      </c>
      <c r="K12" s="456">
        <v>0</v>
      </c>
      <c r="L12" s="456">
        <v>0</v>
      </c>
      <c r="M12" s="456">
        <v>0</v>
      </c>
      <c r="N12" s="457">
        <v>0</v>
      </c>
      <c r="O12" s="458"/>
    </row>
    <row r="13" spans="1:15" x14ac:dyDescent="0.3">
      <c r="A13" s="451">
        <v>1.6</v>
      </c>
      <c r="B13" s="461" t="s">
        <v>437</v>
      </c>
      <c r="C13" s="456">
        <v>0</v>
      </c>
      <c r="D13" s="462"/>
      <c r="E13" s="456"/>
      <c r="F13" s="456">
        <v>0</v>
      </c>
      <c r="G13" s="456">
        <v>0</v>
      </c>
      <c r="H13" s="456">
        <v>0</v>
      </c>
      <c r="I13" s="456">
        <v>0</v>
      </c>
      <c r="J13" s="456">
        <v>0</v>
      </c>
      <c r="K13" s="456">
        <v>0</v>
      </c>
      <c r="L13" s="456">
        <v>0</v>
      </c>
      <c r="M13" s="456">
        <v>0</v>
      </c>
      <c r="N13" s="457">
        <v>0</v>
      </c>
      <c r="O13" s="458"/>
    </row>
    <row r="14" spans="1:15" x14ac:dyDescent="0.3">
      <c r="A14" s="451">
        <v>2</v>
      </c>
      <c r="B14" s="463" t="s">
        <v>438</v>
      </c>
      <c r="C14" s="453">
        <f>SUM(C15:C20)</f>
        <v>0</v>
      </c>
      <c r="D14" s="454"/>
      <c r="E14" s="455">
        <f>SUM(E15:E19)</f>
        <v>0</v>
      </c>
      <c r="F14" s="456">
        <v>0</v>
      </c>
      <c r="G14" s="456">
        <v>0</v>
      </c>
      <c r="H14" s="456">
        <v>0</v>
      </c>
      <c r="I14" s="456">
        <v>0</v>
      </c>
      <c r="J14" s="456">
        <v>0</v>
      </c>
      <c r="K14" s="456">
        <v>0</v>
      </c>
      <c r="L14" s="456">
        <v>0</v>
      </c>
      <c r="M14" s="456">
        <v>0</v>
      </c>
      <c r="N14" s="457">
        <v>0</v>
      </c>
      <c r="O14" s="458"/>
    </row>
    <row r="15" spans="1:15" x14ac:dyDescent="0.3">
      <c r="A15" s="451">
        <v>2.1</v>
      </c>
      <c r="B15" s="461" t="s">
        <v>432</v>
      </c>
      <c r="C15" s="456">
        <v>0</v>
      </c>
      <c r="D15" s="460">
        <v>5.0000000000000001E-3</v>
      </c>
      <c r="E15" s="455">
        <f>D15*C15</f>
        <v>0</v>
      </c>
      <c r="F15" s="456">
        <v>0</v>
      </c>
      <c r="G15" s="456">
        <v>0</v>
      </c>
      <c r="H15" s="456">
        <v>0</v>
      </c>
      <c r="I15" s="456">
        <v>0</v>
      </c>
      <c r="J15" s="456">
        <v>0</v>
      </c>
      <c r="K15" s="456">
        <v>0</v>
      </c>
      <c r="L15" s="456">
        <v>0</v>
      </c>
      <c r="M15" s="456">
        <v>0</v>
      </c>
      <c r="N15" s="457">
        <v>0</v>
      </c>
      <c r="O15" s="458"/>
    </row>
    <row r="16" spans="1:15" x14ac:dyDescent="0.3">
      <c r="A16" s="451">
        <v>2.2000000000000002</v>
      </c>
      <c r="B16" s="461" t="s">
        <v>433</v>
      </c>
      <c r="C16" s="456">
        <v>0</v>
      </c>
      <c r="D16" s="460">
        <v>0.01</v>
      </c>
      <c r="E16" s="455">
        <f>D16*C16</f>
        <v>0</v>
      </c>
      <c r="F16" s="456">
        <v>0</v>
      </c>
      <c r="G16" s="456">
        <v>0</v>
      </c>
      <c r="H16" s="456">
        <v>0</v>
      </c>
      <c r="I16" s="456">
        <v>0</v>
      </c>
      <c r="J16" s="456">
        <v>0</v>
      </c>
      <c r="K16" s="456">
        <v>0</v>
      </c>
      <c r="L16" s="456">
        <v>0</v>
      </c>
      <c r="M16" s="456">
        <v>0</v>
      </c>
      <c r="N16" s="457">
        <v>0</v>
      </c>
      <c r="O16" s="458"/>
    </row>
    <row r="17" spans="1:15" x14ac:dyDescent="0.3">
      <c r="A17" s="451">
        <v>2.2999999999999998</v>
      </c>
      <c r="B17" s="461" t="s">
        <v>434</v>
      </c>
      <c r="C17" s="456">
        <v>0</v>
      </c>
      <c r="D17" s="460">
        <v>0.02</v>
      </c>
      <c r="E17" s="455">
        <f>D17*C17</f>
        <v>0</v>
      </c>
      <c r="F17" s="456">
        <v>0</v>
      </c>
      <c r="G17" s="456">
        <v>0</v>
      </c>
      <c r="H17" s="456">
        <v>0</v>
      </c>
      <c r="I17" s="456">
        <v>0</v>
      </c>
      <c r="J17" s="456">
        <v>0</v>
      </c>
      <c r="K17" s="456">
        <v>0</v>
      </c>
      <c r="L17" s="456">
        <v>0</v>
      </c>
      <c r="M17" s="456">
        <v>0</v>
      </c>
      <c r="N17" s="457">
        <v>0</v>
      </c>
      <c r="O17" s="458"/>
    </row>
    <row r="18" spans="1:15" x14ac:dyDescent="0.3">
      <c r="A18" s="451">
        <v>2.4</v>
      </c>
      <c r="B18" s="461" t="s">
        <v>435</v>
      </c>
      <c r="C18" s="456">
        <v>0</v>
      </c>
      <c r="D18" s="460">
        <v>0.03</v>
      </c>
      <c r="E18" s="455">
        <f>D18*C18</f>
        <v>0</v>
      </c>
      <c r="F18" s="456">
        <v>0</v>
      </c>
      <c r="G18" s="456">
        <v>0</v>
      </c>
      <c r="H18" s="456">
        <v>0</v>
      </c>
      <c r="I18" s="456">
        <v>0</v>
      </c>
      <c r="J18" s="456">
        <v>0</v>
      </c>
      <c r="K18" s="456">
        <v>0</v>
      </c>
      <c r="L18" s="456">
        <v>0</v>
      </c>
      <c r="M18" s="456">
        <v>0</v>
      </c>
      <c r="N18" s="457">
        <v>0</v>
      </c>
      <c r="O18" s="458"/>
    </row>
    <row r="19" spans="1:15" x14ac:dyDescent="0.3">
      <c r="A19" s="451">
        <v>2.5</v>
      </c>
      <c r="B19" s="461" t="s">
        <v>436</v>
      </c>
      <c r="C19" s="456">
        <v>0</v>
      </c>
      <c r="D19" s="460">
        <v>0.04</v>
      </c>
      <c r="E19" s="455">
        <f>D19*C19</f>
        <v>0</v>
      </c>
      <c r="F19" s="456">
        <v>0</v>
      </c>
      <c r="G19" s="456">
        <v>0</v>
      </c>
      <c r="H19" s="456">
        <v>0</v>
      </c>
      <c r="I19" s="456">
        <v>0</v>
      </c>
      <c r="J19" s="456">
        <v>0</v>
      </c>
      <c r="K19" s="456">
        <v>0</v>
      </c>
      <c r="L19" s="456">
        <v>0</v>
      </c>
      <c r="M19" s="456">
        <v>0</v>
      </c>
      <c r="N19" s="457">
        <v>0</v>
      </c>
      <c r="O19" s="458"/>
    </row>
    <row r="20" spans="1:15" x14ac:dyDescent="0.3">
      <c r="A20" s="451">
        <v>2.6</v>
      </c>
      <c r="B20" s="461" t="s">
        <v>437</v>
      </c>
      <c r="C20" s="456">
        <v>0</v>
      </c>
      <c r="D20" s="462"/>
      <c r="E20" s="464"/>
      <c r="F20" s="456">
        <v>0</v>
      </c>
      <c r="G20" s="456">
        <v>0</v>
      </c>
      <c r="H20" s="456">
        <v>0</v>
      </c>
      <c r="I20" s="456">
        <v>0</v>
      </c>
      <c r="J20" s="456">
        <v>0</v>
      </c>
      <c r="K20" s="456">
        <v>0</v>
      </c>
      <c r="L20" s="456">
        <v>0</v>
      </c>
      <c r="M20" s="456">
        <v>0</v>
      </c>
      <c r="N20" s="457">
        <v>0</v>
      </c>
      <c r="O20" s="458"/>
    </row>
    <row r="21" spans="1:15" ht="15.75" thickBot="1" x14ac:dyDescent="0.35">
      <c r="A21" s="465">
        <v>3</v>
      </c>
      <c r="B21" s="466" t="s">
        <v>76</v>
      </c>
      <c r="C21" s="467">
        <f>C7+C14</f>
        <v>55266418.799999997</v>
      </c>
      <c r="D21" s="468"/>
      <c r="E21" s="469">
        <f>SUM(E7+E14)</f>
        <v>1105328.3759999999</v>
      </c>
      <c r="F21" s="456">
        <v>0</v>
      </c>
      <c r="G21" s="456">
        <v>0</v>
      </c>
      <c r="H21" s="456">
        <v>0</v>
      </c>
      <c r="I21" s="456">
        <v>0</v>
      </c>
      <c r="J21" s="456">
        <v>0</v>
      </c>
      <c r="K21" s="456">
        <v>0</v>
      </c>
      <c r="L21" s="456">
        <v>0</v>
      </c>
      <c r="M21" s="456">
        <v>0</v>
      </c>
      <c r="N21" s="457">
        <v>1105328.3759999999</v>
      </c>
      <c r="O21" s="458"/>
    </row>
    <row r="22" spans="1:15" x14ac:dyDescent="0.3">
      <c r="C22" s="470"/>
      <c r="D22" s="470"/>
      <c r="E22" s="471"/>
      <c r="F22" s="471"/>
      <c r="G22" s="471"/>
      <c r="H22" s="471"/>
      <c r="I22" s="471"/>
      <c r="J22" s="471"/>
      <c r="K22" s="471"/>
      <c r="L22" s="471"/>
      <c r="M22" s="471"/>
      <c r="N22" s="470"/>
      <c r="O22" s="458"/>
    </row>
    <row r="23" spans="1:15" x14ac:dyDescent="0.3">
      <c r="C23" s="470"/>
      <c r="D23" s="470"/>
      <c r="E23" s="470"/>
      <c r="F23" s="470"/>
      <c r="G23" s="470"/>
      <c r="H23" s="470"/>
      <c r="I23" s="470"/>
      <c r="J23" s="470"/>
      <c r="K23" s="470"/>
      <c r="L23" s="470"/>
      <c r="M23" s="470"/>
      <c r="N23" s="470"/>
      <c r="O23" s="458"/>
    </row>
    <row r="24" spans="1:15" x14ac:dyDescent="0.3">
      <c r="C24" s="470"/>
      <c r="D24" s="470"/>
      <c r="E24" s="470"/>
      <c r="F24" s="470"/>
      <c r="G24" s="470"/>
      <c r="H24" s="470"/>
      <c r="I24" s="470"/>
      <c r="J24" s="470"/>
      <c r="K24" s="470"/>
      <c r="L24" s="470"/>
      <c r="M24" s="470"/>
      <c r="N24" s="470"/>
      <c r="O24" s="45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H41"/>
  <sheetViews>
    <sheetView showGridLines="0" zoomScaleNormal="100" workbookViewId="0">
      <pane xSplit="1" ySplit="5" topLeftCell="B26" activePane="bottomRight" state="frozen"/>
      <selection activeCell="P24" sqref="P24:Q24"/>
      <selection pane="topRight" activeCell="P24" sqref="P24:Q24"/>
      <selection pane="bottomLeft" activeCell="P24" sqref="P24:Q24"/>
      <selection pane="bottomRight" activeCell="F36" sqref="F36"/>
    </sheetView>
  </sheetViews>
  <sheetFormatPr defaultRowHeight="15.75" x14ac:dyDescent="0.3"/>
  <cols>
    <col min="1" max="1" width="9.5703125" style="79" bestFit="1" customWidth="1"/>
    <col min="2" max="2" width="86" style="24" customWidth="1"/>
    <col min="3" max="3" width="12.7109375" style="24" customWidth="1"/>
    <col min="4" max="4" width="12" style="22" bestFit="1" customWidth="1"/>
    <col min="5" max="5" width="14" style="22" bestFit="1" customWidth="1"/>
    <col min="6" max="6" width="13.7109375" style="22" bestFit="1" customWidth="1"/>
    <col min="7" max="7" width="13.28515625" style="22" bestFit="1" customWidth="1"/>
    <col min="8" max="13" width="6.7109375" customWidth="1"/>
  </cols>
  <sheetData>
    <row r="1" spans="1:8" x14ac:dyDescent="0.3">
      <c r="A1" s="23" t="s">
        <v>29</v>
      </c>
      <c r="B1" s="24" t="s">
        <v>30</v>
      </c>
    </row>
    <row r="2" spans="1:8" x14ac:dyDescent="0.3">
      <c r="A2" s="23" t="s">
        <v>31</v>
      </c>
      <c r="B2" s="25">
        <v>43281</v>
      </c>
      <c r="C2" s="26"/>
      <c r="D2" s="27"/>
      <c r="E2" s="27"/>
      <c r="F2" s="27"/>
      <c r="G2" s="27"/>
      <c r="H2" s="28"/>
    </row>
    <row r="3" spans="1:8" x14ac:dyDescent="0.3">
      <c r="A3" s="23"/>
      <c r="C3" s="26"/>
      <c r="D3" s="27"/>
      <c r="E3" s="27"/>
      <c r="F3" s="27"/>
      <c r="G3" s="27"/>
      <c r="H3" s="28"/>
    </row>
    <row r="4" spans="1:8" ht="16.5" thickBot="1" x14ac:dyDescent="0.35">
      <c r="A4" s="29" t="s">
        <v>32</v>
      </c>
      <c r="B4" s="30" t="s">
        <v>12</v>
      </c>
      <c r="C4" s="31"/>
      <c r="D4" s="32"/>
      <c r="E4" s="32"/>
      <c r="F4" s="32"/>
      <c r="G4" s="32"/>
      <c r="H4" s="28"/>
    </row>
    <row r="5" spans="1:8" ht="15" x14ac:dyDescent="0.25">
      <c r="A5" s="33" t="s">
        <v>33</v>
      </c>
      <c r="B5" s="34"/>
      <c r="C5" s="35">
        <f>B2</f>
        <v>43281</v>
      </c>
      <c r="D5" s="36">
        <f>EOMONTH(C5,-3)</f>
        <v>43190</v>
      </c>
      <c r="E5" s="36">
        <f>EOMONTH(D5,-3)</f>
        <v>43100</v>
      </c>
      <c r="F5" s="36">
        <f>EOMONTH(E5,-3)</f>
        <v>43008</v>
      </c>
      <c r="G5" s="37">
        <f>EOMONTH(F5,-3)</f>
        <v>42916</v>
      </c>
    </row>
    <row r="6" spans="1:8" ht="15" x14ac:dyDescent="0.25">
      <c r="A6" s="38"/>
      <c r="B6" s="39" t="s">
        <v>34</v>
      </c>
      <c r="C6" s="40"/>
      <c r="D6" s="40"/>
      <c r="E6" s="40"/>
      <c r="F6" s="40"/>
      <c r="G6" s="41"/>
    </row>
    <row r="7" spans="1:8" ht="15" x14ac:dyDescent="0.25">
      <c r="A7" s="38"/>
      <c r="B7" s="42" t="s">
        <v>35</v>
      </c>
      <c r="C7" s="40"/>
      <c r="D7" s="40"/>
      <c r="E7" s="40"/>
      <c r="F7" s="40"/>
      <c r="G7" s="41"/>
    </row>
    <row r="8" spans="1:8" ht="15" x14ac:dyDescent="0.25">
      <c r="A8" s="43">
        <v>1</v>
      </c>
      <c r="B8" s="44" t="s">
        <v>36</v>
      </c>
      <c r="C8" s="45">
        <v>94908862.550000057</v>
      </c>
      <c r="D8" s="46">
        <v>92825052.120000005</v>
      </c>
      <c r="E8" s="46">
        <v>86418620.990000039</v>
      </c>
      <c r="F8" s="46">
        <v>80276998.800000042</v>
      </c>
      <c r="G8" s="47">
        <v>76989937.570000023</v>
      </c>
    </row>
    <row r="9" spans="1:8" ht="15" x14ac:dyDescent="0.25">
      <c r="A9" s="43">
        <v>2</v>
      </c>
      <c r="B9" s="44" t="s">
        <v>37</v>
      </c>
      <c r="C9" s="45">
        <v>94908862.550000057</v>
      </c>
      <c r="D9" s="46">
        <v>92825052.120000005</v>
      </c>
      <c r="E9" s="46">
        <v>86418620.990000039</v>
      </c>
      <c r="F9" s="46">
        <v>80276998.800000042</v>
      </c>
      <c r="G9" s="47">
        <v>76989937.570000023</v>
      </c>
    </row>
    <row r="10" spans="1:8" ht="15" x14ac:dyDescent="0.25">
      <c r="A10" s="43">
        <v>3</v>
      </c>
      <c r="B10" s="44" t="s">
        <v>20</v>
      </c>
      <c r="C10" s="45">
        <v>136088077.15687615</v>
      </c>
      <c r="D10" s="46">
        <v>132953520.73705798</v>
      </c>
      <c r="E10" s="46">
        <v>122109789.42072555</v>
      </c>
      <c r="F10" s="46">
        <v>116230334.65000011</v>
      </c>
      <c r="G10" s="47">
        <v>112842341.49569386</v>
      </c>
    </row>
    <row r="11" spans="1:8" ht="15" x14ac:dyDescent="0.25">
      <c r="A11" s="38"/>
      <c r="B11" s="39" t="s">
        <v>38</v>
      </c>
      <c r="C11" s="48"/>
      <c r="D11" s="48"/>
      <c r="E11" s="48"/>
      <c r="F11" s="48"/>
      <c r="G11" s="49"/>
    </row>
    <row r="12" spans="1:8" ht="15" customHeight="1" x14ac:dyDescent="0.25">
      <c r="A12" s="43">
        <v>4</v>
      </c>
      <c r="B12" s="44" t="s">
        <v>39</v>
      </c>
      <c r="C12" s="50">
        <v>794408612.00883698</v>
      </c>
      <c r="D12" s="46">
        <v>747728329.12338781</v>
      </c>
      <c r="E12" s="51">
        <v>727269059.01679111</v>
      </c>
      <c r="F12" s="51">
        <v>820727867.01928318</v>
      </c>
      <c r="G12" s="52">
        <v>774395368.41360295</v>
      </c>
    </row>
    <row r="13" spans="1:8" ht="15" x14ac:dyDescent="0.25">
      <c r="A13" s="38"/>
      <c r="B13" s="39" t="s">
        <v>40</v>
      </c>
      <c r="C13" s="40"/>
      <c r="D13" s="40"/>
      <c r="E13" s="40"/>
      <c r="F13" s="40"/>
      <c r="G13" s="41"/>
    </row>
    <row r="14" spans="1:8" s="21" customFormat="1" ht="15" x14ac:dyDescent="0.25">
      <c r="A14" s="43"/>
      <c r="B14" s="42" t="s">
        <v>41</v>
      </c>
      <c r="C14" s="40"/>
      <c r="D14" s="40"/>
      <c r="E14" s="40"/>
      <c r="F14" s="40"/>
      <c r="G14" s="41"/>
    </row>
    <row r="15" spans="1:8" ht="15" x14ac:dyDescent="0.25">
      <c r="A15" s="53">
        <v>5</v>
      </c>
      <c r="B15" s="54" t="s">
        <v>42</v>
      </c>
      <c r="C15" s="55">
        <f>C8/C12</f>
        <v>0.11947108970785464</v>
      </c>
      <c r="D15" s="56">
        <v>0.12414275145737096</v>
      </c>
      <c r="E15" s="56">
        <v>0.1188262032030223</v>
      </c>
      <c r="F15" s="56">
        <v>9.7811956954196991E-2</v>
      </c>
      <c r="G15" s="57">
        <v>9.9419418956131794E-2</v>
      </c>
    </row>
    <row r="16" spans="1:8" ht="15" customHeight="1" x14ac:dyDescent="0.25">
      <c r="A16" s="53">
        <v>6</v>
      </c>
      <c r="B16" s="54" t="s">
        <v>43</v>
      </c>
      <c r="C16" s="55">
        <f>C9/C12</f>
        <v>0.11947108970785464</v>
      </c>
      <c r="D16" s="56">
        <v>0.12414275145737096</v>
      </c>
      <c r="E16" s="56">
        <v>0.1188262032030223</v>
      </c>
      <c r="F16" s="56">
        <v>9.7811956954196991E-2</v>
      </c>
      <c r="G16" s="57">
        <v>9.9419418956131794E-2</v>
      </c>
    </row>
    <row r="17" spans="1:7" ht="15" x14ac:dyDescent="0.25">
      <c r="A17" s="53">
        <v>7</v>
      </c>
      <c r="B17" s="54" t="s">
        <v>44</v>
      </c>
      <c r="C17" s="55">
        <f>C10/C12</f>
        <v>0.1713074041490405</v>
      </c>
      <c r="D17" s="56">
        <v>0.17780992849759797</v>
      </c>
      <c r="E17" s="56">
        <v>0.16790180732534959</v>
      </c>
      <c r="F17" s="56">
        <v>0.14161860382799607</v>
      </c>
      <c r="G17" s="57">
        <v>0.14571670505578876</v>
      </c>
    </row>
    <row r="18" spans="1:7" ht="15" x14ac:dyDescent="0.25">
      <c r="A18" s="38"/>
      <c r="B18" s="39" t="s">
        <v>45</v>
      </c>
      <c r="C18" s="58"/>
      <c r="D18" s="58"/>
      <c r="E18" s="58"/>
      <c r="F18" s="58"/>
      <c r="G18" s="59"/>
    </row>
    <row r="19" spans="1:7" ht="15" customHeight="1" x14ac:dyDescent="0.25">
      <c r="A19" s="60">
        <v>8</v>
      </c>
      <c r="B19" s="61" t="s">
        <v>46</v>
      </c>
      <c r="C19" s="62">
        <v>8.741940406276659E-2</v>
      </c>
      <c r="D19" s="63">
        <v>8.671732191171054E-2</v>
      </c>
      <c r="E19" s="63">
        <v>8.4892746707452449E-2</v>
      </c>
      <c r="F19" s="63">
        <v>8.4367337093536471E-2</v>
      </c>
      <c r="G19" s="64">
        <v>8.3581928966828076E-2</v>
      </c>
    </row>
    <row r="20" spans="1:7" ht="15" x14ac:dyDescent="0.25">
      <c r="A20" s="60">
        <v>9</v>
      </c>
      <c r="B20" s="61" t="s">
        <v>47</v>
      </c>
      <c r="C20" s="62">
        <v>4.1009941820879421E-2</v>
      </c>
      <c r="D20" s="63">
        <v>4.0575690364854707E-2</v>
      </c>
      <c r="E20" s="63">
        <v>4.1080132040917809E-2</v>
      </c>
      <c r="F20" s="63">
        <v>4.1014626567217452E-2</v>
      </c>
      <c r="G20" s="64">
        <v>4.1196113379557274E-2</v>
      </c>
    </row>
    <row r="21" spans="1:7" ht="15" x14ac:dyDescent="0.25">
      <c r="A21" s="60">
        <v>10</v>
      </c>
      <c r="B21" s="61" t="s">
        <v>48</v>
      </c>
      <c r="C21" s="62">
        <v>4.0445877118280446E-2</v>
      </c>
      <c r="D21" s="63">
        <v>4.2470864108732423E-2</v>
      </c>
      <c r="E21" s="63">
        <v>2.0091008076554968E-2</v>
      </c>
      <c r="F21" s="63">
        <v>2.7341690073535697E-2</v>
      </c>
      <c r="G21" s="64">
        <v>2.8878472911685538E-2</v>
      </c>
    </row>
    <row r="22" spans="1:7" ht="15" x14ac:dyDescent="0.25">
      <c r="A22" s="60">
        <v>11</v>
      </c>
      <c r="B22" s="61" t="s">
        <v>49</v>
      </c>
      <c r="C22" s="62">
        <v>4.6409462241887176E-2</v>
      </c>
      <c r="D22" s="63">
        <v>4.6141631546855841E-2</v>
      </c>
      <c r="E22" s="63">
        <v>4.381261466653464E-2</v>
      </c>
      <c r="F22" s="63">
        <v>4.3352710526319026E-2</v>
      </c>
      <c r="G22" s="64">
        <v>4.2385815587270802E-2</v>
      </c>
    </row>
    <row r="23" spans="1:7" ht="15" x14ac:dyDescent="0.25">
      <c r="A23" s="60">
        <v>12</v>
      </c>
      <c r="B23" s="61" t="s">
        <v>50</v>
      </c>
      <c r="C23" s="62">
        <v>2.0847637079722849E-2</v>
      </c>
      <c r="D23" s="63">
        <v>3.0768530429161476E-2</v>
      </c>
      <c r="E23" s="63">
        <v>2.2564253094255991E-2</v>
      </c>
      <c r="F23" s="63">
        <v>2.0408431019269015E-2</v>
      </c>
      <c r="G23" s="64">
        <v>2.313427262294393E-2</v>
      </c>
    </row>
    <row r="24" spans="1:7" ht="15" x14ac:dyDescent="0.25">
      <c r="A24" s="60">
        <v>13</v>
      </c>
      <c r="B24" s="61" t="s">
        <v>51</v>
      </c>
      <c r="C24" s="62">
        <v>0.14485253633754028</v>
      </c>
      <c r="D24" s="63">
        <v>0.21010986350153546</v>
      </c>
      <c r="E24" s="63">
        <v>0.15264656626361772</v>
      </c>
      <c r="F24" s="63">
        <v>0.13602644401600769</v>
      </c>
      <c r="G24" s="64">
        <v>0.15366679493746499</v>
      </c>
    </row>
    <row r="25" spans="1:7" ht="15" x14ac:dyDescent="0.25">
      <c r="A25" s="38"/>
      <c r="B25" s="39" t="s">
        <v>52</v>
      </c>
      <c r="C25" s="58"/>
      <c r="D25" s="58"/>
      <c r="E25" s="58"/>
      <c r="F25" s="58"/>
      <c r="G25" s="59"/>
    </row>
    <row r="26" spans="1:7" ht="15" x14ac:dyDescent="0.25">
      <c r="A26" s="60">
        <v>14</v>
      </c>
      <c r="B26" s="61" t="s">
        <v>53</v>
      </c>
      <c r="C26" s="62">
        <v>8.3458272289065702E-2</v>
      </c>
      <c r="D26" s="63">
        <v>8.5745142120549747E-2</v>
      </c>
      <c r="E26" s="63">
        <v>9.7262617647571561E-2</v>
      </c>
      <c r="F26" s="63">
        <v>0.1091019663675519</v>
      </c>
      <c r="G26" s="64">
        <v>0.10739597136539608</v>
      </c>
    </row>
    <row r="27" spans="1:7" ht="15" customHeight="1" x14ac:dyDescent="0.25">
      <c r="A27" s="60">
        <v>15</v>
      </c>
      <c r="B27" s="61" t="s">
        <v>54</v>
      </c>
      <c r="C27" s="62">
        <f>-'2. RC'!E13/'2. RC'!E12</f>
        <v>6.7439657670493272E-2</v>
      </c>
      <c r="D27" s="63">
        <v>6.8102870081933622E-2</v>
      </c>
      <c r="E27" s="63">
        <v>7.2598191808898455E-2</v>
      </c>
      <c r="F27" s="63">
        <v>7.8455755268035554E-2</v>
      </c>
      <c r="G27" s="64">
        <v>7.9771539451083062E-2</v>
      </c>
    </row>
    <row r="28" spans="1:7" ht="15" x14ac:dyDescent="0.25">
      <c r="A28" s="60">
        <v>16</v>
      </c>
      <c r="B28" s="61" t="s">
        <v>55</v>
      </c>
      <c r="C28" s="62">
        <f>'2. RC'!D12/'2. RC'!E12</f>
        <v>0.58734311606747069</v>
      </c>
      <c r="D28" s="63">
        <v>0.58183917833908239</v>
      </c>
      <c r="E28" s="63">
        <v>0.60033070747450434</v>
      </c>
      <c r="F28" s="63">
        <v>0.59185938601929944</v>
      </c>
      <c r="G28" s="64">
        <v>0.59440885081266359</v>
      </c>
    </row>
    <row r="29" spans="1:7" ht="15" customHeight="1" x14ac:dyDescent="0.25">
      <c r="A29" s="60">
        <v>17</v>
      </c>
      <c r="B29" s="61" t="s">
        <v>56</v>
      </c>
      <c r="C29" s="62">
        <f>'2. RC'!D20/'2. RC'!E20</f>
        <v>0.56651575688460065</v>
      </c>
      <c r="D29" s="63">
        <v>0.55064467670105388</v>
      </c>
      <c r="E29" s="63">
        <v>0.56665000812329047</v>
      </c>
      <c r="F29" s="63">
        <v>0.55869863553493837</v>
      </c>
      <c r="G29" s="64">
        <v>0.5563357530136922</v>
      </c>
    </row>
    <row r="30" spans="1:7" ht="15" x14ac:dyDescent="0.25">
      <c r="A30" s="60">
        <v>18</v>
      </c>
      <c r="B30" s="61" t="s">
        <v>57</v>
      </c>
      <c r="C30" s="62">
        <v>7.4410624316078866E-2</v>
      </c>
      <c r="D30" s="63">
        <v>3.5698723025868219E-2</v>
      </c>
      <c r="E30" s="63">
        <v>0.2169869978670782</v>
      </c>
      <c r="F30" s="63">
        <v>6.3938086151056603E-2</v>
      </c>
      <c r="G30" s="64">
        <v>9.8898369682243192E-4</v>
      </c>
    </row>
    <row r="31" spans="1:7" ht="15" customHeight="1" x14ac:dyDescent="0.25">
      <c r="A31" s="38"/>
      <c r="B31" s="39" t="s">
        <v>58</v>
      </c>
      <c r="C31" s="58"/>
      <c r="D31" s="58"/>
      <c r="E31" s="58"/>
      <c r="F31" s="58"/>
      <c r="G31" s="59"/>
    </row>
    <row r="32" spans="1:7" ht="15" customHeight="1" x14ac:dyDescent="0.25">
      <c r="A32" s="60">
        <v>19</v>
      </c>
      <c r="B32" s="61" t="s">
        <v>59</v>
      </c>
      <c r="C32" s="62">
        <v>0.19620111173767418</v>
      </c>
      <c r="D32" s="65">
        <v>0.18480733631856588</v>
      </c>
      <c r="E32" s="62">
        <v>0.20260758152481739</v>
      </c>
      <c r="F32" s="62">
        <v>0.22836243902034337</v>
      </c>
      <c r="G32" s="66">
        <v>0.22801127678310126</v>
      </c>
    </row>
    <row r="33" spans="1:7" ht="15" customHeight="1" x14ac:dyDescent="0.25">
      <c r="A33" s="60">
        <v>20</v>
      </c>
      <c r="B33" s="61" t="s">
        <v>60</v>
      </c>
      <c r="C33" s="62">
        <f>'2. RC'!D31/'2. RC'!E31</f>
        <v>0.59599686044091804</v>
      </c>
      <c r="D33" s="65">
        <v>0.60297664905160531</v>
      </c>
      <c r="E33" s="62">
        <v>0.61988190364392592</v>
      </c>
      <c r="F33" s="62">
        <v>0.63515488048026492</v>
      </c>
      <c r="G33" s="66">
        <v>0.63566945281139131</v>
      </c>
    </row>
    <row r="34" spans="1:7" ht="15" x14ac:dyDescent="0.25">
      <c r="A34" s="60">
        <v>21</v>
      </c>
      <c r="B34" s="67" t="s">
        <v>61</v>
      </c>
      <c r="C34" s="62">
        <f>('2. RC'!E23+'2. RC'!E24)/'2. RC'!E20</f>
        <v>0.42671311014664604</v>
      </c>
      <c r="D34" s="62">
        <v>0.4263006892164915</v>
      </c>
      <c r="E34" s="62">
        <v>0.44026071596889438</v>
      </c>
      <c r="F34" s="62">
        <v>0.41671081771474339</v>
      </c>
      <c r="G34" s="66">
        <v>0.48095831033221031</v>
      </c>
    </row>
    <row r="35" spans="1:7" ht="15" x14ac:dyDescent="0.25">
      <c r="A35" s="68"/>
      <c r="B35" s="39" t="s">
        <v>62</v>
      </c>
      <c r="C35" s="40"/>
      <c r="D35" s="40"/>
      <c r="E35" s="40"/>
      <c r="F35" s="40"/>
      <c r="G35" s="41"/>
    </row>
    <row r="36" spans="1:7" ht="15" customHeight="1" x14ac:dyDescent="0.25">
      <c r="A36" s="60">
        <v>22</v>
      </c>
      <c r="B36" s="69" t="s">
        <v>63</v>
      </c>
      <c r="C36" s="70">
        <f>'14. LCR'!H23</f>
        <v>152659646.98564747</v>
      </c>
      <c r="D36" s="70">
        <v>150509788.78674278</v>
      </c>
      <c r="E36" s="70">
        <v>165420418.31116581</v>
      </c>
      <c r="F36" s="70"/>
      <c r="G36" s="71"/>
    </row>
    <row r="37" spans="1:7" ht="15" x14ac:dyDescent="0.25">
      <c r="A37" s="60">
        <v>23</v>
      </c>
      <c r="B37" s="61" t="s">
        <v>64</v>
      </c>
      <c r="C37" s="70">
        <f>'14. LCR'!$H$24</f>
        <v>136318045.96331206</v>
      </c>
      <c r="D37" s="72">
        <v>140158471.51823699</v>
      </c>
      <c r="E37" s="72">
        <v>139229055.78276011</v>
      </c>
      <c r="F37" s="72"/>
      <c r="G37" s="73"/>
    </row>
    <row r="38" spans="1:7" thickBot="1" x14ac:dyDescent="0.3">
      <c r="A38" s="74">
        <v>24</v>
      </c>
      <c r="B38" s="75" t="s">
        <v>65</v>
      </c>
      <c r="C38" s="76">
        <f>C36/C37</f>
        <v>1.119878486423826</v>
      </c>
      <c r="D38" s="76">
        <v>1.0738543818035209</v>
      </c>
      <c r="E38" s="76">
        <f>E36/E37</f>
        <v>1.1881170735602218</v>
      </c>
      <c r="F38" s="76"/>
      <c r="G38" s="77"/>
    </row>
    <row r="39" spans="1:7" x14ac:dyDescent="0.3">
      <c r="A39" s="78"/>
    </row>
    <row r="40" spans="1:7" ht="39.75" x14ac:dyDescent="0.3">
      <c r="B40" s="80" t="s">
        <v>66</v>
      </c>
    </row>
    <row r="41" spans="1:7" ht="65.25" x14ac:dyDescent="0.3">
      <c r="B41" s="81" t="s">
        <v>67</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24" activePane="bottomRight" state="frozen"/>
      <selection activeCell="P24" sqref="P24:Q24"/>
      <selection pane="topRight" activeCell="P24" sqref="P24:Q24"/>
      <selection pane="bottomLeft" activeCell="P24" sqref="P24:Q24"/>
      <selection pane="bottomRight" activeCell="F15" sqref="F15"/>
    </sheetView>
  </sheetViews>
  <sheetFormatPr defaultRowHeight="15" x14ac:dyDescent="0.25"/>
  <cols>
    <col min="1" max="1" width="9.5703125" style="22" bestFit="1" customWidth="1"/>
    <col min="2" max="2" width="55.140625" style="22" bestFit="1" customWidth="1"/>
    <col min="3" max="3" width="14.42578125" style="22" bestFit="1" customWidth="1"/>
    <col min="4" max="4" width="14.7109375" style="22" bestFit="1" customWidth="1"/>
    <col min="5" max="6" width="14.42578125" style="22" bestFit="1" customWidth="1"/>
    <col min="7" max="7" width="14" style="22" bestFit="1" customWidth="1"/>
    <col min="8" max="8" width="14.5703125" style="22" customWidth="1"/>
  </cols>
  <sheetData>
    <row r="1" spans="1:8" ht="15.75" x14ac:dyDescent="0.3">
      <c r="A1" s="23" t="s">
        <v>29</v>
      </c>
      <c r="B1" s="22" t="str">
        <f>'1. key ratios'!B1</f>
        <v>სს ტერაბანკი</v>
      </c>
    </row>
    <row r="2" spans="1:8" ht="15.75" x14ac:dyDescent="0.3">
      <c r="A2" s="23" t="s">
        <v>31</v>
      </c>
      <c r="B2" s="82">
        <f>'1. key ratios'!B2</f>
        <v>43281</v>
      </c>
    </row>
    <row r="3" spans="1:8" ht="15.75" x14ac:dyDescent="0.3">
      <c r="A3" s="23"/>
    </row>
    <row r="4" spans="1:8" ht="16.5" thickBot="1" x14ac:dyDescent="0.35">
      <c r="A4" s="83" t="s">
        <v>68</v>
      </c>
      <c r="B4" s="84" t="s">
        <v>69</v>
      </c>
      <c r="C4" s="83"/>
      <c r="D4" s="85"/>
      <c r="E4" s="85"/>
      <c r="F4" s="83"/>
      <c r="G4" s="85"/>
      <c r="H4" s="86" t="s">
        <v>70</v>
      </c>
    </row>
    <row r="5" spans="1:8" ht="15.75" x14ac:dyDescent="0.3">
      <c r="A5" s="87"/>
      <c r="B5" s="88"/>
      <c r="C5" s="474" t="s">
        <v>71</v>
      </c>
      <c r="D5" s="475"/>
      <c r="E5" s="476"/>
      <c r="F5" s="474" t="s">
        <v>72</v>
      </c>
      <c r="G5" s="475"/>
      <c r="H5" s="477"/>
    </row>
    <row r="6" spans="1:8" ht="15.75" x14ac:dyDescent="0.3">
      <c r="A6" s="89" t="s">
        <v>33</v>
      </c>
      <c r="B6" s="90" t="s">
        <v>73</v>
      </c>
      <c r="C6" s="91" t="s">
        <v>74</v>
      </c>
      <c r="D6" s="91" t="s">
        <v>75</v>
      </c>
      <c r="E6" s="91" t="s">
        <v>76</v>
      </c>
      <c r="F6" s="91" t="s">
        <v>74</v>
      </c>
      <c r="G6" s="91" t="s">
        <v>75</v>
      </c>
      <c r="H6" s="92" t="s">
        <v>76</v>
      </c>
    </row>
    <row r="7" spans="1:8" ht="15.75" x14ac:dyDescent="0.3">
      <c r="A7" s="89">
        <v>1</v>
      </c>
      <c r="B7" s="93" t="s">
        <v>77</v>
      </c>
      <c r="C7" s="94">
        <v>15004201.770000001</v>
      </c>
      <c r="D7" s="94">
        <v>20048297.629999995</v>
      </c>
      <c r="E7" s="95">
        <f>C7+D7</f>
        <v>35052499.399999999</v>
      </c>
      <c r="F7" s="94">
        <v>11525402.950000001</v>
      </c>
      <c r="G7" s="94">
        <v>14833150.109999999</v>
      </c>
      <c r="H7" s="96">
        <f>F7+G7</f>
        <v>26358553.060000002</v>
      </c>
    </row>
    <row r="8" spans="1:8" ht="15.75" x14ac:dyDescent="0.3">
      <c r="A8" s="89">
        <v>2</v>
      </c>
      <c r="B8" s="93" t="s">
        <v>78</v>
      </c>
      <c r="C8" s="94">
        <v>13771047.189999999</v>
      </c>
      <c r="D8" s="94">
        <v>75358922.129999995</v>
      </c>
      <c r="E8" s="95">
        <f t="shared" ref="E8:E20" si="0">C8+D8</f>
        <v>89129969.319999993</v>
      </c>
      <c r="F8" s="94">
        <v>16986771.579999998</v>
      </c>
      <c r="G8" s="94">
        <v>76914991.799999997</v>
      </c>
      <c r="H8" s="96">
        <f t="shared" ref="H8:H40" si="1">F8+G8</f>
        <v>93901763.379999995</v>
      </c>
    </row>
    <row r="9" spans="1:8" ht="15.75" x14ac:dyDescent="0.3">
      <c r="A9" s="89">
        <v>3</v>
      </c>
      <c r="B9" s="93" t="s">
        <v>79</v>
      </c>
      <c r="C9" s="94">
        <v>758734.6399999999</v>
      </c>
      <c r="D9" s="94">
        <v>42012750.660000004</v>
      </c>
      <c r="E9" s="95">
        <f t="shared" si="0"/>
        <v>42771485.300000004</v>
      </c>
      <c r="F9" s="94">
        <v>78799.38</v>
      </c>
      <c r="G9" s="94">
        <v>26723658.039999999</v>
      </c>
      <c r="H9" s="96">
        <f t="shared" si="1"/>
        <v>26802457.419999998</v>
      </c>
    </row>
    <row r="10" spans="1:8" ht="15.75" x14ac:dyDescent="0.3">
      <c r="A10" s="89">
        <v>4</v>
      </c>
      <c r="B10" s="93" t="s">
        <v>80</v>
      </c>
      <c r="C10" s="94">
        <v>0</v>
      </c>
      <c r="D10" s="94">
        <v>0</v>
      </c>
      <c r="E10" s="95">
        <f t="shared" si="0"/>
        <v>0</v>
      </c>
      <c r="F10" s="94">
        <v>0</v>
      </c>
      <c r="G10" s="94">
        <v>0</v>
      </c>
      <c r="H10" s="96">
        <f t="shared" si="1"/>
        <v>0</v>
      </c>
    </row>
    <row r="11" spans="1:8" ht="15.75" x14ac:dyDescent="0.3">
      <c r="A11" s="89">
        <v>5</v>
      </c>
      <c r="B11" s="93" t="s">
        <v>81</v>
      </c>
      <c r="C11" s="94">
        <v>47611632.120000005</v>
      </c>
      <c r="D11" s="94">
        <v>0</v>
      </c>
      <c r="E11" s="95">
        <f t="shared" si="0"/>
        <v>47611632.120000005</v>
      </c>
      <c r="F11" s="94">
        <v>39835771.289999999</v>
      </c>
      <c r="G11" s="94">
        <v>0</v>
      </c>
      <c r="H11" s="96">
        <f t="shared" si="1"/>
        <v>39835771.289999999</v>
      </c>
    </row>
    <row r="12" spans="1:8" ht="15.75" x14ac:dyDescent="0.3">
      <c r="A12" s="89">
        <v>6.1</v>
      </c>
      <c r="B12" s="97" t="s">
        <v>82</v>
      </c>
      <c r="C12" s="94">
        <v>262113983.79999939</v>
      </c>
      <c r="D12" s="94">
        <v>373072278.70000005</v>
      </c>
      <c r="E12" s="95">
        <f t="shared" si="0"/>
        <v>635186262.4999994</v>
      </c>
      <c r="F12" s="94">
        <v>197225302.77999938</v>
      </c>
      <c r="G12" s="94">
        <v>289040985.76000023</v>
      </c>
      <c r="H12" s="96">
        <f t="shared" si="1"/>
        <v>486266288.5399996</v>
      </c>
    </row>
    <row r="13" spans="1:8" ht="15.75" x14ac:dyDescent="0.3">
      <c r="A13" s="89">
        <v>6.2</v>
      </c>
      <c r="B13" s="97" t="s">
        <v>83</v>
      </c>
      <c r="C13" s="98">
        <v>-17918305.619999185</v>
      </c>
      <c r="D13" s="98">
        <v>-24918438.480000854</v>
      </c>
      <c r="E13" s="99">
        <f t="shared" si="0"/>
        <v>-42836744.100000039</v>
      </c>
      <c r="F13" s="98">
        <v>-16749108.029999036</v>
      </c>
      <c r="G13" s="98">
        <v>-22041102.390001282</v>
      </c>
      <c r="H13" s="96">
        <f t="shared" si="1"/>
        <v>-38790210.420000315</v>
      </c>
    </row>
    <row r="14" spans="1:8" ht="15.75" x14ac:dyDescent="0.3">
      <c r="A14" s="89">
        <v>6</v>
      </c>
      <c r="B14" s="93" t="s">
        <v>84</v>
      </c>
      <c r="C14" s="95">
        <f>C12+C13</f>
        <v>244195678.18000019</v>
      </c>
      <c r="D14" s="95">
        <f>D12+D13</f>
        <v>348153840.21999919</v>
      </c>
      <c r="E14" s="95">
        <f t="shared" si="0"/>
        <v>592349518.39999938</v>
      </c>
      <c r="F14" s="95">
        <f>F12+F13</f>
        <v>180476194.75000033</v>
      </c>
      <c r="G14" s="95">
        <f>G12+G13</f>
        <v>266999883.36999893</v>
      </c>
      <c r="H14" s="96">
        <f t="shared" si="1"/>
        <v>447476078.11999929</v>
      </c>
    </row>
    <row r="15" spans="1:8" ht="15.75" x14ac:dyDescent="0.3">
      <c r="A15" s="89">
        <v>7</v>
      </c>
      <c r="B15" s="93" t="s">
        <v>85</v>
      </c>
      <c r="C15" s="94">
        <v>3519586.1599999927</v>
      </c>
      <c r="D15" s="94">
        <v>2519533.3699999982</v>
      </c>
      <c r="E15" s="95">
        <f t="shared" si="0"/>
        <v>6039119.5299999909</v>
      </c>
      <c r="F15" s="94">
        <v>2636149.88</v>
      </c>
      <c r="G15" s="94">
        <v>2012385.91</v>
      </c>
      <c r="H15" s="96">
        <f t="shared" si="1"/>
        <v>4648535.79</v>
      </c>
    </row>
    <row r="16" spans="1:8" ht="15.75" x14ac:dyDescent="0.3">
      <c r="A16" s="89">
        <v>8</v>
      </c>
      <c r="B16" s="93" t="s">
        <v>86</v>
      </c>
      <c r="C16" s="94">
        <v>1183461.7500000005</v>
      </c>
      <c r="D16" s="94">
        <v>0</v>
      </c>
      <c r="E16" s="95">
        <f t="shared" si="0"/>
        <v>1183461.7500000005</v>
      </c>
      <c r="F16" s="94">
        <v>10585519.940000001</v>
      </c>
      <c r="G16" s="94">
        <v>0</v>
      </c>
      <c r="H16" s="96">
        <f t="shared" si="1"/>
        <v>10585519.940000001</v>
      </c>
    </row>
    <row r="17" spans="1:8" ht="15.75" x14ac:dyDescent="0.3">
      <c r="A17" s="89">
        <v>9</v>
      </c>
      <c r="B17" s="93" t="s">
        <v>87</v>
      </c>
      <c r="C17" s="94">
        <v>0</v>
      </c>
      <c r="D17" s="94">
        <v>0</v>
      </c>
      <c r="E17" s="95">
        <f t="shared" si="0"/>
        <v>0</v>
      </c>
      <c r="F17" s="94">
        <v>2538</v>
      </c>
      <c r="G17" s="94">
        <v>0</v>
      </c>
      <c r="H17" s="96">
        <f t="shared" si="1"/>
        <v>2538</v>
      </c>
    </row>
    <row r="18" spans="1:8" ht="15.75" x14ac:dyDescent="0.3">
      <c r="A18" s="89">
        <v>10</v>
      </c>
      <c r="B18" s="93" t="s">
        <v>88</v>
      </c>
      <c r="C18" s="94">
        <v>45605521.980000041</v>
      </c>
      <c r="D18" s="94">
        <v>0</v>
      </c>
      <c r="E18" s="95">
        <f t="shared" si="0"/>
        <v>45605521.980000041</v>
      </c>
      <c r="F18" s="94">
        <v>45676191.169999994</v>
      </c>
      <c r="G18" s="94">
        <v>0</v>
      </c>
      <c r="H18" s="96">
        <f t="shared" si="1"/>
        <v>45676191.169999994</v>
      </c>
    </row>
    <row r="19" spans="1:8" ht="15.75" x14ac:dyDescent="0.3">
      <c r="A19" s="89">
        <v>11</v>
      </c>
      <c r="B19" s="93" t="s">
        <v>89</v>
      </c>
      <c r="C19" s="94">
        <v>2725247.0165999997</v>
      </c>
      <c r="D19" s="94">
        <v>1173342.4400000002</v>
      </c>
      <c r="E19" s="95">
        <f t="shared" si="0"/>
        <v>3898589.4566000002</v>
      </c>
      <c r="F19" s="94">
        <v>2671411.7999999998</v>
      </c>
      <c r="G19" s="94">
        <v>1837823.2100000191</v>
      </c>
      <c r="H19" s="96">
        <f t="shared" si="1"/>
        <v>4509235.0100000184</v>
      </c>
    </row>
    <row r="20" spans="1:8" ht="15.75" x14ac:dyDescent="0.3">
      <c r="A20" s="89">
        <v>12</v>
      </c>
      <c r="B20" s="100" t="s">
        <v>90</v>
      </c>
      <c r="C20" s="95">
        <f>SUM(C7:C11)+SUM(C14:C19)</f>
        <v>374375110.80660021</v>
      </c>
      <c r="D20" s="95">
        <f>SUM(D7:D11)+SUM(D14:D19)</f>
        <v>489266686.44999921</v>
      </c>
      <c r="E20" s="95">
        <f t="shared" si="0"/>
        <v>863641797.25659943</v>
      </c>
      <c r="F20" s="95">
        <f>SUM(F7:F11)+SUM(F14:F19)</f>
        <v>310474750.74000031</v>
      </c>
      <c r="G20" s="95">
        <f>SUM(G7:G11)+SUM(G14:G19)</f>
        <v>389321892.43999898</v>
      </c>
      <c r="H20" s="96">
        <f t="shared" si="1"/>
        <v>699796643.17999935</v>
      </c>
    </row>
    <row r="21" spans="1:8" ht="15.75" x14ac:dyDescent="0.3">
      <c r="A21" s="89"/>
      <c r="B21" s="90" t="s">
        <v>91</v>
      </c>
      <c r="C21" s="101"/>
      <c r="D21" s="101"/>
      <c r="E21" s="101"/>
      <c r="F21" s="101"/>
      <c r="G21" s="101"/>
      <c r="H21" s="102"/>
    </row>
    <row r="22" spans="1:8" ht="15.75" x14ac:dyDescent="0.3">
      <c r="A22" s="89">
        <v>13</v>
      </c>
      <c r="B22" s="93" t="s">
        <v>92</v>
      </c>
      <c r="C22" s="94">
        <v>2011565</v>
      </c>
      <c r="D22" s="94">
        <v>5149760.2300000004</v>
      </c>
      <c r="E22" s="95">
        <f>C22+D22</f>
        <v>7161325.2300000004</v>
      </c>
      <c r="F22" s="94">
        <v>7000067.3499999996</v>
      </c>
      <c r="G22" s="94">
        <v>162864.97</v>
      </c>
      <c r="H22" s="96">
        <f t="shared" si="1"/>
        <v>7162932.3199999994</v>
      </c>
    </row>
    <row r="23" spans="1:8" ht="15.75" x14ac:dyDescent="0.3">
      <c r="A23" s="89">
        <v>14</v>
      </c>
      <c r="B23" s="93" t="s">
        <v>93</v>
      </c>
      <c r="C23" s="94">
        <v>63456977.349999212</v>
      </c>
      <c r="D23" s="94">
        <v>97321163.770003378</v>
      </c>
      <c r="E23" s="95">
        <f t="shared" ref="E23:E40" si="2">C23+D23</f>
        <v>160778141.1200026</v>
      </c>
      <c r="F23" s="94">
        <v>66102884.289998956</v>
      </c>
      <c r="G23" s="94">
        <v>121686595.64000626</v>
      </c>
      <c r="H23" s="96">
        <f t="shared" si="1"/>
        <v>187789479.93000522</v>
      </c>
    </row>
    <row r="24" spans="1:8" ht="15.75" x14ac:dyDescent="0.3">
      <c r="A24" s="89">
        <v>15</v>
      </c>
      <c r="B24" s="93" t="s">
        <v>94</v>
      </c>
      <c r="C24" s="94">
        <v>94102380.609999955</v>
      </c>
      <c r="D24" s="94">
        <v>113646755.63000007</v>
      </c>
      <c r="E24" s="95">
        <f t="shared" si="2"/>
        <v>207749136.24000001</v>
      </c>
      <c r="F24" s="94">
        <v>62371726.819999993</v>
      </c>
      <c r="G24" s="94">
        <v>86411804.329999954</v>
      </c>
      <c r="H24" s="96">
        <f t="shared" si="1"/>
        <v>148783531.14999995</v>
      </c>
    </row>
    <row r="25" spans="1:8" ht="15.75" x14ac:dyDescent="0.3">
      <c r="A25" s="89">
        <v>16</v>
      </c>
      <c r="B25" s="93" t="s">
        <v>95</v>
      </c>
      <c r="C25" s="94">
        <v>66238594.199999996</v>
      </c>
      <c r="D25" s="94">
        <v>164240301.9199999</v>
      </c>
      <c r="E25" s="95">
        <f t="shared" si="2"/>
        <v>230478896.11999989</v>
      </c>
      <c r="F25" s="94">
        <v>49718254.809999987</v>
      </c>
      <c r="G25" s="94">
        <v>122583907.4800003</v>
      </c>
      <c r="H25" s="96">
        <f t="shared" si="1"/>
        <v>172302162.29000029</v>
      </c>
    </row>
    <row r="26" spans="1:8" ht="15.75" x14ac:dyDescent="0.3">
      <c r="A26" s="89">
        <v>17</v>
      </c>
      <c r="B26" s="93" t="s">
        <v>96</v>
      </c>
      <c r="C26" s="94">
        <v>0</v>
      </c>
      <c r="D26" s="94">
        <v>0</v>
      </c>
      <c r="E26" s="95">
        <f t="shared" si="2"/>
        <v>0</v>
      </c>
      <c r="F26" s="94">
        <v>0</v>
      </c>
      <c r="G26" s="94">
        <v>0</v>
      </c>
      <c r="H26" s="96">
        <f t="shared" si="1"/>
        <v>0</v>
      </c>
    </row>
    <row r="27" spans="1:8" ht="15.75" x14ac:dyDescent="0.3">
      <c r="A27" s="89">
        <v>18</v>
      </c>
      <c r="B27" s="93" t="s">
        <v>97</v>
      </c>
      <c r="C27" s="94">
        <v>67055000</v>
      </c>
      <c r="D27" s="94">
        <v>18129582</v>
      </c>
      <c r="E27" s="95">
        <f t="shared" si="2"/>
        <v>85184582</v>
      </c>
      <c r="F27" s="94">
        <v>25475000</v>
      </c>
      <c r="G27" s="94">
        <v>7221600</v>
      </c>
      <c r="H27" s="96">
        <f t="shared" si="1"/>
        <v>32696600</v>
      </c>
    </row>
    <row r="28" spans="1:8" ht="15.75" x14ac:dyDescent="0.3">
      <c r="A28" s="89">
        <v>19</v>
      </c>
      <c r="B28" s="93" t="s">
        <v>98</v>
      </c>
      <c r="C28" s="94">
        <v>1451233.4999999993</v>
      </c>
      <c r="D28" s="94">
        <v>1643373.0500000007</v>
      </c>
      <c r="E28" s="95">
        <f t="shared" si="2"/>
        <v>3094606.55</v>
      </c>
      <c r="F28" s="94">
        <v>901129.37000000011</v>
      </c>
      <c r="G28" s="94">
        <v>1502588.5499999998</v>
      </c>
      <c r="H28" s="96">
        <f t="shared" si="1"/>
        <v>2403717.92</v>
      </c>
    </row>
    <row r="29" spans="1:8" ht="15.75" x14ac:dyDescent="0.3">
      <c r="A29" s="89">
        <v>20</v>
      </c>
      <c r="B29" s="93" t="s">
        <v>99</v>
      </c>
      <c r="C29" s="94">
        <v>4727708.5400000028</v>
      </c>
      <c r="D29" s="94">
        <v>4985897.9799999986</v>
      </c>
      <c r="E29" s="95">
        <f t="shared" si="2"/>
        <v>9713606.5200000014</v>
      </c>
      <c r="F29" s="94">
        <v>4602957.45</v>
      </c>
      <c r="G29" s="94">
        <v>7025317.4599999879</v>
      </c>
      <c r="H29" s="96">
        <f t="shared" si="1"/>
        <v>11628274.909999989</v>
      </c>
    </row>
    <row r="30" spans="1:8" ht="15.75" x14ac:dyDescent="0.3">
      <c r="A30" s="89">
        <v>21</v>
      </c>
      <c r="B30" s="93" t="s">
        <v>100</v>
      </c>
      <c r="C30" s="94">
        <v>0</v>
      </c>
      <c r="D30" s="94">
        <v>36040536.159999996</v>
      </c>
      <c r="E30" s="95">
        <f t="shared" si="2"/>
        <v>36040536.159999996</v>
      </c>
      <c r="F30" s="94">
        <v>0</v>
      </c>
      <c r="G30" s="94">
        <v>30573667.140000001</v>
      </c>
      <c r="H30" s="96">
        <f t="shared" si="1"/>
        <v>30573667.140000001</v>
      </c>
    </row>
    <row r="31" spans="1:8" ht="15.75" x14ac:dyDescent="0.3">
      <c r="A31" s="89">
        <v>22</v>
      </c>
      <c r="B31" s="100" t="s">
        <v>101</v>
      </c>
      <c r="C31" s="95">
        <f>SUM(C22:C30)</f>
        <v>299043459.19999915</v>
      </c>
      <c r="D31" s="95">
        <f>SUM(D22:D30)</f>
        <v>441157370.74000335</v>
      </c>
      <c r="E31" s="95">
        <f>C31+D31</f>
        <v>740200829.94000244</v>
      </c>
      <c r="F31" s="95">
        <f>SUM(F22:F30)</f>
        <v>216172020.08999896</v>
      </c>
      <c r="G31" s="95">
        <f>SUM(G22:G30)</f>
        <v>377168345.57000649</v>
      </c>
      <c r="H31" s="96">
        <f t="shared" si="1"/>
        <v>593340365.66000545</v>
      </c>
    </row>
    <row r="32" spans="1:8" ht="15.75" x14ac:dyDescent="0.3">
      <c r="A32" s="89"/>
      <c r="B32" s="90" t="s">
        <v>102</v>
      </c>
      <c r="C32" s="101"/>
      <c r="D32" s="101"/>
      <c r="E32" s="94"/>
      <c r="F32" s="101"/>
      <c r="G32" s="101"/>
      <c r="H32" s="102"/>
    </row>
    <row r="33" spans="1:8" ht="15.75" x14ac:dyDescent="0.3">
      <c r="A33" s="89">
        <v>23</v>
      </c>
      <c r="B33" s="93" t="s">
        <v>103</v>
      </c>
      <c r="C33" s="94">
        <v>121372000.00000001</v>
      </c>
      <c r="D33" s="101"/>
      <c r="E33" s="95">
        <f t="shared" si="2"/>
        <v>121372000.00000001</v>
      </c>
      <c r="F33" s="94">
        <v>121372000</v>
      </c>
      <c r="G33" s="101"/>
      <c r="H33" s="96">
        <f t="shared" si="1"/>
        <v>121372000</v>
      </c>
    </row>
    <row r="34" spans="1:8" ht="15.75" x14ac:dyDescent="0.3">
      <c r="A34" s="89">
        <v>24</v>
      </c>
      <c r="B34" s="93" t="s">
        <v>104</v>
      </c>
      <c r="C34" s="94">
        <v>0</v>
      </c>
      <c r="D34" s="101"/>
      <c r="E34" s="95">
        <f t="shared" si="2"/>
        <v>0</v>
      </c>
      <c r="F34" s="94">
        <v>0</v>
      </c>
      <c r="G34" s="101"/>
      <c r="H34" s="96">
        <f t="shared" si="1"/>
        <v>0</v>
      </c>
    </row>
    <row r="35" spans="1:8" ht="15.75" x14ac:dyDescent="0.3">
      <c r="A35" s="89">
        <v>25</v>
      </c>
      <c r="B35" s="97" t="s">
        <v>105</v>
      </c>
      <c r="C35" s="94">
        <v>0</v>
      </c>
      <c r="D35" s="101"/>
      <c r="E35" s="95">
        <f t="shared" si="2"/>
        <v>0</v>
      </c>
      <c r="F35" s="94">
        <v>0</v>
      </c>
      <c r="G35" s="101"/>
      <c r="H35" s="96">
        <f t="shared" si="1"/>
        <v>0</v>
      </c>
    </row>
    <row r="36" spans="1:8" ht="15.75" x14ac:dyDescent="0.3">
      <c r="A36" s="89">
        <v>26</v>
      </c>
      <c r="B36" s="93" t="s">
        <v>106</v>
      </c>
      <c r="C36" s="94">
        <v>0</v>
      </c>
      <c r="D36" s="101"/>
      <c r="E36" s="95">
        <f t="shared" si="2"/>
        <v>0</v>
      </c>
      <c r="F36" s="94">
        <v>0</v>
      </c>
      <c r="G36" s="101"/>
      <c r="H36" s="96">
        <f t="shared" si="1"/>
        <v>0</v>
      </c>
    </row>
    <row r="37" spans="1:8" ht="15.75" x14ac:dyDescent="0.3">
      <c r="A37" s="89">
        <v>27</v>
      </c>
      <c r="B37" s="93" t="s">
        <v>107</v>
      </c>
      <c r="C37" s="94">
        <v>0</v>
      </c>
      <c r="D37" s="101"/>
      <c r="E37" s="95">
        <f t="shared" si="2"/>
        <v>0</v>
      </c>
      <c r="F37" s="94">
        <v>0</v>
      </c>
      <c r="G37" s="101"/>
      <c r="H37" s="96">
        <f t="shared" si="1"/>
        <v>0</v>
      </c>
    </row>
    <row r="38" spans="1:8" ht="15.75" x14ac:dyDescent="0.3">
      <c r="A38" s="89">
        <v>28</v>
      </c>
      <c r="B38" s="93" t="s">
        <v>108</v>
      </c>
      <c r="C38" s="94">
        <v>2068970.5500000038</v>
      </c>
      <c r="D38" s="101"/>
      <c r="E38" s="95">
        <f t="shared" si="2"/>
        <v>2068970.5500000038</v>
      </c>
      <c r="F38" s="94">
        <v>-14915722.42999999</v>
      </c>
      <c r="G38" s="101"/>
      <c r="H38" s="96">
        <f t="shared" si="1"/>
        <v>-14915722.42999999</v>
      </c>
    </row>
    <row r="39" spans="1:8" ht="15.75" x14ac:dyDescent="0.3">
      <c r="A39" s="89">
        <v>29</v>
      </c>
      <c r="B39" s="93" t="s">
        <v>109</v>
      </c>
      <c r="C39" s="94">
        <v>0</v>
      </c>
      <c r="D39" s="101"/>
      <c r="E39" s="95">
        <f t="shared" si="2"/>
        <v>0</v>
      </c>
      <c r="F39" s="94">
        <v>0</v>
      </c>
      <c r="G39" s="101"/>
      <c r="H39" s="96">
        <f t="shared" si="1"/>
        <v>0</v>
      </c>
    </row>
    <row r="40" spans="1:8" ht="15.75" x14ac:dyDescent="0.3">
      <c r="A40" s="89">
        <v>30</v>
      </c>
      <c r="B40" s="100" t="s">
        <v>110</v>
      </c>
      <c r="C40" s="94">
        <v>123440970.55000001</v>
      </c>
      <c r="D40" s="101"/>
      <c r="E40" s="95">
        <f t="shared" si="2"/>
        <v>123440970.55000001</v>
      </c>
      <c r="F40" s="94">
        <v>106456277.57000001</v>
      </c>
      <c r="G40" s="101"/>
      <c r="H40" s="96">
        <f t="shared" si="1"/>
        <v>106456277.57000001</v>
      </c>
    </row>
    <row r="41" spans="1:8" ht="16.5" thickBot="1" x14ac:dyDescent="0.35">
      <c r="A41" s="103">
        <v>31</v>
      </c>
      <c r="B41" s="104" t="s">
        <v>111</v>
      </c>
      <c r="C41" s="105">
        <f>C31+C40</f>
        <v>422484429.74999917</v>
      </c>
      <c r="D41" s="105">
        <f>D31+D40</f>
        <v>441157370.74000335</v>
      </c>
      <c r="E41" s="105">
        <f>C41+D41</f>
        <v>863641800.49000251</v>
      </c>
      <c r="F41" s="105">
        <f>F31+F40</f>
        <v>322628297.65999895</v>
      </c>
      <c r="G41" s="105">
        <f>G31+G40</f>
        <v>377168345.57000649</v>
      </c>
      <c r="H41" s="106">
        <f>F41+G41</f>
        <v>699796643.2300055</v>
      </c>
    </row>
    <row r="42" spans="1:8" x14ac:dyDescent="0.25">
      <c r="C42" s="107"/>
      <c r="D42" s="107"/>
      <c r="E42" s="107"/>
      <c r="F42" s="107"/>
      <c r="G42" s="107"/>
      <c r="H42" s="107"/>
    </row>
    <row r="43" spans="1:8" x14ac:dyDescent="0.25">
      <c r="B43" s="108"/>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55" activePane="bottomRight" state="frozen"/>
      <selection activeCell="P24" sqref="P24:Q24"/>
      <selection pane="topRight" activeCell="P24" sqref="P24:Q24"/>
      <selection pane="bottomLeft" activeCell="P24" sqref="P24:Q24"/>
      <selection pane="bottomRight" activeCell="C39" sqref="C39"/>
    </sheetView>
  </sheetViews>
  <sheetFormatPr defaultColWidth="9.140625" defaultRowHeight="15" x14ac:dyDescent="0.25"/>
  <cols>
    <col min="1" max="1" width="9.5703125" style="22" bestFit="1" customWidth="1"/>
    <col min="2" max="2" width="89.140625" style="22" customWidth="1"/>
    <col min="3" max="8" width="12.7109375" style="22" customWidth="1"/>
    <col min="9" max="9" width="8.85546875" customWidth="1"/>
    <col min="10" max="10" width="12.5703125" style="128" bestFit="1" customWidth="1"/>
    <col min="11" max="16384" width="9.140625" style="128"/>
  </cols>
  <sheetData>
    <row r="1" spans="1:8" ht="15.75" x14ac:dyDescent="0.3">
      <c r="A1" s="23" t="s">
        <v>29</v>
      </c>
      <c r="B1" s="22" t="str">
        <f>'1. key ratios'!B1</f>
        <v>სს ტერაბანკი</v>
      </c>
      <c r="C1" s="24"/>
      <c r="F1" s="24"/>
    </row>
    <row r="2" spans="1:8" ht="15.75" x14ac:dyDescent="0.3">
      <c r="A2" s="23" t="s">
        <v>31</v>
      </c>
      <c r="B2" s="82">
        <f>'1. key ratios'!B2</f>
        <v>43281</v>
      </c>
      <c r="C2" s="26"/>
      <c r="D2" s="27"/>
      <c r="E2" s="27"/>
      <c r="F2" s="26"/>
      <c r="G2" s="27"/>
      <c r="H2" s="27"/>
    </row>
    <row r="3" spans="1:8" ht="15.75" x14ac:dyDescent="0.3">
      <c r="A3" s="23"/>
      <c r="B3" s="24"/>
      <c r="C3" s="26"/>
      <c r="D3" s="27"/>
      <c r="E3" s="27"/>
      <c r="F3" s="26"/>
      <c r="G3" s="27"/>
      <c r="H3" s="27"/>
    </row>
    <row r="4" spans="1:8" ht="16.5" thickBot="1" x14ac:dyDescent="0.35">
      <c r="A4" s="109" t="s">
        <v>112</v>
      </c>
      <c r="B4" s="110" t="s">
        <v>113</v>
      </c>
      <c r="C4" s="111"/>
      <c r="D4" s="111"/>
      <c r="E4" s="111"/>
      <c r="F4" s="111"/>
      <c r="G4" s="111"/>
      <c r="H4" s="112" t="s">
        <v>70</v>
      </c>
    </row>
    <row r="5" spans="1:8" ht="15.75" x14ac:dyDescent="0.3">
      <c r="A5" s="113"/>
      <c r="B5" s="114"/>
      <c r="C5" s="474" t="s">
        <v>71</v>
      </c>
      <c r="D5" s="475"/>
      <c r="E5" s="476"/>
      <c r="F5" s="474" t="s">
        <v>72</v>
      </c>
      <c r="G5" s="475"/>
      <c r="H5" s="477"/>
    </row>
    <row r="6" spans="1:8" x14ac:dyDescent="0.25">
      <c r="A6" s="115" t="s">
        <v>33</v>
      </c>
      <c r="B6" s="116"/>
      <c r="C6" s="117" t="s">
        <v>74</v>
      </c>
      <c r="D6" s="117" t="s">
        <v>114</v>
      </c>
      <c r="E6" s="117" t="s">
        <v>76</v>
      </c>
      <c r="F6" s="117" t="s">
        <v>74</v>
      </c>
      <c r="G6" s="117" t="s">
        <v>114</v>
      </c>
      <c r="H6" s="118" t="s">
        <v>76</v>
      </c>
    </row>
    <row r="7" spans="1:8" x14ac:dyDescent="0.25">
      <c r="A7" s="119"/>
      <c r="B7" s="120" t="s">
        <v>115</v>
      </c>
      <c r="C7" s="121"/>
      <c r="D7" s="121"/>
      <c r="E7" s="121"/>
      <c r="F7" s="121"/>
      <c r="G7" s="121"/>
      <c r="H7" s="122"/>
    </row>
    <row r="8" spans="1:8" ht="15.75" x14ac:dyDescent="0.3">
      <c r="A8" s="119">
        <v>1</v>
      </c>
      <c r="B8" s="123" t="s">
        <v>116</v>
      </c>
      <c r="C8" s="124">
        <v>328458.82</v>
      </c>
      <c r="D8" s="125">
        <v>285602.52999999997</v>
      </c>
      <c r="E8" s="95">
        <f>C8+D8</f>
        <v>614061.35</v>
      </c>
      <c r="F8" s="124">
        <v>419038.9</v>
      </c>
      <c r="G8" s="125">
        <v>-5460.13</v>
      </c>
      <c r="H8" s="96">
        <f>F8+G8</f>
        <v>413578.77</v>
      </c>
    </row>
    <row r="9" spans="1:8" ht="15.75" x14ac:dyDescent="0.3">
      <c r="A9" s="119">
        <v>2</v>
      </c>
      <c r="B9" s="123" t="s">
        <v>117</v>
      </c>
      <c r="C9" s="126">
        <f>SUM(C10:C18)</f>
        <v>15677564.66</v>
      </c>
      <c r="D9" s="126">
        <f>SUM(D10:D18)</f>
        <v>15847402.629999999</v>
      </c>
      <c r="E9" s="95">
        <f>C9+D9</f>
        <v>31524967.289999999</v>
      </c>
      <c r="F9" s="126">
        <f>SUM(F10:F18)</f>
        <v>10650416.07</v>
      </c>
      <c r="G9" s="126">
        <f>SUM(G10:G18)</f>
        <v>14215047.689999999</v>
      </c>
      <c r="H9" s="96">
        <f t="shared" ref="H9:H67" si="0">F9+G9</f>
        <v>24865463.759999998</v>
      </c>
    </row>
    <row r="10" spans="1:8" ht="15.75" x14ac:dyDescent="0.3">
      <c r="A10" s="119">
        <v>2.1</v>
      </c>
      <c r="B10" s="127" t="s">
        <v>118</v>
      </c>
      <c r="C10" s="124">
        <v>0</v>
      </c>
      <c r="D10" s="124">
        <v>0</v>
      </c>
      <c r="E10" s="95">
        <f t="shared" ref="E10:E67" si="1">C10+D10</f>
        <v>0</v>
      </c>
      <c r="F10" s="124">
        <v>0</v>
      </c>
      <c r="G10" s="124">
        <v>0</v>
      </c>
      <c r="H10" s="96">
        <f t="shared" si="0"/>
        <v>0</v>
      </c>
    </row>
    <row r="11" spans="1:8" ht="15.75" x14ac:dyDescent="0.3">
      <c r="A11" s="119">
        <v>2.2000000000000002</v>
      </c>
      <c r="B11" s="127" t="s">
        <v>119</v>
      </c>
      <c r="C11" s="124">
        <v>3261800.0400000005</v>
      </c>
      <c r="D11" s="124">
        <v>6335880.4799999995</v>
      </c>
      <c r="E11" s="95">
        <f t="shared" si="1"/>
        <v>9597680.5199999996</v>
      </c>
      <c r="F11" s="124">
        <v>2308052.37</v>
      </c>
      <c r="G11" s="124">
        <v>4891151.28</v>
      </c>
      <c r="H11" s="96">
        <f t="shared" si="0"/>
        <v>7199203.6500000004</v>
      </c>
    </row>
    <row r="12" spans="1:8" ht="15.75" x14ac:dyDescent="0.3">
      <c r="A12" s="119">
        <v>2.2999999999999998</v>
      </c>
      <c r="B12" s="127" t="s">
        <v>120</v>
      </c>
      <c r="C12" s="124">
        <v>0</v>
      </c>
      <c r="D12" s="124">
        <v>128636.49</v>
      </c>
      <c r="E12" s="95">
        <f t="shared" si="1"/>
        <v>128636.49</v>
      </c>
      <c r="F12" s="124">
        <v>19551.2</v>
      </c>
      <c r="G12" s="124">
        <v>3630.59</v>
      </c>
      <c r="H12" s="96">
        <f t="shared" si="0"/>
        <v>23181.79</v>
      </c>
    </row>
    <row r="13" spans="1:8" ht="15.75" x14ac:dyDescent="0.3">
      <c r="A13" s="119">
        <v>2.4</v>
      </c>
      <c r="B13" s="127" t="s">
        <v>121</v>
      </c>
      <c r="C13" s="124">
        <v>422391.24000000005</v>
      </c>
      <c r="D13" s="124">
        <v>167102.65</v>
      </c>
      <c r="E13" s="95">
        <f t="shared" si="1"/>
        <v>589493.89</v>
      </c>
      <c r="F13" s="124">
        <v>374522.08000000007</v>
      </c>
      <c r="G13" s="124">
        <v>375095.12</v>
      </c>
      <c r="H13" s="96">
        <f t="shared" si="0"/>
        <v>749617.20000000007</v>
      </c>
    </row>
    <row r="14" spans="1:8" ht="15.75" x14ac:dyDescent="0.3">
      <c r="A14" s="119">
        <v>2.5</v>
      </c>
      <c r="B14" s="127" t="s">
        <v>122</v>
      </c>
      <c r="C14" s="124">
        <v>305770.33000000007</v>
      </c>
      <c r="D14" s="124">
        <v>1675303.9700000002</v>
      </c>
      <c r="E14" s="95">
        <f t="shared" si="1"/>
        <v>1981074.3000000003</v>
      </c>
      <c r="F14" s="124">
        <v>371925.12</v>
      </c>
      <c r="G14" s="124">
        <v>1594630.3599999996</v>
      </c>
      <c r="H14" s="96">
        <f t="shared" si="0"/>
        <v>1966555.4799999995</v>
      </c>
    </row>
    <row r="15" spans="1:8" ht="15.75" x14ac:dyDescent="0.3">
      <c r="A15" s="119">
        <v>2.6</v>
      </c>
      <c r="B15" s="127" t="s">
        <v>123</v>
      </c>
      <c r="C15" s="124">
        <v>1423.72</v>
      </c>
      <c r="D15" s="124">
        <v>20073.490000000002</v>
      </c>
      <c r="E15" s="95">
        <f t="shared" si="1"/>
        <v>21497.210000000003</v>
      </c>
      <c r="F15" s="124">
        <v>0</v>
      </c>
      <c r="G15" s="124">
        <v>0</v>
      </c>
      <c r="H15" s="96">
        <f t="shared" si="0"/>
        <v>0</v>
      </c>
    </row>
    <row r="16" spans="1:8" ht="15.75" x14ac:dyDescent="0.3">
      <c r="A16" s="119">
        <v>2.7</v>
      </c>
      <c r="B16" s="127" t="s">
        <v>124</v>
      </c>
      <c r="C16" s="124">
        <v>1797.8600000000001</v>
      </c>
      <c r="D16" s="124">
        <v>338394.28</v>
      </c>
      <c r="E16" s="95">
        <f t="shared" si="1"/>
        <v>340192.14</v>
      </c>
      <c r="F16" s="124">
        <v>1672.1599999999999</v>
      </c>
      <c r="G16" s="124">
        <v>7581.04</v>
      </c>
      <c r="H16" s="96">
        <f t="shared" si="0"/>
        <v>9253.2000000000007</v>
      </c>
    </row>
    <row r="17" spans="1:10" ht="15.75" x14ac:dyDescent="0.3">
      <c r="A17" s="119">
        <v>2.8</v>
      </c>
      <c r="B17" s="127" t="s">
        <v>125</v>
      </c>
      <c r="C17" s="124">
        <v>8458876.4499999993</v>
      </c>
      <c r="D17" s="124">
        <v>5400398.9399999995</v>
      </c>
      <c r="E17" s="95">
        <f t="shared" si="1"/>
        <v>13859275.389999999</v>
      </c>
      <c r="F17" s="124">
        <v>5586524.7799999993</v>
      </c>
      <c r="G17" s="124">
        <v>3546818.65</v>
      </c>
      <c r="H17" s="96">
        <f t="shared" si="0"/>
        <v>9133343.4299999997</v>
      </c>
    </row>
    <row r="18" spans="1:10" ht="15.75" x14ac:dyDescent="0.3">
      <c r="A18" s="119">
        <v>2.9</v>
      </c>
      <c r="B18" s="127" t="s">
        <v>126</v>
      </c>
      <c r="C18" s="124">
        <v>3225505.0199999996</v>
      </c>
      <c r="D18" s="124">
        <v>1781612.3299999996</v>
      </c>
      <c r="E18" s="95">
        <f t="shared" si="1"/>
        <v>5007117.3499999996</v>
      </c>
      <c r="F18" s="124">
        <v>1988168.3599999999</v>
      </c>
      <c r="G18" s="124">
        <v>3796140.6500000004</v>
      </c>
      <c r="H18" s="96">
        <f t="shared" si="0"/>
        <v>5784309.0099999998</v>
      </c>
    </row>
    <row r="19" spans="1:10" ht="15.75" x14ac:dyDescent="0.3">
      <c r="A19" s="119">
        <v>3</v>
      </c>
      <c r="B19" s="123" t="s">
        <v>127</v>
      </c>
      <c r="C19" s="124">
        <v>598939.33000000042</v>
      </c>
      <c r="D19" s="124">
        <v>562696.17999999993</v>
      </c>
      <c r="E19" s="95">
        <f t="shared" si="1"/>
        <v>1161635.5100000002</v>
      </c>
      <c r="F19" s="124">
        <v>591221.82000000007</v>
      </c>
      <c r="G19" s="124">
        <v>560605.55000000005</v>
      </c>
      <c r="H19" s="96">
        <f t="shared" si="0"/>
        <v>1151827.3700000001</v>
      </c>
    </row>
    <row r="20" spans="1:10" ht="15.75" x14ac:dyDescent="0.3">
      <c r="A20" s="119">
        <v>4</v>
      </c>
      <c r="B20" s="123" t="s">
        <v>128</v>
      </c>
      <c r="C20" s="124">
        <v>2046259.48</v>
      </c>
      <c r="D20" s="124">
        <v>0</v>
      </c>
      <c r="E20" s="95">
        <f t="shared" si="1"/>
        <v>2046259.48</v>
      </c>
      <c r="F20" s="124">
        <v>1728668.13</v>
      </c>
      <c r="G20" s="124">
        <v>0</v>
      </c>
      <c r="H20" s="96">
        <f t="shared" si="0"/>
        <v>1728668.13</v>
      </c>
    </row>
    <row r="21" spans="1:10" ht="15.75" x14ac:dyDescent="0.3">
      <c r="A21" s="119">
        <v>5</v>
      </c>
      <c r="B21" s="123" t="s">
        <v>129</v>
      </c>
      <c r="C21" s="124">
        <v>659845.52000000014</v>
      </c>
      <c r="D21" s="124">
        <v>275585.94</v>
      </c>
      <c r="E21" s="95">
        <f t="shared" si="1"/>
        <v>935431.4600000002</v>
      </c>
      <c r="F21" s="124">
        <v>390802.75</v>
      </c>
      <c r="G21" s="124">
        <v>96359.21</v>
      </c>
      <c r="H21" s="96">
        <f>F21+G21</f>
        <v>487161.96</v>
      </c>
    </row>
    <row r="22" spans="1:10" ht="15.75" x14ac:dyDescent="0.3">
      <c r="A22" s="119">
        <v>6</v>
      </c>
      <c r="B22" s="129" t="s">
        <v>130</v>
      </c>
      <c r="C22" s="126">
        <f>C8+C9+C19+C20+C21</f>
        <v>19311067.809999999</v>
      </c>
      <c r="D22" s="126">
        <f>D8+D9+D19+D20+D21</f>
        <v>16971287.279999997</v>
      </c>
      <c r="E22" s="95">
        <f>C22+D22</f>
        <v>36282355.089999996</v>
      </c>
      <c r="F22" s="126">
        <f>F8+F9+F19+F20+F21</f>
        <v>13780147.670000002</v>
      </c>
      <c r="G22" s="126">
        <f>G8+G9+G19+G20+G21</f>
        <v>14866552.32</v>
      </c>
      <c r="H22" s="96">
        <f>F22+G22</f>
        <v>28646699.990000002</v>
      </c>
      <c r="J22" s="130"/>
    </row>
    <row r="23" spans="1:10" ht="15.75" x14ac:dyDescent="0.3">
      <c r="A23" s="119"/>
      <c r="B23" s="120" t="s">
        <v>131</v>
      </c>
      <c r="C23" s="124"/>
      <c r="D23" s="124"/>
      <c r="E23" s="94"/>
      <c r="F23" s="124"/>
      <c r="G23" s="124"/>
      <c r="H23" s="102"/>
    </row>
    <row r="24" spans="1:10" ht="15.75" x14ac:dyDescent="0.3">
      <c r="A24" s="119">
        <v>7</v>
      </c>
      <c r="B24" s="123" t="s">
        <v>132</v>
      </c>
      <c r="C24" s="124">
        <v>3516165.63</v>
      </c>
      <c r="D24" s="124">
        <v>1767251.88</v>
      </c>
      <c r="E24" s="95">
        <f t="shared" si="1"/>
        <v>5283417.51</v>
      </c>
      <c r="F24" s="124">
        <v>3446705.4999999995</v>
      </c>
      <c r="G24" s="124">
        <v>2231187.7200000007</v>
      </c>
      <c r="H24" s="96">
        <f t="shared" si="0"/>
        <v>5677893.2200000007</v>
      </c>
    </row>
    <row r="25" spans="1:10" ht="15.75" x14ac:dyDescent="0.3">
      <c r="A25" s="119">
        <v>8</v>
      </c>
      <c r="B25" s="123" t="s">
        <v>133</v>
      </c>
      <c r="C25" s="124">
        <v>3853184.3899999997</v>
      </c>
      <c r="D25" s="124">
        <v>3247914.76</v>
      </c>
      <c r="E25" s="95">
        <f t="shared" si="1"/>
        <v>7101099.1499999994</v>
      </c>
      <c r="F25" s="124">
        <v>2489073.9500000007</v>
      </c>
      <c r="G25" s="124">
        <v>3431625.7</v>
      </c>
      <c r="H25" s="96">
        <f t="shared" si="0"/>
        <v>5920699.6500000004</v>
      </c>
    </row>
    <row r="26" spans="1:10" ht="15.75" x14ac:dyDescent="0.3">
      <c r="A26" s="119">
        <v>9</v>
      </c>
      <c r="B26" s="123" t="s">
        <v>134</v>
      </c>
      <c r="C26" s="124">
        <v>114647.96</v>
      </c>
      <c r="D26" s="124">
        <v>68663.820000000007</v>
      </c>
      <c r="E26" s="95">
        <f t="shared" si="1"/>
        <v>183311.78000000003</v>
      </c>
      <c r="F26" s="124">
        <v>139941.57</v>
      </c>
      <c r="G26" s="124">
        <v>1857.87</v>
      </c>
      <c r="H26" s="96">
        <f t="shared" si="0"/>
        <v>141799.44</v>
      </c>
      <c r="J26" s="131"/>
    </row>
    <row r="27" spans="1:10" ht="15.75" x14ac:dyDescent="0.3">
      <c r="A27" s="119">
        <v>10</v>
      </c>
      <c r="B27" s="123" t="s">
        <v>135</v>
      </c>
      <c r="C27" s="124">
        <v>0</v>
      </c>
      <c r="D27" s="124">
        <v>0</v>
      </c>
      <c r="E27" s="95">
        <f t="shared" si="1"/>
        <v>0</v>
      </c>
      <c r="F27" s="124">
        <v>0</v>
      </c>
      <c r="G27" s="124">
        <v>0</v>
      </c>
      <c r="H27" s="96">
        <f t="shared" si="0"/>
        <v>0</v>
      </c>
    </row>
    <row r="28" spans="1:10" ht="15.75" x14ac:dyDescent="0.3">
      <c r="A28" s="119">
        <v>11</v>
      </c>
      <c r="B28" s="123" t="s">
        <v>136</v>
      </c>
      <c r="C28" s="124">
        <v>2899131.41</v>
      </c>
      <c r="D28" s="124">
        <v>1553715.2199999997</v>
      </c>
      <c r="E28" s="95">
        <f t="shared" si="1"/>
        <v>4452846.63</v>
      </c>
      <c r="F28" s="124">
        <v>877484.05</v>
      </c>
      <c r="G28" s="124">
        <v>1501595.58</v>
      </c>
      <c r="H28" s="96">
        <f t="shared" si="0"/>
        <v>2379079.63</v>
      </c>
    </row>
    <row r="29" spans="1:10" ht="15.75" x14ac:dyDescent="0.3">
      <c r="A29" s="119">
        <v>12</v>
      </c>
      <c r="B29" s="123" t="s">
        <v>137</v>
      </c>
      <c r="C29" s="124">
        <v>0</v>
      </c>
      <c r="D29" s="124">
        <v>0</v>
      </c>
      <c r="E29" s="95">
        <f t="shared" si="1"/>
        <v>0</v>
      </c>
      <c r="F29" s="124">
        <v>0</v>
      </c>
      <c r="G29" s="124">
        <v>0</v>
      </c>
      <c r="H29" s="96">
        <f t="shared" si="0"/>
        <v>0</v>
      </c>
    </row>
    <row r="30" spans="1:10" ht="15.75" x14ac:dyDescent="0.3">
      <c r="A30" s="119">
        <v>13</v>
      </c>
      <c r="B30" s="132" t="s">
        <v>138</v>
      </c>
      <c r="C30" s="126">
        <f>SUM(C24:C29)</f>
        <v>10383129.390000001</v>
      </c>
      <c r="D30" s="126">
        <f>SUM(D24:D29)</f>
        <v>6637545.6799999997</v>
      </c>
      <c r="E30" s="95">
        <f t="shared" si="1"/>
        <v>17020675.07</v>
      </c>
      <c r="F30" s="126">
        <f>SUM(F24:F29)</f>
        <v>6953205.0700000003</v>
      </c>
      <c r="G30" s="126">
        <f>SUM(G24:G29)</f>
        <v>7166266.870000001</v>
      </c>
      <c r="H30" s="96">
        <f t="shared" si="0"/>
        <v>14119471.940000001</v>
      </c>
    </row>
    <row r="31" spans="1:10" ht="15.75" x14ac:dyDescent="0.3">
      <c r="A31" s="119">
        <v>14</v>
      </c>
      <c r="B31" s="132" t="s">
        <v>139</v>
      </c>
      <c r="C31" s="126">
        <f>C22-C30</f>
        <v>8927938.4199999981</v>
      </c>
      <c r="D31" s="126">
        <f>D22-D30</f>
        <v>10333741.599999998</v>
      </c>
      <c r="E31" s="95">
        <f t="shared" si="1"/>
        <v>19261680.019999996</v>
      </c>
      <c r="F31" s="126">
        <f>F22-F30</f>
        <v>6826942.6000000015</v>
      </c>
      <c r="G31" s="126">
        <f>G22-G30</f>
        <v>7700285.4499999993</v>
      </c>
      <c r="H31" s="96">
        <f t="shared" si="0"/>
        <v>14527228.050000001</v>
      </c>
    </row>
    <row r="32" spans="1:10" x14ac:dyDescent="0.25">
      <c r="A32" s="119"/>
      <c r="B32" s="120"/>
      <c r="C32" s="133"/>
      <c r="D32" s="133"/>
      <c r="E32" s="133"/>
      <c r="F32" s="133"/>
      <c r="G32" s="133"/>
      <c r="H32" s="134"/>
    </row>
    <row r="33" spans="1:8" ht="15.75" x14ac:dyDescent="0.3">
      <c r="A33" s="119"/>
      <c r="B33" s="120" t="s">
        <v>140</v>
      </c>
      <c r="C33" s="124"/>
      <c r="D33" s="124"/>
      <c r="E33" s="94"/>
      <c r="F33" s="124"/>
      <c r="G33" s="124"/>
      <c r="H33" s="102"/>
    </row>
    <row r="34" spans="1:8" ht="15.75" x14ac:dyDescent="0.3">
      <c r="A34" s="119">
        <v>15</v>
      </c>
      <c r="B34" s="135" t="s">
        <v>141</v>
      </c>
      <c r="C34" s="126">
        <f>C35-C36</f>
        <v>1724440.8800000008</v>
      </c>
      <c r="D34" s="126">
        <f>D35-D36</f>
        <v>641238.70000000019</v>
      </c>
      <c r="E34" s="95">
        <f t="shared" si="1"/>
        <v>2365679.580000001</v>
      </c>
      <c r="F34" s="126">
        <f>F35-F36</f>
        <v>1355770.4899999998</v>
      </c>
      <c r="G34" s="126">
        <f>G35-G36</f>
        <v>402199.56000000006</v>
      </c>
      <c r="H34" s="96">
        <f t="shared" si="0"/>
        <v>1757970.0499999998</v>
      </c>
    </row>
    <row r="35" spans="1:8" ht="15.75" x14ac:dyDescent="0.3">
      <c r="A35" s="119">
        <v>15.1</v>
      </c>
      <c r="B35" s="127" t="s">
        <v>142</v>
      </c>
      <c r="C35" s="124">
        <v>2559295.9600000009</v>
      </c>
      <c r="D35" s="124">
        <v>1821589.3000000003</v>
      </c>
      <c r="E35" s="95">
        <f t="shared" si="1"/>
        <v>4380885.2600000016</v>
      </c>
      <c r="F35" s="124">
        <v>2145057.5699999998</v>
      </c>
      <c r="G35" s="124">
        <v>1856942.68</v>
      </c>
      <c r="H35" s="96">
        <f t="shared" si="0"/>
        <v>4002000.25</v>
      </c>
    </row>
    <row r="36" spans="1:8" ht="15.75" x14ac:dyDescent="0.3">
      <c r="A36" s="119">
        <v>15.2</v>
      </c>
      <c r="B36" s="127" t="s">
        <v>143</v>
      </c>
      <c r="C36" s="124">
        <v>834855.08</v>
      </c>
      <c r="D36" s="124">
        <v>1180350.6000000001</v>
      </c>
      <c r="E36" s="95">
        <f t="shared" si="1"/>
        <v>2015205.6800000002</v>
      </c>
      <c r="F36" s="124">
        <v>789287.08</v>
      </c>
      <c r="G36" s="124">
        <v>1454743.1199999999</v>
      </c>
      <c r="H36" s="96">
        <f t="shared" si="0"/>
        <v>2244030.1999999997</v>
      </c>
    </row>
    <row r="37" spans="1:8" ht="15.75" x14ac:dyDescent="0.3">
      <c r="A37" s="119">
        <v>16</v>
      </c>
      <c r="B37" s="123" t="s">
        <v>144</v>
      </c>
      <c r="C37" s="124">
        <v>0</v>
      </c>
      <c r="D37" s="124">
        <v>0</v>
      </c>
      <c r="E37" s="95">
        <f t="shared" si="1"/>
        <v>0</v>
      </c>
      <c r="F37" s="124">
        <v>0</v>
      </c>
      <c r="G37" s="124">
        <v>0</v>
      </c>
      <c r="H37" s="96">
        <f t="shared" si="0"/>
        <v>0</v>
      </c>
    </row>
    <row r="38" spans="1:8" ht="15.75" x14ac:dyDescent="0.3">
      <c r="A38" s="119">
        <v>17</v>
      </c>
      <c r="B38" s="123" t="s">
        <v>145</v>
      </c>
      <c r="C38" s="124">
        <v>0</v>
      </c>
      <c r="D38" s="124">
        <v>0</v>
      </c>
      <c r="E38" s="95">
        <f t="shared" si="1"/>
        <v>0</v>
      </c>
      <c r="F38" s="124">
        <v>0</v>
      </c>
      <c r="G38" s="124">
        <v>0</v>
      </c>
      <c r="H38" s="96">
        <f t="shared" si="0"/>
        <v>0</v>
      </c>
    </row>
    <row r="39" spans="1:8" ht="15.75" x14ac:dyDescent="0.3">
      <c r="A39" s="119">
        <v>18</v>
      </c>
      <c r="B39" s="123" t="s">
        <v>146</v>
      </c>
      <c r="C39" s="124">
        <v>0</v>
      </c>
      <c r="D39" s="124">
        <v>0</v>
      </c>
      <c r="E39" s="95">
        <f t="shared" si="1"/>
        <v>0</v>
      </c>
      <c r="F39" s="124">
        <v>0</v>
      </c>
      <c r="G39" s="124">
        <v>0</v>
      </c>
      <c r="H39" s="96">
        <f t="shared" si="0"/>
        <v>0</v>
      </c>
    </row>
    <row r="40" spans="1:8" ht="15.75" x14ac:dyDescent="0.3">
      <c r="A40" s="119">
        <v>19</v>
      </c>
      <c r="B40" s="123" t="s">
        <v>147</v>
      </c>
      <c r="C40" s="124">
        <v>5516213.6999999983</v>
      </c>
      <c r="D40" s="124">
        <v>0</v>
      </c>
      <c r="E40" s="95">
        <f t="shared" si="1"/>
        <v>5516213.6999999983</v>
      </c>
      <c r="F40" s="124">
        <v>4672827.68</v>
      </c>
      <c r="G40" s="124">
        <v>0</v>
      </c>
      <c r="H40" s="96">
        <f t="shared" si="0"/>
        <v>4672827.68</v>
      </c>
    </row>
    <row r="41" spans="1:8" ht="15.75" x14ac:dyDescent="0.3">
      <c r="A41" s="119">
        <v>20</v>
      </c>
      <c r="B41" s="123" t="s">
        <v>148</v>
      </c>
      <c r="C41" s="124">
        <v>-3128852.5700000003</v>
      </c>
      <c r="D41" s="124">
        <v>0</v>
      </c>
      <c r="E41" s="95">
        <f t="shared" si="1"/>
        <v>-3128852.5700000003</v>
      </c>
      <c r="F41" s="124">
        <v>-3626528.9600000009</v>
      </c>
      <c r="G41" s="124">
        <v>0</v>
      </c>
      <c r="H41" s="96">
        <f t="shared" si="0"/>
        <v>-3626528.9600000009</v>
      </c>
    </row>
    <row r="42" spans="1:8" ht="15.75" x14ac:dyDescent="0.3">
      <c r="A42" s="119">
        <v>21</v>
      </c>
      <c r="B42" s="123" t="s">
        <v>149</v>
      </c>
      <c r="C42" s="124">
        <v>64843.209999999992</v>
      </c>
      <c r="D42" s="124">
        <v>0</v>
      </c>
      <c r="E42" s="95">
        <f t="shared" si="1"/>
        <v>64843.209999999992</v>
      </c>
      <c r="F42" s="124">
        <v>6708.58</v>
      </c>
      <c r="G42" s="124">
        <v>0</v>
      </c>
      <c r="H42" s="96">
        <f t="shared" si="0"/>
        <v>6708.58</v>
      </c>
    </row>
    <row r="43" spans="1:8" ht="15.75" x14ac:dyDescent="0.3">
      <c r="A43" s="119">
        <v>22</v>
      </c>
      <c r="B43" s="123" t="s">
        <v>150</v>
      </c>
      <c r="C43" s="124">
        <v>29978.36</v>
      </c>
      <c r="D43" s="124">
        <v>464529.81</v>
      </c>
      <c r="E43" s="95">
        <f t="shared" si="1"/>
        <v>494508.17</v>
      </c>
      <c r="F43" s="124">
        <v>3965</v>
      </c>
      <c r="G43" s="124">
        <v>413702.29</v>
      </c>
      <c r="H43" s="96">
        <f t="shared" si="0"/>
        <v>417667.29</v>
      </c>
    </row>
    <row r="44" spans="1:8" ht="15.75" x14ac:dyDescent="0.3">
      <c r="A44" s="119">
        <v>23</v>
      </c>
      <c r="B44" s="123" t="s">
        <v>151</v>
      </c>
      <c r="C44" s="124">
        <v>110171.36000000002</v>
      </c>
      <c r="D44" s="124">
        <v>76180.39</v>
      </c>
      <c r="E44" s="95">
        <f t="shared" si="1"/>
        <v>186351.75</v>
      </c>
      <c r="F44" s="124">
        <v>24692.929999999993</v>
      </c>
      <c r="G44" s="124">
        <v>112.72</v>
      </c>
      <c r="H44" s="96">
        <f t="shared" si="0"/>
        <v>24805.649999999994</v>
      </c>
    </row>
    <row r="45" spans="1:8" ht="15.75" x14ac:dyDescent="0.3">
      <c r="A45" s="119">
        <v>24</v>
      </c>
      <c r="B45" s="132" t="s">
        <v>152</v>
      </c>
      <c r="C45" s="126">
        <f>C34+C37+C38+C39+C40+C41+C42+C43+C44</f>
        <v>4316794.9399999995</v>
      </c>
      <c r="D45" s="126">
        <f>D34+D37+D38+D39+D40+D41+D42+D43+D44</f>
        <v>1181948.9000000001</v>
      </c>
      <c r="E45" s="95">
        <f t="shared" si="1"/>
        <v>5498743.8399999999</v>
      </c>
      <c r="F45" s="126">
        <f>F34+F37+F38+F39+F40+F41+F42+F43+F44</f>
        <v>2437435.7199999993</v>
      </c>
      <c r="G45" s="126">
        <f>G34+G37+G38+G39+G40+G41+G42+G43+G44</f>
        <v>816014.57000000007</v>
      </c>
      <c r="H45" s="96">
        <f t="shared" si="0"/>
        <v>3253450.2899999991</v>
      </c>
    </row>
    <row r="46" spans="1:8" x14ac:dyDescent="0.25">
      <c r="A46" s="119"/>
      <c r="B46" s="120" t="s">
        <v>153</v>
      </c>
      <c r="C46" s="124"/>
      <c r="D46" s="124"/>
      <c r="E46" s="124"/>
      <c r="F46" s="124"/>
      <c r="G46" s="124"/>
      <c r="H46" s="136"/>
    </row>
    <row r="47" spans="1:8" ht="15.75" x14ac:dyDescent="0.3">
      <c r="A47" s="119">
        <v>25</v>
      </c>
      <c r="B47" s="123" t="s">
        <v>154</v>
      </c>
      <c r="C47" s="124">
        <v>351924.67000000004</v>
      </c>
      <c r="D47" s="124">
        <v>358311.63</v>
      </c>
      <c r="E47" s="95">
        <f t="shared" si="1"/>
        <v>710236.3</v>
      </c>
      <c r="F47" s="124">
        <v>221156.66</v>
      </c>
      <c r="G47" s="124">
        <v>304801.03999999998</v>
      </c>
      <c r="H47" s="96">
        <f t="shared" si="0"/>
        <v>525957.69999999995</v>
      </c>
    </row>
    <row r="48" spans="1:8" ht="15.75" x14ac:dyDescent="0.3">
      <c r="A48" s="119">
        <v>26</v>
      </c>
      <c r="B48" s="123" t="s">
        <v>155</v>
      </c>
      <c r="C48" s="124">
        <v>654923.43000000005</v>
      </c>
      <c r="D48" s="124">
        <v>33331.089999999997</v>
      </c>
      <c r="E48" s="95">
        <f t="shared" si="1"/>
        <v>688254.52</v>
      </c>
      <c r="F48" s="124">
        <v>903536.92</v>
      </c>
      <c r="G48" s="124">
        <v>10210.799999999999</v>
      </c>
      <c r="H48" s="96">
        <f t="shared" si="0"/>
        <v>913747.72000000009</v>
      </c>
    </row>
    <row r="49" spans="1:9" ht="15.75" x14ac:dyDescent="0.3">
      <c r="A49" s="119">
        <v>27</v>
      </c>
      <c r="B49" s="123" t="s">
        <v>156</v>
      </c>
      <c r="C49" s="124">
        <v>5362174.1500000004</v>
      </c>
      <c r="D49" s="124">
        <v>0</v>
      </c>
      <c r="E49" s="95">
        <f t="shared" si="1"/>
        <v>5362174.1500000004</v>
      </c>
      <c r="F49" s="124">
        <v>5060187.1499999994</v>
      </c>
      <c r="G49" s="124">
        <v>0</v>
      </c>
      <c r="H49" s="96">
        <f t="shared" si="0"/>
        <v>5060187.1499999994</v>
      </c>
    </row>
    <row r="50" spans="1:9" ht="15.75" x14ac:dyDescent="0.3">
      <c r="A50" s="119">
        <v>28</v>
      </c>
      <c r="B50" s="123" t="s">
        <v>157</v>
      </c>
      <c r="C50" s="124">
        <v>7117.2</v>
      </c>
      <c r="D50" s="124">
        <v>0</v>
      </c>
      <c r="E50" s="95">
        <f t="shared" si="1"/>
        <v>7117.2</v>
      </c>
      <c r="F50" s="124">
        <v>1233.5</v>
      </c>
      <c r="G50" s="124">
        <v>0</v>
      </c>
      <c r="H50" s="96">
        <f t="shared" si="0"/>
        <v>1233.5</v>
      </c>
    </row>
    <row r="51" spans="1:9" ht="15.75" x14ac:dyDescent="0.3">
      <c r="A51" s="119">
        <v>29</v>
      </c>
      <c r="B51" s="123" t="s">
        <v>158</v>
      </c>
      <c r="C51" s="124">
        <v>1654692.0599999998</v>
      </c>
      <c r="D51" s="124">
        <v>0</v>
      </c>
      <c r="E51" s="95">
        <f t="shared" si="1"/>
        <v>1654692.0599999998</v>
      </c>
      <c r="F51" s="124">
        <v>2187267.06</v>
      </c>
      <c r="G51" s="124">
        <v>0</v>
      </c>
      <c r="H51" s="96">
        <f t="shared" si="0"/>
        <v>2187267.06</v>
      </c>
    </row>
    <row r="52" spans="1:9" ht="15.75" x14ac:dyDescent="0.3">
      <c r="A52" s="119">
        <v>30</v>
      </c>
      <c r="B52" s="123" t="s">
        <v>159</v>
      </c>
      <c r="C52" s="124">
        <v>2615135.2200000007</v>
      </c>
      <c r="D52" s="124">
        <v>256.86</v>
      </c>
      <c r="E52" s="95">
        <f t="shared" si="1"/>
        <v>2615392.0800000005</v>
      </c>
      <c r="F52" s="124">
        <v>2805472.83</v>
      </c>
      <c r="G52" s="124">
        <v>8883.8100000000013</v>
      </c>
      <c r="H52" s="96">
        <f t="shared" si="0"/>
        <v>2814356.64</v>
      </c>
    </row>
    <row r="53" spans="1:9" ht="15.75" x14ac:dyDescent="0.3">
      <c r="A53" s="119">
        <v>31</v>
      </c>
      <c r="B53" s="132" t="s">
        <v>160</v>
      </c>
      <c r="C53" s="126">
        <f>C47+C48+C49+C50+C51+C52</f>
        <v>10645966.73</v>
      </c>
      <c r="D53" s="126">
        <f>D47+D48+D49+D50+D51+D52</f>
        <v>391899.57999999996</v>
      </c>
      <c r="E53" s="95">
        <f t="shared" si="1"/>
        <v>11037866.310000001</v>
      </c>
      <c r="F53" s="126">
        <f>F47+F48+F49+F50+F51+F52</f>
        <v>11178854.119999999</v>
      </c>
      <c r="G53" s="126">
        <f>G47+G48+G49+G50+G51+G52</f>
        <v>323895.64999999997</v>
      </c>
      <c r="H53" s="96">
        <f t="shared" si="0"/>
        <v>11502749.77</v>
      </c>
    </row>
    <row r="54" spans="1:9" ht="15.75" x14ac:dyDescent="0.3">
      <c r="A54" s="119">
        <v>32</v>
      </c>
      <c r="B54" s="132" t="s">
        <v>161</v>
      </c>
      <c r="C54" s="126">
        <f>C45-C53</f>
        <v>-6329171.790000001</v>
      </c>
      <c r="D54" s="126">
        <f>D45-D53</f>
        <v>790049.32000000018</v>
      </c>
      <c r="E54" s="95">
        <f t="shared" si="1"/>
        <v>-5539122.4700000007</v>
      </c>
      <c r="F54" s="126">
        <f>F45-F53</f>
        <v>-8741418.4000000004</v>
      </c>
      <c r="G54" s="126">
        <f>G45-G53</f>
        <v>492118.9200000001</v>
      </c>
      <c r="H54" s="96">
        <f t="shared" si="0"/>
        <v>-8249299.4800000004</v>
      </c>
    </row>
    <row r="55" spans="1:9" x14ac:dyDescent="0.25">
      <c r="A55" s="119"/>
      <c r="B55" s="120"/>
      <c r="C55" s="133"/>
      <c r="D55" s="133"/>
      <c r="E55" s="133"/>
      <c r="F55" s="133"/>
      <c r="G55" s="133"/>
      <c r="H55" s="134"/>
    </row>
    <row r="56" spans="1:9" ht="15.75" x14ac:dyDescent="0.3">
      <c r="A56" s="119">
        <v>33</v>
      </c>
      <c r="B56" s="132" t="s">
        <v>162</v>
      </c>
      <c r="C56" s="126">
        <f>C31+C54</f>
        <v>2598766.6299999971</v>
      </c>
      <c r="D56" s="126">
        <f>D31+D54</f>
        <v>11123790.919999998</v>
      </c>
      <c r="E56" s="95">
        <f t="shared" si="1"/>
        <v>13722557.549999995</v>
      </c>
      <c r="F56" s="126">
        <f>F31+F54</f>
        <v>-1914475.7999999989</v>
      </c>
      <c r="G56" s="126">
        <f>G31+G54</f>
        <v>8192404.3699999992</v>
      </c>
      <c r="H56" s="96">
        <f t="shared" si="0"/>
        <v>6277928.5700000003</v>
      </c>
    </row>
    <row r="57" spans="1:9" x14ac:dyDescent="0.25">
      <c r="A57" s="119"/>
      <c r="B57" s="120"/>
      <c r="C57" s="124"/>
      <c r="D57" s="133"/>
      <c r="E57" s="133"/>
      <c r="F57" s="124"/>
      <c r="G57" s="133"/>
      <c r="H57" s="134"/>
    </row>
    <row r="58" spans="1:9" ht="15.75" x14ac:dyDescent="0.3">
      <c r="A58" s="119">
        <v>34</v>
      </c>
      <c r="B58" s="123" t="s">
        <v>163</v>
      </c>
      <c r="C58" s="124">
        <v>411540.0199999999</v>
      </c>
      <c r="D58" s="124" t="s">
        <v>439</v>
      </c>
      <c r="E58" s="95">
        <f>C58</f>
        <v>411540.0199999999</v>
      </c>
      <c r="F58" s="124">
        <v>-2647186.1700000004</v>
      </c>
      <c r="G58" s="124" t="s">
        <v>439</v>
      </c>
      <c r="H58" s="96">
        <f>F58</f>
        <v>-2647186.1700000004</v>
      </c>
    </row>
    <row r="59" spans="1:9" s="138" customFormat="1" ht="15.75" x14ac:dyDescent="0.3">
      <c r="A59" s="119">
        <v>35</v>
      </c>
      <c r="B59" s="135" t="s">
        <v>164</v>
      </c>
      <c r="C59" s="124">
        <v>0</v>
      </c>
      <c r="D59" s="124" t="s">
        <v>439</v>
      </c>
      <c r="E59" s="95">
        <f>C59</f>
        <v>0</v>
      </c>
      <c r="F59" s="124">
        <v>0</v>
      </c>
      <c r="G59" s="124" t="s">
        <v>439</v>
      </c>
      <c r="H59" s="96">
        <f>F59</f>
        <v>0</v>
      </c>
      <c r="I59" s="137"/>
    </row>
    <row r="60" spans="1:9" ht="15.75" x14ac:dyDescent="0.3">
      <c r="A60" s="119">
        <v>36</v>
      </c>
      <c r="B60" s="123" t="s">
        <v>165</v>
      </c>
      <c r="C60" s="124">
        <v>4658460.59</v>
      </c>
      <c r="D60" s="124" t="s">
        <v>439</v>
      </c>
      <c r="E60" s="95">
        <f>C60</f>
        <v>4658460.59</v>
      </c>
      <c r="F60" s="124">
        <v>996121.29</v>
      </c>
      <c r="G60" s="124" t="s">
        <v>439</v>
      </c>
      <c r="H60" s="96">
        <f>F60</f>
        <v>996121.29</v>
      </c>
    </row>
    <row r="61" spans="1:9" ht="15.75" x14ac:dyDescent="0.3">
      <c r="A61" s="119">
        <v>37</v>
      </c>
      <c r="B61" s="132" t="s">
        <v>166</v>
      </c>
      <c r="C61" s="126">
        <f>C58+C59+C60</f>
        <v>5070000.6099999994</v>
      </c>
      <c r="D61" s="126">
        <v>0</v>
      </c>
      <c r="E61" s="95">
        <f t="shared" si="1"/>
        <v>5070000.6099999994</v>
      </c>
      <c r="F61" s="126">
        <f>F58+F59+F60</f>
        <v>-1651064.8800000004</v>
      </c>
      <c r="G61" s="126">
        <v>0</v>
      </c>
      <c r="H61" s="96">
        <f t="shared" si="0"/>
        <v>-1651064.8800000004</v>
      </c>
    </row>
    <row r="62" spans="1:9" x14ac:dyDescent="0.25">
      <c r="A62" s="119"/>
      <c r="B62" s="139"/>
      <c r="C62" s="124"/>
      <c r="D62" s="124"/>
      <c r="E62" s="124"/>
      <c r="F62" s="124"/>
      <c r="G62" s="124"/>
      <c r="H62" s="136"/>
    </row>
    <row r="63" spans="1:9" ht="15.75" x14ac:dyDescent="0.3">
      <c r="A63" s="119">
        <v>38</v>
      </c>
      <c r="B63" s="140" t="s">
        <v>167</v>
      </c>
      <c r="C63" s="126">
        <f>C56-C61</f>
        <v>-2471233.9800000023</v>
      </c>
      <c r="D63" s="126">
        <f>D56-D61</f>
        <v>11123790.919999998</v>
      </c>
      <c r="E63" s="95">
        <f t="shared" si="1"/>
        <v>8652556.9399999958</v>
      </c>
      <c r="F63" s="126">
        <f>F56-F61</f>
        <v>-263410.91999999853</v>
      </c>
      <c r="G63" s="126">
        <f>G56-G61</f>
        <v>8192404.3699999992</v>
      </c>
      <c r="H63" s="96">
        <f t="shared" si="0"/>
        <v>7928993.4500000011</v>
      </c>
    </row>
    <row r="64" spans="1:9" ht="15.75" x14ac:dyDescent="0.3">
      <c r="A64" s="115">
        <v>39</v>
      </c>
      <c r="B64" s="123" t="s">
        <v>168</v>
      </c>
      <c r="C64" s="124">
        <v>0</v>
      </c>
      <c r="D64" s="124">
        <v>0</v>
      </c>
      <c r="E64" s="95">
        <f t="shared" si="1"/>
        <v>0</v>
      </c>
      <c r="F64" s="124">
        <v>0</v>
      </c>
      <c r="G64" s="124">
        <v>0</v>
      </c>
      <c r="H64" s="96">
        <f t="shared" si="0"/>
        <v>0</v>
      </c>
    </row>
    <row r="65" spans="1:8" ht="15.75" x14ac:dyDescent="0.3">
      <c r="A65" s="119">
        <v>40</v>
      </c>
      <c r="B65" s="132" t="s">
        <v>169</v>
      </c>
      <c r="C65" s="126">
        <f>C63-C64</f>
        <v>-2471233.9800000023</v>
      </c>
      <c r="D65" s="126">
        <f>D63-D64</f>
        <v>11123790.919999998</v>
      </c>
      <c r="E65" s="95">
        <f t="shared" si="1"/>
        <v>8652556.9399999958</v>
      </c>
      <c r="F65" s="126">
        <f>F63-F64</f>
        <v>-263410.91999999853</v>
      </c>
      <c r="G65" s="126">
        <f>G63-G64</f>
        <v>8192404.3699999992</v>
      </c>
      <c r="H65" s="96">
        <f t="shared" si="0"/>
        <v>7928993.4500000011</v>
      </c>
    </row>
    <row r="66" spans="1:8" ht="15.75" x14ac:dyDescent="0.3">
      <c r="A66" s="115">
        <v>41</v>
      </c>
      <c r="B66" s="123" t="s">
        <v>170</v>
      </c>
      <c r="C66" s="124">
        <v>0</v>
      </c>
      <c r="D66" s="124">
        <v>0</v>
      </c>
      <c r="E66" s="95">
        <f t="shared" si="1"/>
        <v>0</v>
      </c>
      <c r="F66" s="124">
        <v>0</v>
      </c>
      <c r="G66" s="124">
        <v>0</v>
      </c>
      <c r="H66" s="96">
        <f t="shared" si="0"/>
        <v>0</v>
      </c>
    </row>
    <row r="67" spans="1:8" ht="16.5" thickBot="1" x14ac:dyDescent="0.35">
      <c r="A67" s="141">
        <v>42</v>
      </c>
      <c r="B67" s="142" t="s">
        <v>171</v>
      </c>
      <c r="C67" s="143">
        <f>C65+C66</f>
        <v>-2471233.9800000023</v>
      </c>
      <c r="D67" s="143">
        <f>D65+D66</f>
        <v>11123790.919999998</v>
      </c>
      <c r="E67" s="105">
        <f t="shared" si="1"/>
        <v>8652556.9399999958</v>
      </c>
      <c r="F67" s="143">
        <f>F65+F66</f>
        <v>-263410.91999999853</v>
      </c>
      <c r="G67" s="143">
        <f>G65+G66</f>
        <v>8192404.3699999992</v>
      </c>
      <c r="H67" s="106">
        <f t="shared" si="0"/>
        <v>7928993.4500000011</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J54"/>
  <sheetViews>
    <sheetView topLeftCell="A46" zoomScaleNormal="100" workbookViewId="0">
      <selection activeCell="C9" sqref="C9"/>
    </sheetView>
  </sheetViews>
  <sheetFormatPr defaultRowHeight="15" x14ac:dyDescent="0.25"/>
  <cols>
    <col min="1" max="1" width="9.5703125" bestFit="1" customWidth="1"/>
    <col min="2" max="2" width="72.28515625" customWidth="1"/>
    <col min="3" max="3" width="14" style="159" bestFit="1" customWidth="1"/>
    <col min="4" max="4" width="14.140625" style="159" customWidth="1"/>
    <col min="5" max="5" width="14.85546875" style="159" customWidth="1"/>
    <col min="6" max="6" width="12.7109375" style="159" customWidth="1"/>
    <col min="7" max="7" width="13.5703125" style="159" bestFit="1" customWidth="1"/>
    <col min="8" max="8" width="12.7109375" style="159" customWidth="1"/>
    <col min="9" max="9" width="14.85546875" style="159" customWidth="1"/>
    <col min="10" max="10" width="9.140625" style="159"/>
  </cols>
  <sheetData>
    <row r="1" spans="1:10" x14ac:dyDescent="0.25">
      <c r="A1" s="22" t="s">
        <v>29</v>
      </c>
      <c r="B1" s="22" t="str">
        <f>'1. key ratios'!B1</f>
        <v>სს ტერაბანკი</v>
      </c>
      <c r="C1"/>
      <c r="D1"/>
      <c r="E1"/>
      <c r="F1"/>
      <c r="G1"/>
      <c r="H1"/>
      <c r="I1"/>
      <c r="J1"/>
    </row>
    <row r="2" spans="1:10" x14ac:dyDescent="0.25">
      <c r="A2" s="22" t="s">
        <v>31</v>
      </c>
      <c r="B2" s="82">
        <f>'1. key ratios'!B2</f>
        <v>43281</v>
      </c>
      <c r="C2"/>
      <c r="D2"/>
      <c r="E2"/>
      <c r="F2"/>
      <c r="G2"/>
      <c r="H2"/>
      <c r="I2"/>
      <c r="J2"/>
    </row>
    <row r="3" spans="1:10" x14ac:dyDescent="0.25">
      <c r="A3" s="22"/>
      <c r="C3"/>
      <c r="D3"/>
      <c r="E3"/>
      <c r="F3" s="144"/>
      <c r="G3"/>
      <c r="H3"/>
      <c r="I3"/>
      <c r="J3"/>
    </row>
    <row r="4" spans="1:10" ht="16.5" thickBot="1" x14ac:dyDescent="0.35">
      <c r="A4" s="22" t="s">
        <v>172</v>
      </c>
      <c r="B4" s="22"/>
      <c r="C4" s="145"/>
      <c r="D4" s="145"/>
      <c r="E4" s="145"/>
      <c r="F4" s="146"/>
      <c r="G4" s="146"/>
      <c r="H4" s="147" t="s">
        <v>70</v>
      </c>
      <c r="I4"/>
      <c r="J4"/>
    </row>
    <row r="5" spans="1:10" ht="15.75" x14ac:dyDescent="0.3">
      <c r="A5" s="478" t="s">
        <v>33</v>
      </c>
      <c r="B5" s="480" t="s">
        <v>173</v>
      </c>
      <c r="C5" s="482" t="s">
        <v>71</v>
      </c>
      <c r="D5" s="482"/>
      <c r="E5" s="482"/>
      <c r="F5" s="482" t="s">
        <v>72</v>
      </c>
      <c r="G5" s="482"/>
      <c r="H5" s="483"/>
      <c r="I5"/>
      <c r="J5"/>
    </row>
    <row r="6" spans="1:10" x14ac:dyDescent="0.25">
      <c r="A6" s="479"/>
      <c r="B6" s="481"/>
      <c r="C6" s="91" t="s">
        <v>74</v>
      </c>
      <c r="D6" s="91" t="s">
        <v>75</v>
      </c>
      <c r="E6" s="91" t="s">
        <v>76</v>
      </c>
      <c r="F6" s="91" t="s">
        <v>74</v>
      </c>
      <c r="G6" s="91" t="s">
        <v>75</v>
      </c>
      <c r="H6" s="92" t="s">
        <v>76</v>
      </c>
      <c r="I6"/>
      <c r="J6"/>
    </row>
    <row r="7" spans="1:10" s="21" customFormat="1" ht="15.75" x14ac:dyDescent="0.3">
      <c r="A7" s="148">
        <v>1</v>
      </c>
      <c r="B7" s="149" t="s">
        <v>174</v>
      </c>
      <c r="C7" s="94">
        <f>SUM(C8:C11)</f>
        <v>49996548.709999979</v>
      </c>
      <c r="D7" s="94">
        <f>SUM(D8:D11)</f>
        <v>30879875.630000003</v>
      </c>
      <c r="E7" s="95">
        <f>C7+D7</f>
        <v>80876424.339999974</v>
      </c>
      <c r="F7" s="94"/>
      <c r="G7" s="94"/>
      <c r="H7" s="96">
        <f t="shared" ref="H7:H53" si="0">F7+G7</f>
        <v>0</v>
      </c>
      <c r="I7" s="150"/>
      <c r="J7" s="150"/>
    </row>
    <row r="8" spans="1:10" s="21" customFormat="1" ht="15.75" x14ac:dyDescent="0.3">
      <c r="A8" s="148">
        <v>1.1000000000000001</v>
      </c>
      <c r="B8" s="151" t="s">
        <v>175</v>
      </c>
      <c r="C8" s="94">
        <v>38424920.950000003</v>
      </c>
      <c r="D8" s="94">
        <v>23132480.25</v>
      </c>
      <c r="E8" s="95">
        <f t="shared" ref="E8:E53" si="1">C8+D8</f>
        <v>61557401.200000003</v>
      </c>
      <c r="F8" s="94"/>
      <c r="G8" s="94"/>
      <c r="H8" s="96">
        <f t="shared" si="0"/>
        <v>0</v>
      </c>
      <c r="I8" s="150"/>
      <c r="J8" s="150"/>
    </row>
    <row r="9" spans="1:10" s="21" customFormat="1" ht="15.75" x14ac:dyDescent="0.3">
      <c r="A9" s="148">
        <v>1.2</v>
      </c>
      <c r="B9" s="151" t="s">
        <v>176</v>
      </c>
      <c r="C9" s="94">
        <v>2379000</v>
      </c>
      <c r="D9" s="94">
        <v>654189.18999999994</v>
      </c>
      <c r="E9" s="95">
        <f t="shared" si="1"/>
        <v>3033189.19</v>
      </c>
      <c r="F9" s="94"/>
      <c r="G9" s="94"/>
      <c r="H9" s="96">
        <f t="shared" si="0"/>
        <v>0</v>
      </c>
      <c r="I9" s="150"/>
      <c r="J9" s="150"/>
    </row>
    <row r="10" spans="1:10" s="21" customFormat="1" ht="15.75" x14ac:dyDescent="0.3">
      <c r="A10" s="148">
        <v>1.3</v>
      </c>
      <c r="B10" s="151" t="s">
        <v>177</v>
      </c>
      <c r="C10" s="94">
        <v>9192627.7599999793</v>
      </c>
      <c r="D10" s="94">
        <v>6057576.7999999998</v>
      </c>
      <c r="E10" s="95">
        <f t="shared" si="1"/>
        <v>15250204.55999998</v>
      </c>
      <c r="F10" s="94"/>
      <c r="G10" s="94"/>
      <c r="H10" s="96">
        <f t="shared" si="0"/>
        <v>0</v>
      </c>
      <c r="I10" s="150"/>
      <c r="J10" s="150"/>
    </row>
    <row r="11" spans="1:10" s="21" customFormat="1" ht="15.75" x14ac:dyDescent="0.3">
      <c r="A11" s="148">
        <v>1.4</v>
      </c>
      <c r="B11" s="151" t="s">
        <v>178</v>
      </c>
      <c r="C11" s="94">
        <v>0</v>
      </c>
      <c r="D11" s="94">
        <v>1035629.39</v>
      </c>
      <c r="E11" s="95">
        <f t="shared" si="1"/>
        <v>1035629.39</v>
      </c>
      <c r="F11" s="94"/>
      <c r="G11" s="94"/>
      <c r="H11" s="96">
        <f t="shared" si="0"/>
        <v>0</v>
      </c>
      <c r="I11" s="150"/>
      <c r="J11" s="150"/>
    </row>
    <row r="12" spans="1:10" s="21" customFormat="1" ht="29.25" customHeight="1" x14ac:dyDescent="0.3">
      <c r="A12" s="148">
        <v>2</v>
      </c>
      <c r="B12" s="149" t="s">
        <v>179</v>
      </c>
      <c r="C12" s="94"/>
      <c r="D12" s="94"/>
      <c r="E12" s="95">
        <f t="shared" si="1"/>
        <v>0</v>
      </c>
      <c r="F12" s="94"/>
      <c r="G12" s="94"/>
      <c r="H12" s="96">
        <f t="shared" si="0"/>
        <v>0</v>
      </c>
      <c r="I12" s="150"/>
      <c r="J12" s="150"/>
    </row>
    <row r="13" spans="1:10" s="21" customFormat="1" ht="25.5" x14ac:dyDescent="0.3">
      <c r="A13" s="148">
        <v>3</v>
      </c>
      <c r="B13" s="149" t="s">
        <v>180</v>
      </c>
      <c r="C13" s="94">
        <v>38041000</v>
      </c>
      <c r="D13" s="94">
        <v>0</v>
      </c>
      <c r="E13" s="95">
        <f t="shared" si="1"/>
        <v>38041000</v>
      </c>
      <c r="F13" s="94"/>
      <c r="G13" s="94"/>
      <c r="H13" s="96">
        <f t="shared" si="0"/>
        <v>0</v>
      </c>
      <c r="I13" s="150"/>
      <c r="J13" s="150"/>
    </row>
    <row r="14" spans="1:10" s="21" customFormat="1" ht="15.75" x14ac:dyDescent="0.3">
      <c r="A14" s="148">
        <v>3.1</v>
      </c>
      <c r="B14" s="151" t="s">
        <v>181</v>
      </c>
      <c r="C14" s="94">
        <f>C13</f>
        <v>38041000</v>
      </c>
      <c r="D14" s="94">
        <f>D13</f>
        <v>0</v>
      </c>
      <c r="E14" s="95">
        <f t="shared" si="1"/>
        <v>38041000</v>
      </c>
      <c r="F14" s="94"/>
      <c r="G14" s="94"/>
      <c r="H14" s="96">
        <f t="shared" si="0"/>
        <v>0</v>
      </c>
      <c r="I14" s="150"/>
      <c r="J14" s="150"/>
    </row>
    <row r="15" spans="1:10" s="21" customFormat="1" ht="15.75" x14ac:dyDescent="0.3">
      <c r="A15" s="148">
        <v>3.2</v>
      </c>
      <c r="B15" s="151" t="s">
        <v>182</v>
      </c>
      <c r="C15" s="94"/>
      <c r="D15" s="94"/>
      <c r="E15" s="95">
        <f t="shared" si="1"/>
        <v>0</v>
      </c>
      <c r="F15" s="94"/>
      <c r="G15" s="94"/>
      <c r="H15" s="96">
        <f t="shared" si="0"/>
        <v>0</v>
      </c>
      <c r="I15" s="150"/>
      <c r="J15" s="150"/>
    </row>
    <row r="16" spans="1:10" s="21" customFormat="1" ht="15.75" x14ac:dyDescent="0.3">
      <c r="A16" s="148">
        <v>4</v>
      </c>
      <c r="B16" s="149" t="s">
        <v>183</v>
      </c>
      <c r="C16" s="94">
        <v>176702635.87999967</v>
      </c>
      <c r="D16" s="94">
        <v>314675757.50000036</v>
      </c>
      <c r="E16" s="95">
        <f t="shared" si="1"/>
        <v>491378393.38</v>
      </c>
      <c r="F16" s="94"/>
      <c r="G16" s="94"/>
      <c r="H16" s="96">
        <f t="shared" si="0"/>
        <v>0</v>
      </c>
      <c r="J16" s="150"/>
    </row>
    <row r="17" spans="1:10" s="21" customFormat="1" ht="15.75" x14ac:dyDescent="0.3">
      <c r="A17" s="148">
        <v>4.0999999999999996</v>
      </c>
      <c r="B17" s="151" t="s">
        <v>184</v>
      </c>
      <c r="C17" s="94">
        <v>176702635.87999967</v>
      </c>
      <c r="D17" s="94">
        <v>314675757.50000036</v>
      </c>
      <c r="E17" s="95">
        <f t="shared" si="1"/>
        <v>491378393.38</v>
      </c>
      <c r="F17" s="94"/>
      <c r="G17" s="94"/>
      <c r="H17" s="96">
        <f t="shared" si="0"/>
        <v>0</v>
      </c>
      <c r="J17" s="150"/>
    </row>
    <row r="18" spans="1:10" s="21" customFormat="1" ht="15.75" x14ac:dyDescent="0.3">
      <c r="A18" s="148">
        <v>4.2</v>
      </c>
      <c r="B18" s="151" t="s">
        <v>185</v>
      </c>
      <c r="C18" s="94">
        <v>0</v>
      </c>
      <c r="D18" s="94">
        <v>0</v>
      </c>
      <c r="E18" s="95">
        <f t="shared" si="1"/>
        <v>0</v>
      </c>
      <c r="F18" s="94"/>
      <c r="G18" s="94"/>
      <c r="H18" s="96">
        <f t="shared" si="0"/>
        <v>0</v>
      </c>
      <c r="I18" s="150"/>
      <c r="J18" s="150"/>
    </row>
    <row r="19" spans="1:10" s="21" customFormat="1" ht="25.5" x14ac:dyDescent="0.3">
      <c r="A19" s="148">
        <v>5</v>
      </c>
      <c r="B19" s="149" t="s">
        <v>186</v>
      </c>
      <c r="C19" s="94">
        <v>483718718.66999966</v>
      </c>
      <c r="D19" s="94">
        <v>662362545.6500001</v>
      </c>
      <c r="E19" s="95">
        <f t="shared" si="1"/>
        <v>1146081264.3199997</v>
      </c>
      <c r="F19" s="94"/>
      <c r="G19" s="94"/>
      <c r="H19" s="96">
        <f t="shared" si="0"/>
        <v>0</v>
      </c>
      <c r="I19" s="150"/>
      <c r="J19" s="150"/>
    </row>
    <row r="20" spans="1:10" s="21" customFormat="1" ht="15.75" x14ac:dyDescent="0.3">
      <c r="A20" s="148">
        <v>5.0999999999999996</v>
      </c>
      <c r="B20" s="151" t="s">
        <v>187</v>
      </c>
      <c r="C20" s="94">
        <v>30641376.119999994</v>
      </c>
      <c r="D20" s="94">
        <v>29249759.129999995</v>
      </c>
      <c r="E20" s="95">
        <f t="shared" si="1"/>
        <v>59891135.249999985</v>
      </c>
      <c r="F20" s="94"/>
      <c r="G20" s="94"/>
      <c r="H20" s="96">
        <f t="shared" si="0"/>
        <v>0</v>
      </c>
      <c r="I20" s="150"/>
      <c r="J20" s="150"/>
    </row>
    <row r="21" spans="1:10" s="21" customFormat="1" ht="15.75" x14ac:dyDescent="0.3">
      <c r="A21" s="148">
        <v>5.2</v>
      </c>
      <c r="B21" s="151" t="s">
        <v>188</v>
      </c>
      <c r="C21" s="94">
        <v>68092788.140000001</v>
      </c>
      <c r="D21" s="94">
        <v>32053242.459999997</v>
      </c>
      <c r="E21" s="95">
        <f t="shared" si="1"/>
        <v>100146030.59999999</v>
      </c>
      <c r="F21" s="94"/>
      <c r="G21" s="94"/>
      <c r="H21" s="96">
        <f t="shared" si="0"/>
        <v>0</v>
      </c>
      <c r="I21" s="150"/>
      <c r="J21" s="150"/>
    </row>
    <row r="22" spans="1:10" s="21" customFormat="1" ht="15.75" x14ac:dyDescent="0.3">
      <c r="A22" s="148">
        <v>5.3</v>
      </c>
      <c r="B22" s="151" t="s">
        <v>189</v>
      </c>
      <c r="C22" s="94">
        <v>332602779.10999966</v>
      </c>
      <c r="D22" s="94">
        <v>550477528.5200001</v>
      </c>
      <c r="E22" s="95">
        <f t="shared" si="1"/>
        <v>883080307.62999976</v>
      </c>
      <c r="F22" s="94"/>
      <c r="G22" s="94"/>
      <c r="H22" s="96">
        <f t="shared" si="0"/>
        <v>0</v>
      </c>
      <c r="I22" s="150"/>
      <c r="J22" s="150"/>
    </row>
    <row r="23" spans="1:10" s="21" customFormat="1" ht="15.75" x14ac:dyDescent="0.3">
      <c r="A23" s="148" t="s">
        <v>190</v>
      </c>
      <c r="B23" s="152" t="s">
        <v>191</v>
      </c>
      <c r="C23" s="94">
        <v>216629178.64999965</v>
      </c>
      <c r="D23" s="94">
        <v>263440791.52000004</v>
      </c>
      <c r="E23" s="95">
        <f t="shared" si="1"/>
        <v>480069970.16999972</v>
      </c>
      <c r="F23" s="94"/>
      <c r="G23" s="94"/>
      <c r="H23" s="96">
        <f t="shared" si="0"/>
        <v>0</v>
      </c>
      <c r="I23" s="150"/>
      <c r="J23" s="150"/>
    </row>
    <row r="24" spans="1:10" s="21" customFormat="1" ht="15.75" x14ac:dyDescent="0.3">
      <c r="A24" s="148" t="s">
        <v>192</v>
      </c>
      <c r="B24" s="152" t="s">
        <v>193</v>
      </c>
      <c r="C24" s="94">
        <v>73526244.069999993</v>
      </c>
      <c r="D24" s="94">
        <v>230764203.44000006</v>
      </c>
      <c r="E24" s="95">
        <f t="shared" si="1"/>
        <v>304290447.51000005</v>
      </c>
      <c r="F24" s="94"/>
      <c r="G24" s="94"/>
      <c r="H24" s="96">
        <f t="shared" si="0"/>
        <v>0</v>
      </c>
      <c r="I24" s="150"/>
      <c r="J24" s="150"/>
    </row>
    <row r="25" spans="1:10" s="21" customFormat="1" ht="15.75" x14ac:dyDescent="0.3">
      <c r="A25" s="148" t="s">
        <v>194</v>
      </c>
      <c r="B25" s="153" t="s">
        <v>195</v>
      </c>
      <c r="C25" s="94">
        <v>7522948.1100000022</v>
      </c>
      <c r="D25" s="94">
        <v>10774829.73</v>
      </c>
      <c r="E25" s="95">
        <f t="shared" si="1"/>
        <v>18297777.840000004</v>
      </c>
      <c r="F25" s="94"/>
      <c r="G25" s="94"/>
      <c r="H25" s="96">
        <f t="shared" si="0"/>
        <v>0</v>
      </c>
      <c r="I25" s="150"/>
      <c r="J25" s="150"/>
    </row>
    <row r="26" spans="1:10" s="21" customFormat="1" ht="15.75" x14ac:dyDescent="0.3">
      <c r="A26" s="148" t="s">
        <v>196</v>
      </c>
      <c r="B26" s="152" t="s">
        <v>197</v>
      </c>
      <c r="C26" s="94">
        <v>23090565.949999992</v>
      </c>
      <c r="D26" s="94">
        <v>37999182.270000011</v>
      </c>
      <c r="E26" s="95">
        <f t="shared" si="1"/>
        <v>61089748.219999999</v>
      </c>
      <c r="F26" s="94"/>
      <c r="G26" s="94"/>
      <c r="H26" s="96">
        <f t="shared" si="0"/>
        <v>0</v>
      </c>
      <c r="I26" s="150"/>
      <c r="J26" s="150"/>
    </row>
    <row r="27" spans="1:10" s="21" customFormat="1" ht="15.75" x14ac:dyDescent="0.3">
      <c r="A27" s="148" t="s">
        <v>198</v>
      </c>
      <c r="B27" s="152" t="s">
        <v>199</v>
      </c>
      <c r="C27" s="94">
        <v>11833842.329999994</v>
      </c>
      <c r="D27" s="94">
        <v>7498521.5599999987</v>
      </c>
      <c r="E27" s="95">
        <f t="shared" si="1"/>
        <v>19332363.889999993</v>
      </c>
      <c r="F27" s="94"/>
      <c r="G27" s="94"/>
      <c r="H27" s="96">
        <f t="shared" si="0"/>
        <v>0</v>
      </c>
      <c r="I27" s="150"/>
      <c r="J27" s="150"/>
    </row>
    <row r="28" spans="1:10" s="21" customFormat="1" ht="15.75" x14ac:dyDescent="0.3">
      <c r="A28" s="148">
        <v>5.4</v>
      </c>
      <c r="B28" s="151" t="s">
        <v>200</v>
      </c>
      <c r="C28" s="94">
        <v>6671356.7899999991</v>
      </c>
      <c r="D28" s="94">
        <v>17309930.460000005</v>
      </c>
      <c r="E28" s="95">
        <f t="shared" si="1"/>
        <v>23981287.250000004</v>
      </c>
      <c r="F28" s="94"/>
      <c r="G28" s="94"/>
      <c r="H28" s="96">
        <f t="shared" si="0"/>
        <v>0</v>
      </c>
      <c r="I28" s="150"/>
      <c r="J28" s="150"/>
    </row>
    <row r="29" spans="1:10" s="21" customFormat="1" ht="15.75" x14ac:dyDescent="0.3">
      <c r="A29" s="148">
        <v>5.5</v>
      </c>
      <c r="B29" s="151" t="s">
        <v>201</v>
      </c>
      <c r="C29" s="94">
        <v>0</v>
      </c>
      <c r="D29" s="94">
        <v>0</v>
      </c>
      <c r="E29" s="95">
        <f t="shared" si="1"/>
        <v>0</v>
      </c>
      <c r="F29" s="94"/>
      <c r="G29" s="94"/>
      <c r="H29" s="96">
        <f t="shared" si="0"/>
        <v>0</v>
      </c>
      <c r="I29" s="150"/>
      <c r="J29" s="150"/>
    </row>
    <row r="30" spans="1:10" s="21" customFormat="1" ht="15.75" x14ac:dyDescent="0.3">
      <c r="A30" s="148">
        <v>5.6</v>
      </c>
      <c r="B30" s="151" t="s">
        <v>202</v>
      </c>
      <c r="C30" s="94">
        <v>0</v>
      </c>
      <c r="D30" s="94">
        <v>0</v>
      </c>
      <c r="E30" s="95">
        <f t="shared" si="1"/>
        <v>0</v>
      </c>
      <c r="F30" s="94"/>
      <c r="G30" s="94"/>
      <c r="H30" s="96">
        <f t="shared" si="0"/>
        <v>0</v>
      </c>
      <c r="I30" s="150"/>
      <c r="J30" s="150"/>
    </row>
    <row r="31" spans="1:10" s="21" customFormat="1" ht="15.75" x14ac:dyDescent="0.3">
      <c r="A31" s="148">
        <v>5.7</v>
      </c>
      <c r="B31" s="151" t="s">
        <v>203</v>
      </c>
      <c r="C31" s="94">
        <v>45710418.50999999</v>
      </c>
      <c r="D31" s="94">
        <v>33272085.079999994</v>
      </c>
      <c r="E31" s="95">
        <f t="shared" si="1"/>
        <v>78982503.589999989</v>
      </c>
      <c r="F31" s="94"/>
      <c r="G31" s="94"/>
      <c r="H31" s="96">
        <f t="shared" si="0"/>
        <v>0</v>
      </c>
      <c r="I31" s="150"/>
      <c r="J31" s="150"/>
    </row>
    <row r="32" spans="1:10" s="21" customFormat="1" ht="15.75" x14ac:dyDescent="0.3">
      <c r="A32" s="148">
        <v>6</v>
      </c>
      <c r="B32" s="149" t="s">
        <v>204</v>
      </c>
      <c r="C32" s="94">
        <f>SUM(C33:C39)</f>
        <v>55711626.399999999</v>
      </c>
      <c r="D32" s="94">
        <f>SUM(D33:D39)</f>
        <v>55266418.799999997</v>
      </c>
      <c r="E32" s="95">
        <f t="shared" si="1"/>
        <v>110978045.19999999</v>
      </c>
      <c r="F32" s="94"/>
      <c r="G32" s="94"/>
      <c r="H32" s="96">
        <f t="shared" si="0"/>
        <v>0</v>
      </c>
      <c r="I32" s="150"/>
      <c r="J32" s="150"/>
    </row>
    <row r="33" spans="1:10" s="21" customFormat="1" ht="25.5" x14ac:dyDescent="0.3">
      <c r="A33" s="148">
        <v>6.1</v>
      </c>
      <c r="B33" s="151" t="s">
        <v>205</v>
      </c>
      <c r="C33" s="94">
        <v>55711626.399999999</v>
      </c>
      <c r="D33" s="94">
        <v>0</v>
      </c>
      <c r="E33" s="95">
        <f t="shared" si="1"/>
        <v>55711626.399999999</v>
      </c>
      <c r="F33" s="94"/>
      <c r="G33" s="94"/>
      <c r="H33" s="96">
        <f t="shared" si="0"/>
        <v>0</v>
      </c>
      <c r="I33" s="150"/>
      <c r="J33" s="150"/>
    </row>
    <row r="34" spans="1:10" s="21" customFormat="1" ht="25.5" x14ac:dyDescent="0.3">
      <c r="A34" s="148">
        <v>6.2</v>
      </c>
      <c r="B34" s="151" t="s">
        <v>206</v>
      </c>
      <c r="C34" s="94">
        <v>0</v>
      </c>
      <c r="D34" s="94">
        <v>55266418.799999997</v>
      </c>
      <c r="E34" s="95">
        <f t="shared" si="1"/>
        <v>55266418.799999997</v>
      </c>
      <c r="F34" s="94"/>
      <c r="G34" s="94"/>
      <c r="H34" s="96">
        <f t="shared" si="0"/>
        <v>0</v>
      </c>
      <c r="I34" s="150"/>
      <c r="J34" s="150"/>
    </row>
    <row r="35" spans="1:10" s="21" customFormat="1" ht="25.5" x14ac:dyDescent="0.3">
      <c r="A35" s="148">
        <v>6.3</v>
      </c>
      <c r="B35" s="151" t="s">
        <v>207</v>
      </c>
      <c r="C35" s="94">
        <v>0</v>
      </c>
      <c r="D35" s="94">
        <v>0</v>
      </c>
      <c r="E35" s="95">
        <f t="shared" si="1"/>
        <v>0</v>
      </c>
      <c r="F35" s="94"/>
      <c r="G35" s="94"/>
      <c r="H35" s="96">
        <f t="shared" si="0"/>
        <v>0</v>
      </c>
      <c r="I35" s="150"/>
      <c r="J35" s="150"/>
    </row>
    <row r="36" spans="1:10" s="21" customFormat="1" ht="15.75" x14ac:dyDescent="0.3">
      <c r="A36" s="148">
        <v>6.4</v>
      </c>
      <c r="B36" s="151" t="s">
        <v>208</v>
      </c>
      <c r="C36" s="94"/>
      <c r="D36" s="94"/>
      <c r="E36" s="95">
        <f t="shared" si="1"/>
        <v>0</v>
      </c>
      <c r="F36" s="94"/>
      <c r="G36" s="94"/>
      <c r="H36" s="96">
        <f t="shared" si="0"/>
        <v>0</v>
      </c>
      <c r="I36" s="150"/>
      <c r="J36" s="150"/>
    </row>
    <row r="37" spans="1:10" s="21" customFormat="1" ht="15.75" x14ac:dyDescent="0.3">
      <c r="A37" s="148">
        <v>6.5</v>
      </c>
      <c r="B37" s="151" t="s">
        <v>209</v>
      </c>
      <c r="C37" s="94"/>
      <c r="D37" s="94"/>
      <c r="E37" s="95">
        <f t="shared" si="1"/>
        <v>0</v>
      </c>
      <c r="F37" s="94"/>
      <c r="G37" s="94"/>
      <c r="H37" s="96">
        <f t="shared" si="0"/>
        <v>0</v>
      </c>
      <c r="I37" s="150"/>
      <c r="J37" s="150"/>
    </row>
    <row r="38" spans="1:10" s="21" customFormat="1" ht="25.5" x14ac:dyDescent="0.3">
      <c r="A38" s="148">
        <v>6.6</v>
      </c>
      <c r="B38" s="151" t="s">
        <v>210</v>
      </c>
      <c r="C38" s="94"/>
      <c r="D38" s="94"/>
      <c r="E38" s="95">
        <f t="shared" si="1"/>
        <v>0</v>
      </c>
      <c r="F38" s="94"/>
      <c r="G38" s="94"/>
      <c r="H38" s="96">
        <f t="shared" si="0"/>
        <v>0</v>
      </c>
      <c r="I38" s="150"/>
      <c r="J38" s="150"/>
    </row>
    <row r="39" spans="1:10" s="21" customFormat="1" ht="25.5" x14ac:dyDescent="0.3">
      <c r="A39" s="148">
        <v>6.7</v>
      </c>
      <c r="B39" s="151" t="s">
        <v>211</v>
      </c>
      <c r="C39" s="94"/>
      <c r="D39" s="94"/>
      <c r="E39" s="95">
        <f t="shared" si="1"/>
        <v>0</v>
      </c>
      <c r="F39" s="94"/>
      <c r="G39" s="94"/>
      <c r="H39" s="96">
        <f t="shared" si="0"/>
        <v>0</v>
      </c>
      <c r="I39" s="150"/>
      <c r="J39" s="150"/>
    </row>
    <row r="40" spans="1:10" s="21" customFormat="1" ht="15.75" x14ac:dyDescent="0.3">
      <c r="A40" s="148">
        <v>7</v>
      </c>
      <c r="B40" s="149" t="s">
        <v>212</v>
      </c>
      <c r="C40" s="94"/>
      <c r="D40" s="94"/>
      <c r="E40" s="95">
        <f>C40+D40</f>
        <v>0</v>
      </c>
      <c r="F40" s="94"/>
      <c r="G40" s="94"/>
      <c r="H40" s="96">
        <f t="shared" si="0"/>
        <v>0</v>
      </c>
      <c r="I40" s="150"/>
      <c r="J40" s="150"/>
    </row>
    <row r="41" spans="1:10" s="21" customFormat="1" ht="25.5" x14ac:dyDescent="0.3">
      <c r="A41" s="148">
        <v>7.1</v>
      </c>
      <c r="B41" s="151" t="s">
        <v>213</v>
      </c>
      <c r="C41" s="94">
        <v>486269.83999999997</v>
      </c>
      <c r="D41" s="94">
        <v>4215.7067999999999</v>
      </c>
      <c r="E41" s="95">
        <f t="shared" si="1"/>
        <v>490485.54679999995</v>
      </c>
      <c r="F41" s="94"/>
      <c r="G41" s="94"/>
      <c r="H41" s="96">
        <f t="shared" si="0"/>
        <v>0</v>
      </c>
      <c r="I41" s="150"/>
      <c r="J41" s="150"/>
    </row>
    <row r="42" spans="1:10" s="21" customFormat="1" ht="25.5" x14ac:dyDescent="0.3">
      <c r="A42" s="148">
        <v>7.2</v>
      </c>
      <c r="B42" s="151" t="s">
        <v>214</v>
      </c>
      <c r="C42" s="94">
        <v>1767072.1399999997</v>
      </c>
      <c r="D42" s="94">
        <v>7804746.5710000005</v>
      </c>
      <c r="E42" s="95">
        <f t="shared" si="1"/>
        <v>9571818.7109999992</v>
      </c>
      <c r="F42" s="94"/>
      <c r="G42" s="94"/>
      <c r="H42" s="96">
        <f t="shared" si="0"/>
        <v>0</v>
      </c>
      <c r="I42" s="154"/>
      <c r="J42" s="150"/>
    </row>
    <row r="43" spans="1:10" s="21" customFormat="1" ht="25.5" x14ac:dyDescent="0.3">
      <c r="A43" s="148">
        <v>7.3</v>
      </c>
      <c r="B43" s="151" t="s">
        <v>215</v>
      </c>
      <c r="C43" s="94">
        <v>6421593.7931999955</v>
      </c>
      <c r="D43" s="94">
        <v>6312726.6333999969</v>
      </c>
      <c r="E43" s="95">
        <f t="shared" si="1"/>
        <v>12734320.426599992</v>
      </c>
      <c r="F43" s="94"/>
      <c r="G43" s="94"/>
      <c r="H43" s="96">
        <f t="shared" si="0"/>
        <v>0</v>
      </c>
      <c r="I43" s="150"/>
      <c r="J43" s="150"/>
    </row>
    <row r="44" spans="1:10" s="21" customFormat="1" ht="25.5" x14ac:dyDescent="0.3">
      <c r="A44" s="148">
        <v>7.4</v>
      </c>
      <c r="B44" s="151" t="s">
        <v>216</v>
      </c>
      <c r="C44" s="94">
        <v>46102637.419999972</v>
      </c>
      <c r="D44" s="94">
        <v>60213737.767499976</v>
      </c>
      <c r="E44" s="95">
        <f t="shared" si="1"/>
        <v>106316375.18749994</v>
      </c>
      <c r="F44" s="94"/>
      <c r="G44" s="94"/>
      <c r="H44" s="96">
        <f t="shared" si="0"/>
        <v>0</v>
      </c>
      <c r="I44" s="154"/>
      <c r="J44" s="150"/>
    </row>
    <row r="45" spans="1:10" s="21" customFormat="1" ht="15.75" x14ac:dyDescent="0.3">
      <c r="A45" s="148">
        <v>8</v>
      </c>
      <c r="B45" s="149" t="s">
        <v>217</v>
      </c>
      <c r="C45" s="94"/>
      <c r="D45" s="94"/>
      <c r="E45" s="95">
        <f t="shared" si="1"/>
        <v>0</v>
      </c>
      <c r="F45" s="94"/>
      <c r="G45" s="94"/>
      <c r="H45" s="96">
        <f t="shared" si="0"/>
        <v>0</v>
      </c>
      <c r="I45" s="150"/>
      <c r="J45" s="150"/>
    </row>
    <row r="46" spans="1:10" s="21" customFormat="1" ht="15.75" x14ac:dyDescent="0.3">
      <c r="A46" s="148">
        <v>8.1</v>
      </c>
      <c r="B46" s="151" t="s">
        <v>218</v>
      </c>
      <c r="C46" s="94"/>
      <c r="D46" s="94"/>
      <c r="E46" s="95">
        <f t="shared" si="1"/>
        <v>0</v>
      </c>
      <c r="F46" s="94"/>
      <c r="G46" s="94"/>
      <c r="H46" s="96">
        <f t="shared" si="0"/>
        <v>0</v>
      </c>
      <c r="I46" s="150"/>
      <c r="J46" s="150"/>
    </row>
    <row r="47" spans="1:10" s="21" customFormat="1" ht="15.75" x14ac:dyDescent="0.3">
      <c r="A47" s="148">
        <v>8.1999999999999993</v>
      </c>
      <c r="B47" s="151" t="s">
        <v>219</v>
      </c>
      <c r="C47" s="94"/>
      <c r="D47" s="94"/>
      <c r="E47" s="95">
        <f t="shared" si="1"/>
        <v>0</v>
      </c>
      <c r="F47" s="94"/>
      <c r="G47" s="94"/>
      <c r="H47" s="96">
        <f t="shared" si="0"/>
        <v>0</v>
      </c>
      <c r="I47" s="150"/>
      <c r="J47" s="150"/>
    </row>
    <row r="48" spans="1:10" s="21" customFormat="1" ht="15.75" x14ac:dyDescent="0.3">
      <c r="A48" s="148">
        <v>8.3000000000000007</v>
      </c>
      <c r="B48" s="151" t="s">
        <v>220</v>
      </c>
      <c r="C48" s="94"/>
      <c r="D48" s="94"/>
      <c r="E48" s="95">
        <f t="shared" si="1"/>
        <v>0</v>
      </c>
      <c r="F48" s="94"/>
      <c r="G48" s="94"/>
      <c r="H48" s="96">
        <f t="shared" si="0"/>
        <v>0</v>
      </c>
      <c r="I48" s="150"/>
      <c r="J48" s="150"/>
    </row>
    <row r="49" spans="1:10" s="21" customFormat="1" ht="15.75" x14ac:dyDescent="0.3">
      <c r="A49" s="148">
        <v>8.4</v>
      </c>
      <c r="B49" s="151" t="s">
        <v>221</v>
      </c>
      <c r="C49" s="94"/>
      <c r="D49" s="94"/>
      <c r="E49" s="95">
        <f t="shared" si="1"/>
        <v>0</v>
      </c>
      <c r="F49" s="94"/>
      <c r="G49" s="94"/>
      <c r="H49" s="96">
        <f t="shared" si="0"/>
        <v>0</v>
      </c>
      <c r="I49" s="150"/>
      <c r="J49" s="150"/>
    </row>
    <row r="50" spans="1:10" s="21" customFormat="1" ht="15.75" x14ac:dyDescent="0.3">
      <c r="A50" s="148">
        <v>8.5</v>
      </c>
      <c r="B50" s="151" t="s">
        <v>222</v>
      </c>
      <c r="C50" s="94"/>
      <c r="D50" s="94"/>
      <c r="E50" s="95">
        <f t="shared" si="1"/>
        <v>0</v>
      </c>
      <c r="F50" s="94"/>
      <c r="G50" s="94"/>
      <c r="H50" s="96">
        <f t="shared" si="0"/>
        <v>0</v>
      </c>
      <c r="I50" s="150"/>
      <c r="J50" s="150"/>
    </row>
    <row r="51" spans="1:10" s="21" customFormat="1" ht="15.75" x14ac:dyDescent="0.3">
      <c r="A51" s="148">
        <v>8.6</v>
      </c>
      <c r="B51" s="151" t="s">
        <v>223</v>
      </c>
      <c r="C51" s="94"/>
      <c r="D51" s="94"/>
      <c r="E51" s="95">
        <f t="shared" si="1"/>
        <v>0</v>
      </c>
      <c r="F51" s="94"/>
      <c r="G51" s="94"/>
      <c r="H51" s="96">
        <f t="shared" si="0"/>
        <v>0</v>
      </c>
      <c r="I51" s="150"/>
      <c r="J51" s="150"/>
    </row>
    <row r="52" spans="1:10" s="21" customFormat="1" ht="15.75" x14ac:dyDescent="0.3">
      <c r="A52" s="148">
        <v>8.6999999999999993</v>
      </c>
      <c r="B52" s="151" t="s">
        <v>224</v>
      </c>
      <c r="C52" s="94"/>
      <c r="D52" s="94"/>
      <c r="E52" s="95">
        <f t="shared" si="1"/>
        <v>0</v>
      </c>
      <c r="F52" s="94"/>
      <c r="G52" s="94"/>
      <c r="H52" s="96">
        <f t="shared" si="0"/>
        <v>0</v>
      </c>
      <c r="I52" s="150"/>
      <c r="J52" s="150"/>
    </row>
    <row r="53" spans="1:10" s="21" customFormat="1" ht="26.25" thickBot="1" x14ac:dyDescent="0.35">
      <c r="A53" s="155">
        <v>9</v>
      </c>
      <c r="B53" s="156" t="s">
        <v>225</v>
      </c>
      <c r="C53" s="157"/>
      <c r="D53" s="157"/>
      <c r="E53" s="105">
        <f t="shared" si="1"/>
        <v>0</v>
      </c>
      <c r="F53" s="157"/>
      <c r="G53" s="157"/>
      <c r="H53" s="106">
        <f t="shared" si="0"/>
        <v>0</v>
      </c>
      <c r="I53" s="150"/>
      <c r="J53" s="150"/>
    </row>
    <row r="54" spans="1:10" x14ac:dyDescent="0.25">
      <c r="B54" s="158"/>
    </row>
  </sheetData>
  <mergeCells count="4">
    <mergeCell ref="A5:A6"/>
    <mergeCell ref="B5:B6"/>
    <mergeCell ref="C5:E5"/>
    <mergeCell ref="F5:H5"/>
  </mergeCell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5" activePane="bottomRight" state="frozen"/>
      <selection activeCell="P24" sqref="P24:Q24"/>
      <selection pane="topRight" activeCell="P24" sqref="P24:Q24"/>
      <selection pane="bottomLeft" activeCell="P24" sqref="P24:Q24"/>
      <selection pane="bottomRight" activeCell="D6" sqref="D6"/>
    </sheetView>
  </sheetViews>
  <sheetFormatPr defaultColWidth="9.140625" defaultRowHeight="12.75" x14ac:dyDescent="0.2"/>
  <cols>
    <col min="1" max="1" width="9.5703125" style="22" bestFit="1" customWidth="1"/>
    <col min="2" max="2" width="93.5703125" style="22" customWidth="1"/>
    <col min="3" max="4" width="12.7109375" style="22" customWidth="1"/>
    <col min="5" max="11" width="9.7109375" style="128" customWidth="1"/>
    <col min="12" max="16384" width="9.140625" style="128"/>
  </cols>
  <sheetData>
    <row r="1" spans="1:8" ht="15" x14ac:dyDescent="0.3">
      <c r="A1" s="23" t="s">
        <v>29</v>
      </c>
      <c r="B1" s="22" t="str">
        <f>'1. key ratios'!B1</f>
        <v>სს ტერაბანკი</v>
      </c>
      <c r="C1" s="24"/>
    </row>
    <row r="2" spans="1:8" ht="15" x14ac:dyDescent="0.3">
      <c r="A2" s="23" t="s">
        <v>31</v>
      </c>
      <c r="B2" s="82">
        <f>'1. key ratios'!B2</f>
        <v>43281</v>
      </c>
      <c r="C2" s="26"/>
      <c r="D2" s="27"/>
      <c r="E2" s="160"/>
      <c r="F2" s="160"/>
      <c r="G2" s="160"/>
      <c r="H2" s="160"/>
    </row>
    <row r="3" spans="1:8" ht="15" x14ac:dyDescent="0.3">
      <c r="A3" s="23"/>
      <c r="B3" s="24"/>
      <c r="C3" s="26"/>
      <c r="D3" s="27"/>
      <c r="E3" s="160"/>
      <c r="F3" s="160"/>
      <c r="G3" s="160"/>
      <c r="H3" s="160"/>
    </row>
    <row r="4" spans="1:8" ht="15" customHeight="1" thickBot="1" x14ac:dyDescent="0.35">
      <c r="A4" s="161" t="s">
        <v>226</v>
      </c>
      <c r="B4" s="162" t="s">
        <v>16</v>
      </c>
      <c r="C4" s="161"/>
      <c r="D4" s="163" t="s">
        <v>70</v>
      </c>
    </row>
    <row r="5" spans="1:8" ht="15" customHeight="1" x14ac:dyDescent="0.2">
      <c r="A5" s="164" t="s">
        <v>33</v>
      </c>
      <c r="B5" s="165"/>
      <c r="C5" s="166">
        <f>'1. key ratios'!C5</f>
        <v>43281</v>
      </c>
      <c r="D5" s="167">
        <f>'1. key ratios'!D5</f>
        <v>43190</v>
      </c>
    </row>
    <row r="6" spans="1:8" ht="15" customHeight="1" x14ac:dyDescent="0.2">
      <c r="A6" s="168">
        <v>1</v>
      </c>
      <c r="B6" s="169" t="s">
        <v>227</v>
      </c>
      <c r="C6" s="170">
        <f>C7+C9+C10</f>
        <v>705346758.95008695</v>
      </c>
      <c r="D6" s="171">
        <f>D7+D9+D10</f>
        <v>660571809.36463785</v>
      </c>
    </row>
    <row r="7" spans="1:8" ht="15" customHeight="1" x14ac:dyDescent="0.2">
      <c r="A7" s="168">
        <v>1.1000000000000001</v>
      </c>
      <c r="B7" s="172" t="s">
        <v>228</v>
      </c>
      <c r="C7" s="173">
        <v>678986455.79106438</v>
      </c>
      <c r="D7" s="173">
        <v>631954680.25600028</v>
      </c>
    </row>
    <row r="8" spans="1:8" ht="25.5" x14ac:dyDescent="0.2">
      <c r="A8" s="168" t="s">
        <v>229</v>
      </c>
      <c r="B8" s="174" t="s">
        <v>230</v>
      </c>
      <c r="C8" s="175">
        <v>0</v>
      </c>
      <c r="D8" s="175">
        <v>0</v>
      </c>
    </row>
    <row r="9" spans="1:8" ht="15" customHeight="1" x14ac:dyDescent="0.2">
      <c r="A9" s="168">
        <v>1.2</v>
      </c>
      <c r="B9" s="172" t="s">
        <v>231</v>
      </c>
      <c r="C9" s="173">
        <v>25254974.783022497</v>
      </c>
      <c r="D9" s="173">
        <v>27860069.844637498</v>
      </c>
    </row>
    <row r="10" spans="1:8" ht="15" customHeight="1" x14ac:dyDescent="0.2">
      <c r="A10" s="168">
        <v>1.4</v>
      </c>
      <c r="B10" s="176" t="s">
        <v>28</v>
      </c>
      <c r="C10" s="175">
        <v>1105328.3759999999</v>
      </c>
      <c r="D10" s="173">
        <v>757059.26400000008</v>
      </c>
    </row>
    <row r="11" spans="1:8" ht="15" customHeight="1" x14ac:dyDescent="0.2">
      <c r="A11" s="168">
        <v>2</v>
      </c>
      <c r="B11" s="169" t="s">
        <v>232</v>
      </c>
      <c r="C11" s="173">
        <v>18301664.389999941</v>
      </c>
      <c r="D11" s="173">
        <v>16396331.090000063</v>
      </c>
    </row>
    <row r="12" spans="1:8" ht="15" customHeight="1" x14ac:dyDescent="0.2">
      <c r="A12" s="168">
        <v>3</v>
      </c>
      <c r="B12" s="169" t="s">
        <v>233</v>
      </c>
      <c r="C12" s="175">
        <v>70760188.668749988</v>
      </c>
      <c r="D12" s="173">
        <v>70760188.668749988</v>
      </c>
    </row>
    <row r="13" spans="1:8" ht="15" customHeight="1" thickBot="1" x14ac:dyDescent="0.25">
      <c r="A13" s="177">
        <v>4</v>
      </c>
      <c r="B13" s="178" t="s">
        <v>234</v>
      </c>
      <c r="C13" s="179">
        <f>C6+C11+C12</f>
        <v>794408612.00883698</v>
      </c>
      <c r="D13" s="179">
        <f>D6+D11+D12</f>
        <v>747728329.12338781</v>
      </c>
    </row>
    <row r="14" spans="1:8" ht="15" customHeight="1" x14ac:dyDescent="0.2">
      <c r="A14" s="180"/>
      <c r="B14" s="181"/>
      <c r="C14" s="182"/>
      <c r="D14" s="182"/>
    </row>
    <row r="15" spans="1:8" x14ac:dyDescent="0.2">
      <c r="B15" s="183"/>
      <c r="C15" s="184"/>
    </row>
    <row r="16" spans="1:8" x14ac:dyDescent="0.2">
      <c r="B16" s="183"/>
      <c r="C16" s="184"/>
    </row>
    <row r="17" spans="2:3" x14ac:dyDescent="0.2">
      <c r="B17" s="183"/>
      <c r="C17" s="184"/>
    </row>
    <row r="18" spans="2:3" x14ac:dyDescent="0.2">
      <c r="B18" s="183"/>
      <c r="C18" s="184"/>
    </row>
    <row r="19" spans="2:3" x14ac:dyDescent="0.2">
      <c r="B19" s="183"/>
    </row>
    <row r="20" spans="2:3" x14ac:dyDescent="0.2">
      <c r="B20" s="183"/>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0"/>
  <sheetViews>
    <sheetView zoomScaleNormal="100" workbookViewId="0">
      <pane xSplit="1" ySplit="4" topLeftCell="B5" activePane="bottomRight" state="frozen"/>
      <selection activeCell="P24" sqref="P24:Q24"/>
      <selection pane="topRight" activeCell="P24" sqref="P24:Q24"/>
      <selection pane="bottomLeft" activeCell="P24" sqref="P24:Q24"/>
      <selection pane="bottomRight" activeCell="E30" sqref="E30"/>
    </sheetView>
  </sheetViews>
  <sheetFormatPr defaultRowHeight="15" x14ac:dyDescent="0.25"/>
  <cols>
    <col min="1" max="1" width="9.5703125" style="22" bestFit="1" customWidth="1"/>
    <col min="2" max="2" width="89.28515625" style="22" customWidth="1"/>
    <col min="3" max="3" width="9.140625" style="22"/>
  </cols>
  <sheetData>
    <row r="1" spans="1:3" x14ac:dyDescent="0.25">
      <c r="A1" s="22" t="s">
        <v>29</v>
      </c>
      <c r="B1" s="22" t="str">
        <f>'1. key ratios'!B1</f>
        <v>სს ტერაბანკი</v>
      </c>
    </row>
    <row r="2" spans="1:3" x14ac:dyDescent="0.25">
      <c r="A2" s="22" t="s">
        <v>31</v>
      </c>
      <c r="B2" s="82">
        <f>'1. key ratios'!B2</f>
        <v>43281</v>
      </c>
    </row>
    <row r="4" spans="1:3" ht="16.5" customHeight="1" thickBot="1" x14ac:dyDescent="0.35">
      <c r="A4" s="185" t="s">
        <v>235</v>
      </c>
      <c r="B4" s="186" t="s">
        <v>17</v>
      </c>
      <c r="C4" s="187"/>
    </row>
    <row r="5" spans="1:3" ht="15.75" x14ac:dyDescent="0.3">
      <c r="A5" s="188"/>
      <c r="B5" s="484" t="s">
        <v>236</v>
      </c>
      <c r="C5" s="485"/>
    </row>
    <row r="6" spans="1:3" ht="15.75" x14ac:dyDescent="0.3">
      <c r="A6" s="189">
        <v>1</v>
      </c>
      <c r="B6" s="190" t="s">
        <v>237</v>
      </c>
      <c r="C6" s="191"/>
    </row>
    <row r="7" spans="1:3" ht="15.75" x14ac:dyDescent="0.3">
      <c r="A7" s="189">
        <v>2</v>
      </c>
      <c r="B7" s="190" t="s">
        <v>238</v>
      </c>
      <c r="C7" s="191"/>
    </row>
    <row r="8" spans="1:3" ht="15.75" x14ac:dyDescent="0.3">
      <c r="A8" s="189">
        <v>3</v>
      </c>
      <c r="B8" s="190" t="s">
        <v>239</v>
      </c>
      <c r="C8" s="191"/>
    </row>
    <row r="9" spans="1:3" ht="15.75" x14ac:dyDescent="0.3">
      <c r="A9" s="189">
        <v>4</v>
      </c>
      <c r="B9" s="190" t="s">
        <v>240</v>
      </c>
      <c r="C9" s="191"/>
    </row>
    <row r="10" spans="1:3" ht="15.75" x14ac:dyDescent="0.3">
      <c r="A10" s="189"/>
      <c r="B10" s="486"/>
      <c r="C10" s="487"/>
    </row>
    <row r="11" spans="1:3" ht="15.75" x14ac:dyDescent="0.3">
      <c r="A11" s="189"/>
      <c r="B11" s="488" t="s">
        <v>241</v>
      </c>
      <c r="C11" s="489"/>
    </row>
    <row r="12" spans="1:3" ht="15.75" x14ac:dyDescent="0.3">
      <c r="A12" s="189">
        <v>1</v>
      </c>
      <c r="B12" s="192" t="s">
        <v>6</v>
      </c>
      <c r="C12" s="193"/>
    </row>
    <row r="13" spans="1:3" ht="15.75" x14ac:dyDescent="0.3">
      <c r="A13" s="189">
        <v>2</v>
      </c>
      <c r="B13" s="192" t="s">
        <v>242</v>
      </c>
      <c r="C13" s="193"/>
    </row>
    <row r="14" spans="1:3" ht="15.75" x14ac:dyDescent="0.3">
      <c r="A14" s="189">
        <v>3</v>
      </c>
      <c r="B14" s="192" t="s">
        <v>243</v>
      </c>
      <c r="C14" s="193"/>
    </row>
    <row r="15" spans="1:3" ht="15.75" x14ac:dyDescent="0.3">
      <c r="A15" s="189">
        <v>4</v>
      </c>
      <c r="B15" s="192" t="s">
        <v>244</v>
      </c>
      <c r="C15" s="193"/>
    </row>
    <row r="16" spans="1:3" ht="15.75" x14ac:dyDescent="0.3">
      <c r="A16" s="189">
        <v>5</v>
      </c>
      <c r="B16" s="192" t="s">
        <v>245</v>
      </c>
      <c r="C16" s="193"/>
    </row>
    <row r="17" spans="1:3" ht="15.75" customHeight="1" x14ac:dyDescent="0.3">
      <c r="A17" s="189"/>
      <c r="B17" s="192"/>
      <c r="C17" s="194"/>
    </row>
    <row r="18" spans="1:3" ht="30" customHeight="1" x14ac:dyDescent="0.25">
      <c r="A18" s="189"/>
      <c r="B18" s="490" t="s">
        <v>246</v>
      </c>
      <c r="C18" s="491"/>
    </row>
    <row r="19" spans="1:3" ht="15.75" x14ac:dyDescent="0.3">
      <c r="A19" s="189">
        <v>1</v>
      </c>
      <c r="B19" s="190" t="s">
        <v>4</v>
      </c>
      <c r="C19" s="195">
        <v>0.45</v>
      </c>
    </row>
    <row r="20" spans="1:3" ht="15.75" x14ac:dyDescent="0.3">
      <c r="A20" s="189">
        <v>2</v>
      </c>
      <c r="B20" s="190" t="s">
        <v>247</v>
      </c>
      <c r="C20" s="195">
        <v>0.2</v>
      </c>
    </row>
    <row r="21" spans="1:3" ht="15.75" x14ac:dyDescent="0.3">
      <c r="A21" s="189">
        <v>3</v>
      </c>
      <c r="B21" s="190" t="s">
        <v>248</v>
      </c>
      <c r="C21" s="195">
        <v>0.15</v>
      </c>
    </row>
    <row r="22" spans="1:3" ht="15.75" x14ac:dyDescent="0.3">
      <c r="A22" s="189">
        <v>4</v>
      </c>
      <c r="B22" s="190" t="s">
        <v>249</v>
      </c>
      <c r="C22" s="195">
        <v>0.15</v>
      </c>
    </row>
    <row r="23" spans="1:3" ht="15.75" x14ac:dyDescent="0.3">
      <c r="A23" s="189">
        <v>5</v>
      </c>
      <c r="B23" s="190" t="s">
        <v>250</v>
      </c>
      <c r="C23" s="195">
        <v>0.05</v>
      </c>
    </row>
    <row r="24" spans="1:3" ht="15.75" customHeight="1" x14ac:dyDescent="0.3">
      <c r="A24" s="189"/>
      <c r="B24" s="190"/>
      <c r="C24" s="191"/>
    </row>
    <row r="25" spans="1:3" ht="29.25" customHeight="1" x14ac:dyDescent="0.25">
      <c r="A25" s="189"/>
      <c r="B25" s="490" t="s">
        <v>251</v>
      </c>
      <c r="C25" s="491"/>
    </row>
    <row r="26" spans="1:3" ht="15.75" x14ac:dyDescent="0.3">
      <c r="A26" s="189">
        <v>1</v>
      </c>
      <c r="B26" s="190" t="s">
        <v>4</v>
      </c>
      <c r="C26" s="195">
        <v>0.45</v>
      </c>
    </row>
    <row r="27" spans="1:3" ht="15.75" x14ac:dyDescent="0.3">
      <c r="A27" s="196">
        <v>2</v>
      </c>
      <c r="B27" s="197" t="s">
        <v>247</v>
      </c>
      <c r="C27" s="198">
        <v>0.2</v>
      </c>
    </row>
    <row r="28" spans="1:3" ht="15.75" x14ac:dyDescent="0.3">
      <c r="A28" s="196">
        <v>3</v>
      </c>
      <c r="B28" s="197" t="s">
        <v>248</v>
      </c>
      <c r="C28" s="198">
        <v>0.15</v>
      </c>
    </row>
    <row r="29" spans="1:3" ht="15.75" x14ac:dyDescent="0.3">
      <c r="A29" s="196">
        <v>4</v>
      </c>
      <c r="B29" s="197" t="s">
        <v>249</v>
      </c>
      <c r="C29" s="198">
        <v>0.15</v>
      </c>
    </row>
    <row r="30" spans="1:3" ht="16.5" thickBot="1" x14ac:dyDescent="0.35">
      <c r="A30" s="199"/>
      <c r="B30" s="200"/>
      <c r="C30" s="201"/>
    </row>
  </sheetData>
  <mergeCells count="5">
    <mergeCell ref="B5:C5"/>
    <mergeCell ref="B10:C10"/>
    <mergeCell ref="B11:C11"/>
    <mergeCell ref="B18:C18"/>
    <mergeCell ref="B25:C25"/>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topLeftCell="A7" zoomScaleNormal="100" workbookViewId="0">
      <selection activeCell="E20" sqref="E20"/>
    </sheetView>
  </sheetViews>
  <sheetFormatPr defaultRowHeight="15" x14ac:dyDescent="0.25"/>
  <cols>
    <col min="1" max="1" width="9.5703125" style="22" bestFit="1" customWidth="1"/>
    <col min="2" max="2" width="47.5703125" style="22" customWidth="1"/>
    <col min="3" max="3" width="28" style="22" customWidth="1"/>
    <col min="4" max="4" width="22.42578125" style="22" customWidth="1"/>
    <col min="5" max="5" width="18.85546875" style="22" customWidth="1"/>
    <col min="6" max="6" width="11.140625" bestFit="1" customWidth="1"/>
    <col min="7" max="7" width="16" bestFit="1" customWidth="1"/>
    <col min="11" max="11" width="12" bestFit="1" customWidth="1"/>
  </cols>
  <sheetData>
    <row r="1" spans="1:10" ht="15.75" x14ac:dyDescent="0.3">
      <c r="A1" s="23" t="s">
        <v>29</v>
      </c>
      <c r="B1" s="22" t="str">
        <f>'1. key ratios'!B1</f>
        <v>სს ტერაბანკი</v>
      </c>
    </row>
    <row r="2" spans="1:10" s="202" customFormat="1" ht="15.75" customHeight="1" x14ac:dyDescent="0.3">
      <c r="A2" s="202" t="s">
        <v>31</v>
      </c>
      <c r="B2" s="82">
        <f>'1. key ratios'!B2</f>
        <v>43281</v>
      </c>
    </row>
    <row r="3" spans="1:10" s="202" customFormat="1" ht="15.75" customHeight="1" x14ac:dyDescent="0.3"/>
    <row r="4" spans="1:10" s="202" customFormat="1" ht="15.75" customHeight="1" thickBot="1" x14ac:dyDescent="0.35">
      <c r="A4" s="203" t="s">
        <v>252</v>
      </c>
      <c r="B4" s="204" t="s">
        <v>18</v>
      </c>
      <c r="C4" s="205"/>
      <c r="D4" s="205"/>
      <c r="E4" s="205"/>
    </row>
    <row r="5" spans="1:10" s="210" customFormat="1" ht="17.45" customHeight="1" x14ac:dyDescent="0.25">
      <c r="A5" s="206"/>
      <c r="B5" s="207"/>
      <c r="C5" s="208" t="s">
        <v>253</v>
      </c>
      <c r="D5" s="208" t="s">
        <v>254</v>
      </c>
      <c r="E5" s="209" t="s">
        <v>255</v>
      </c>
    </row>
    <row r="6" spans="1:10" s="212" customFormat="1" ht="14.45" customHeight="1" x14ac:dyDescent="0.25">
      <c r="A6" s="211"/>
      <c r="B6" s="492" t="s">
        <v>256</v>
      </c>
      <c r="C6" s="492" t="s">
        <v>257</v>
      </c>
      <c r="D6" s="493" t="s">
        <v>258</v>
      </c>
      <c r="E6" s="494"/>
      <c r="G6"/>
    </row>
    <row r="7" spans="1:10" s="212" customFormat="1" ht="99.6" customHeight="1" x14ac:dyDescent="0.25">
      <c r="A7" s="211"/>
      <c r="B7" s="492"/>
      <c r="C7" s="492"/>
      <c r="D7" s="213" t="s">
        <v>259</v>
      </c>
      <c r="E7" s="214" t="s">
        <v>260</v>
      </c>
      <c r="G7"/>
    </row>
    <row r="8" spans="1:10" x14ac:dyDescent="0.25">
      <c r="A8" s="211"/>
      <c r="B8" s="215" t="s">
        <v>77</v>
      </c>
      <c r="C8" s="216">
        <f>'2. RC'!E7</f>
        <v>35052499.399999999</v>
      </c>
      <c r="D8" s="217"/>
      <c r="E8" s="218">
        <f>C8-D8</f>
        <v>35052499.399999999</v>
      </c>
      <c r="J8" s="219"/>
    </row>
    <row r="9" spans="1:10" x14ac:dyDescent="0.25">
      <c r="A9" s="211"/>
      <c r="B9" s="215" t="s">
        <v>78</v>
      </c>
      <c r="C9" s="216">
        <f>'2. RC'!E8</f>
        <v>89129969.319999993</v>
      </c>
      <c r="D9" s="217"/>
      <c r="E9" s="218">
        <f t="shared" ref="E9:E20" si="0">C9-D9</f>
        <v>89129969.319999993</v>
      </c>
      <c r="J9" s="219"/>
    </row>
    <row r="10" spans="1:10" x14ac:dyDescent="0.25">
      <c r="A10" s="211"/>
      <c r="B10" s="215" t="s">
        <v>261</v>
      </c>
      <c r="C10" s="216">
        <f>'2. RC'!E9</f>
        <v>42771485.300000004</v>
      </c>
      <c r="D10" s="217"/>
      <c r="E10" s="218">
        <f t="shared" si="0"/>
        <v>42771485.300000004</v>
      </c>
      <c r="J10" s="219"/>
    </row>
    <row r="11" spans="1:10" ht="25.5" x14ac:dyDescent="0.25">
      <c r="A11" s="211"/>
      <c r="B11" s="215" t="s">
        <v>80</v>
      </c>
      <c r="C11" s="216">
        <f>'2. RC'!E10</f>
        <v>0</v>
      </c>
      <c r="D11" s="217"/>
      <c r="E11" s="218">
        <f t="shared" si="0"/>
        <v>0</v>
      </c>
      <c r="J11" s="219"/>
    </row>
    <row r="12" spans="1:10" x14ac:dyDescent="0.25">
      <c r="A12" s="211"/>
      <c r="B12" s="215" t="s">
        <v>81</v>
      </c>
      <c r="C12" s="216">
        <f>'2. RC'!E11</f>
        <v>47611632.120000005</v>
      </c>
      <c r="D12" s="217"/>
      <c r="E12" s="218">
        <f t="shared" si="0"/>
        <v>47611632.120000005</v>
      </c>
      <c r="J12" s="219"/>
    </row>
    <row r="13" spans="1:10" x14ac:dyDescent="0.25">
      <c r="A13" s="211"/>
      <c r="B13" s="215" t="s">
        <v>82</v>
      </c>
      <c r="C13" s="216">
        <f>'2. RC'!E12</f>
        <v>635186262.4999994</v>
      </c>
      <c r="D13" s="217"/>
      <c r="E13" s="218">
        <f t="shared" si="0"/>
        <v>635186262.4999994</v>
      </c>
      <c r="F13" s="220"/>
      <c r="G13" s="159"/>
      <c r="J13" s="219"/>
    </row>
    <row r="14" spans="1:10" x14ac:dyDescent="0.25">
      <c r="A14" s="211"/>
      <c r="B14" s="221" t="s">
        <v>83</v>
      </c>
      <c r="C14" s="222">
        <f>'2. RC'!E13</f>
        <v>-42836744.100000039</v>
      </c>
      <c r="D14" s="217"/>
      <c r="E14" s="218">
        <f t="shared" si="0"/>
        <v>-42836744.100000039</v>
      </c>
      <c r="G14" s="159"/>
      <c r="J14" s="219"/>
    </row>
    <row r="15" spans="1:10" x14ac:dyDescent="0.25">
      <c r="A15" s="211"/>
      <c r="B15" s="215" t="s">
        <v>262</v>
      </c>
      <c r="C15" s="216">
        <f>'2. RC'!E14</f>
        <v>592349518.39999938</v>
      </c>
      <c r="D15" s="217"/>
      <c r="E15" s="218">
        <f t="shared" si="0"/>
        <v>592349518.39999938</v>
      </c>
      <c r="G15" s="159"/>
      <c r="J15" s="219"/>
    </row>
    <row r="16" spans="1:10" ht="25.5" x14ac:dyDescent="0.25">
      <c r="A16" s="211"/>
      <c r="B16" s="215" t="s">
        <v>85</v>
      </c>
      <c r="C16" s="216">
        <f>'2. RC'!E15</f>
        <v>6039119.5299999909</v>
      </c>
      <c r="D16" s="217"/>
      <c r="E16" s="218">
        <f t="shared" si="0"/>
        <v>6039119.5299999909</v>
      </c>
      <c r="G16" s="159"/>
      <c r="J16" s="219"/>
    </row>
    <row r="17" spans="1:11" x14ac:dyDescent="0.25">
      <c r="A17" s="211"/>
      <c r="B17" s="215" t="s">
        <v>86</v>
      </c>
      <c r="C17" s="216">
        <f>'2. RC'!E16</f>
        <v>1183461.7500000005</v>
      </c>
      <c r="D17" s="217"/>
      <c r="E17" s="218">
        <f t="shared" si="0"/>
        <v>1183461.7500000005</v>
      </c>
      <c r="F17" s="223"/>
      <c r="G17" s="159"/>
      <c r="J17" s="219"/>
      <c r="K17" s="224"/>
    </row>
    <row r="18" spans="1:11" x14ac:dyDescent="0.25">
      <c r="A18" s="211"/>
      <c r="B18" s="215" t="s">
        <v>87</v>
      </c>
      <c r="C18" s="216">
        <f>'2. RC'!E17</f>
        <v>0</v>
      </c>
      <c r="D18" s="217"/>
      <c r="E18" s="218">
        <f t="shared" si="0"/>
        <v>0</v>
      </c>
      <c r="G18" s="159"/>
      <c r="J18" s="219"/>
    </row>
    <row r="19" spans="1:11" ht="25.5" x14ac:dyDescent="0.25">
      <c r="A19" s="211"/>
      <c r="B19" s="215" t="s">
        <v>88</v>
      </c>
      <c r="C19" s="216">
        <f>'2. RC'!E18</f>
        <v>45605521.980000041</v>
      </c>
      <c r="D19" s="217">
        <f>'9. Capital'!C15</f>
        <v>28532108</v>
      </c>
      <c r="E19" s="218">
        <f t="shared" si="0"/>
        <v>17073413.980000041</v>
      </c>
      <c r="G19" s="159"/>
      <c r="J19" s="219"/>
    </row>
    <row r="20" spans="1:11" x14ac:dyDescent="0.25">
      <c r="A20" s="211"/>
      <c r="B20" s="215" t="s">
        <v>89</v>
      </c>
      <c r="C20" s="216">
        <f>'2. RC'!E19</f>
        <v>3898589.4566000002</v>
      </c>
      <c r="D20" s="217"/>
      <c r="E20" s="218">
        <f t="shared" si="0"/>
        <v>3898589.4566000002</v>
      </c>
      <c r="G20" s="159"/>
      <c r="J20" s="219"/>
    </row>
    <row r="21" spans="1:11" ht="51.75" thickBot="1" x14ac:dyDescent="0.3">
      <c r="A21" s="225"/>
      <c r="B21" s="226" t="s">
        <v>263</v>
      </c>
      <c r="C21" s="227">
        <f>SUM(C8:C12)+SUM(C15:C20)</f>
        <v>863641797.25659931</v>
      </c>
      <c r="D21" s="227">
        <f>SUM(D8:D12)+SUM(D15:D20)</f>
        <v>28532108</v>
      </c>
      <c r="E21" s="228">
        <f>SUM(E8:E12)+SUM(E15:E20)</f>
        <v>835109689.25659931</v>
      </c>
      <c r="G21" s="159"/>
    </row>
    <row r="22" spans="1:11" x14ac:dyDescent="0.25">
      <c r="A22"/>
      <c r="C22"/>
      <c r="D22"/>
      <c r="E22" s="224"/>
      <c r="G22" s="159"/>
    </row>
    <row r="23" spans="1:11" x14ac:dyDescent="0.25">
      <c r="A23"/>
      <c r="B23" s="229" t="s">
        <v>264</v>
      </c>
      <c r="C23" s="230">
        <v>863641797.25659943</v>
      </c>
      <c r="D23"/>
      <c r="E23" s="220">
        <v>846196479.00999951</v>
      </c>
      <c r="G23" s="159"/>
    </row>
    <row r="24" spans="1:11" x14ac:dyDescent="0.25">
      <c r="B24" s="231" t="s">
        <v>265</v>
      </c>
      <c r="C24" s="232">
        <f>C23-C21</f>
        <v>0</v>
      </c>
      <c r="D24" s="232"/>
      <c r="E24" s="232">
        <v>0.32340005412697792</v>
      </c>
    </row>
    <row r="25" spans="1:11" s="22" customFormat="1" x14ac:dyDescent="0.25">
      <c r="B25" s="233"/>
      <c r="E25" s="232"/>
      <c r="F25"/>
      <c r="G25"/>
    </row>
    <row r="26" spans="1:11" s="22" customFormat="1" x14ac:dyDescent="0.25">
      <c r="B26" s="234"/>
      <c r="D26" s="107"/>
      <c r="F26"/>
      <c r="G26"/>
    </row>
    <row r="27" spans="1:11" s="22" customFormat="1" x14ac:dyDescent="0.25">
      <c r="B27" s="233"/>
      <c r="D27" s="107"/>
      <c r="F27"/>
      <c r="G27"/>
    </row>
    <row r="28" spans="1:11" s="22" customFormat="1" x14ac:dyDescent="0.25">
      <c r="B28" s="233"/>
      <c r="F28"/>
      <c r="G28"/>
    </row>
    <row r="29" spans="1:11" s="22" customFormat="1" x14ac:dyDescent="0.25">
      <c r="B29" s="233"/>
      <c r="F29"/>
      <c r="G29"/>
    </row>
    <row r="30" spans="1:11" s="22" customFormat="1" x14ac:dyDescent="0.25">
      <c r="B30" s="233"/>
      <c r="F30"/>
      <c r="G30"/>
    </row>
    <row r="31" spans="1:11" s="22" customFormat="1" x14ac:dyDescent="0.25">
      <c r="B31" s="233"/>
      <c r="F31"/>
      <c r="G31"/>
    </row>
    <row r="32" spans="1:11" s="22" customFormat="1" x14ac:dyDescent="0.25">
      <c r="B32" s="234"/>
      <c r="F32"/>
      <c r="G32"/>
    </row>
    <row r="33" spans="2:7" s="22" customFormat="1" x14ac:dyDescent="0.25">
      <c r="B33" s="234"/>
      <c r="F33"/>
      <c r="G33"/>
    </row>
    <row r="34" spans="2:7" s="22" customFormat="1" x14ac:dyDescent="0.25">
      <c r="B34" s="234"/>
      <c r="F34"/>
      <c r="G34"/>
    </row>
    <row r="35" spans="2:7" s="22" customFormat="1" x14ac:dyDescent="0.25">
      <c r="B35" s="234"/>
      <c r="F35"/>
      <c r="G35"/>
    </row>
    <row r="36" spans="2:7" s="22" customFormat="1" x14ac:dyDescent="0.25">
      <c r="B36" s="234"/>
      <c r="F36"/>
      <c r="G36"/>
    </row>
    <row r="37" spans="2:7" s="22" customFormat="1" x14ac:dyDescent="0.25">
      <c r="B37" s="234"/>
      <c r="F37"/>
      <c r="G37"/>
    </row>
  </sheetData>
  <mergeCells count="3">
    <mergeCell ref="B6:B7"/>
    <mergeCell ref="C6:C7"/>
    <mergeCell ref="D6:E6"/>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zoomScaleNormal="100" workbookViewId="0">
      <pane xSplit="1" ySplit="4" topLeftCell="B5" activePane="bottomRight" state="frozen"/>
      <selection activeCell="P24" sqref="P24:Q24"/>
      <selection pane="topRight" activeCell="P24" sqref="P24:Q24"/>
      <selection pane="bottomLeft" activeCell="P24" sqref="P24:Q24"/>
      <selection pane="bottomRight" activeCell="C5" sqref="C5"/>
    </sheetView>
  </sheetViews>
  <sheetFormatPr defaultRowHeight="15" outlineLevelRow="1" x14ac:dyDescent="0.25"/>
  <cols>
    <col min="1" max="1" width="9.5703125" style="22" bestFit="1" customWidth="1"/>
    <col min="2" max="2" width="114.28515625" style="2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3" t="s">
        <v>29</v>
      </c>
      <c r="B1" s="22" t="str">
        <f>'1. key ratios'!B1</f>
        <v>სს ტერაბანკი</v>
      </c>
    </row>
    <row r="2" spans="1:6" s="202" customFormat="1" ht="15.75" customHeight="1" x14ac:dyDescent="0.3">
      <c r="A2" s="202" t="s">
        <v>31</v>
      </c>
      <c r="B2" s="82">
        <f>'1. key ratios'!B2</f>
        <v>43281</v>
      </c>
      <c r="C2"/>
      <c r="D2"/>
      <c r="E2"/>
      <c r="F2"/>
    </row>
    <row r="3" spans="1:6" s="202" customFormat="1" ht="15.75" customHeight="1" x14ac:dyDescent="0.3">
      <c r="C3"/>
      <c r="D3"/>
      <c r="E3"/>
      <c r="F3"/>
    </row>
    <row r="4" spans="1:6" s="202" customFormat="1" ht="26.25" thickBot="1" x14ac:dyDescent="0.35">
      <c r="A4" s="202" t="s">
        <v>266</v>
      </c>
      <c r="B4" s="235" t="s">
        <v>19</v>
      </c>
      <c r="C4" s="236" t="s">
        <v>70</v>
      </c>
      <c r="D4"/>
      <c r="E4"/>
      <c r="F4"/>
    </row>
    <row r="5" spans="1:6" ht="26.25" x14ac:dyDescent="0.25">
      <c r="A5" s="237">
        <v>1</v>
      </c>
      <c r="B5" s="238" t="s">
        <v>267</v>
      </c>
      <c r="C5" s="239">
        <f>'7. LI1'!E21</f>
        <v>835109689.25659931</v>
      </c>
    </row>
    <row r="6" spans="1:6" s="15" customFormat="1" x14ac:dyDescent="0.25">
      <c r="A6" s="240">
        <v>2.1</v>
      </c>
      <c r="B6" s="241" t="s">
        <v>268</v>
      </c>
      <c r="C6" s="242">
        <v>77843235.149999991</v>
      </c>
      <c r="D6" s="243"/>
    </row>
    <row r="7" spans="1:6" s="248" customFormat="1" ht="25.5" outlineLevel="1" x14ac:dyDescent="0.25">
      <c r="A7" s="244">
        <v>2.2000000000000002</v>
      </c>
      <c r="B7" s="245" t="s">
        <v>269</v>
      </c>
      <c r="C7" s="246">
        <v>55266418.799999997</v>
      </c>
      <c r="D7" s="247"/>
    </row>
    <row r="8" spans="1:6" s="248" customFormat="1" ht="26.25" x14ac:dyDescent="0.25">
      <c r="A8" s="244">
        <v>3</v>
      </c>
      <c r="B8" s="249" t="s">
        <v>270</v>
      </c>
      <c r="C8" s="250">
        <f>SUM(C5:C7)</f>
        <v>968219343.20659924</v>
      </c>
      <c r="D8" s="247"/>
    </row>
    <row r="9" spans="1:6" s="15" customFormat="1" x14ac:dyDescent="0.25">
      <c r="A9" s="240">
        <v>4</v>
      </c>
      <c r="B9" s="251" t="s">
        <v>271</v>
      </c>
      <c r="C9" s="252">
        <v>11086789.430000152</v>
      </c>
      <c r="D9" s="243"/>
    </row>
    <row r="10" spans="1:6" s="248" customFormat="1" ht="25.5" outlineLevel="1" x14ac:dyDescent="0.25">
      <c r="A10" s="244">
        <v>5.0999999999999996</v>
      </c>
      <c r="B10" s="245" t="s">
        <v>272</v>
      </c>
      <c r="C10" s="246">
        <v>-37396095.485999994</v>
      </c>
    </row>
    <row r="11" spans="1:6" s="248" customFormat="1" ht="25.5" outlineLevel="1" x14ac:dyDescent="0.25">
      <c r="A11" s="244">
        <v>5.2</v>
      </c>
      <c r="B11" s="245" t="s">
        <v>273</v>
      </c>
      <c r="C11" s="246">
        <f>-(C7-'15. CCR'!E21)</f>
        <v>-54161090.423999995</v>
      </c>
    </row>
    <row r="12" spans="1:6" s="248" customFormat="1" x14ac:dyDescent="0.25">
      <c r="A12" s="244">
        <v>6</v>
      </c>
      <c r="B12" s="253" t="s">
        <v>274</v>
      </c>
      <c r="C12" s="246">
        <v>0</v>
      </c>
    </row>
    <row r="13" spans="1:6" s="248" customFormat="1" ht="15.75" thickBot="1" x14ac:dyDescent="0.3">
      <c r="A13" s="254">
        <v>7</v>
      </c>
      <c r="B13" s="255" t="s">
        <v>275</v>
      </c>
      <c r="C13" s="256">
        <f>SUM(C8:C12)</f>
        <v>887748946.72659945</v>
      </c>
      <c r="D13" s="247"/>
    </row>
    <row r="14" spans="1:6" x14ac:dyDescent="0.25">
      <c r="C14" s="257"/>
      <c r="D14" s="220"/>
      <c r="E14" s="220"/>
    </row>
    <row r="15" spans="1:6" x14ac:dyDescent="0.25">
      <c r="D15" s="224"/>
    </row>
    <row r="16" spans="1:6" x14ac:dyDescent="0.25">
      <c r="C16" s="220">
        <v>887748947.04999959</v>
      </c>
      <c r="D16" s="224"/>
    </row>
    <row r="17" spans="2:9" s="22" customFormat="1" x14ac:dyDescent="0.25">
      <c r="B17" s="258" t="s">
        <v>265</v>
      </c>
      <c r="C17" s="259">
        <f>C16-C13</f>
        <v>0.32340013980865479</v>
      </c>
      <c r="D17" s="220"/>
      <c r="E17"/>
      <c r="F17"/>
      <c r="G17"/>
      <c r="H17"/>
      <c r="I17"/>
    </row>
    <row r="18" spans="2:9" s="22" customFormat="1" x14ac:dyDescent="0.25">
      <c r="B18" s="260"/>
      <c r="C18"/>
      <c r="D18"/>
      <c r="E18"/>
      <c r="F18"/>
      <c r="G18"/>
      <c r="H18"/>
      <c r="I18"/>
    </row>
    <row r="19" spans="2:9" s="22" customFormat="1" x14ac:dyDescent="0.25">
      <c r="B19" s="260"/>
      <c r="C19"/>
      <c r="D19"/>
      <c r="E19"/>
      <c r="F19"/>
      <c r="G19"/>
      <c r="H19"/>
      <c r="I19"/>
    </row>
    <row r="20" spans="2:9" s="22" customFormat="1" x14ac:dyDescent="0.25">
      <c r="B20" s="234"/>
      <c r="C20" s="224"/>
      <c r="D20" s="220"/>
      <c r="E20"/>
      <c r="F20"/>
      <c r="G20"/>
      <c r="H20"/>
      <c r="I20"/>
    </row>
    <row r="21" spans="2:9" s="22" customFormat="1" x14ac:dyDescent="0.25">
      <c r="B21" s="233"/>
      <c r="C21"/>
      <c r="D21"/>
      <c r="E21"/>
      <c r="F21"/>
      <c r="G21"/>
      <c r="H21"/>
      <c r="I21"/>
    </row>
    <row r="22" spans="2:9" s="22" customFormat="1" x14ac:dyDescent="0.25">
      <c r="B22" s="234"/>
      <c r="C22" s="159"/>
      <c r="D22"/>
      <c r="E22"/>
      <c r="F22"/>
      <c r="G22"/>
      <c r="H22"/>
      <c r="I22"/>
    </row>
    <row r="23" spans="2:9" s="22" customFormat="1" x14ac:dyDescent="0.25">
      <c r="B23" s="233"/>
      <c r="C23" s="159"/>
      <c r="D23"/>
      <c r="E23"/>
      <c r="F23"/>
      <c r="G23"/>
      <c r="H23"/>
      <c r="I23"/>
    </row>
    <row r="24" spans="2:9" s="22" customFormat="1" x14ac:dyDescent="0.25">
      <c r="B24" s="233"/>
      <c r="C24"/>
      <c r="D24"/>
      <c r="E24"/>
      <c r="F24"/>
      <c r="G24"/>
      <c r="H24"/>
      <c r="I24"/>
    </row>
    <row r="25" spans="2:9" s="22" customFormat="1" x14ac:dyDescent="0.25">
      <c r="B25" s="233"/>
      <c r="C25"/>
      <c r="D25"/>
      <c r="E25"/>
      <c r="F25"/>
      <c r="G25"/>
      <c r="H25"/>
      <c r="I25"/>
    </row>
    <row r="26" spans="2:9" s="22" customFormat="1" x14ac:dyDescent="0.25">
      <c r="B26" s="233"/>
      <c r="C26"/>
      <c r="D26"/>
      <c r="E26"/>
      <c r="F26"/>
      <c r="G26"/>
      <c r="H26"/>
      <c r="I26"/>
    </row>
    <row r="27" spans="2:9" s="22" customFormat="1" x14ac:dyDescent="0.25">
      <c r="B27" s="233"/>
      <c r="C27"/>
      <c r="D27"/>
      <c r="E27"/>
      <c r="F27"/>
      <c r="G27"/>
      <c r="H27"/>
      <c r="I27"/>
    </row>
    <row r="28" spans="2:9" s="22" customFormat="1" x14ac:dyDescent="0.25">
      <c r="B28" s="234"/>
      <c r="C28"/>
      <c r="D28"/>
      <c r="E28"/>
      <c r="F28"/>
      <c r="G28"/>
      <c r="H28"/>
      <c r="I28"/>
    </row>
    <row r="29" spans="2:9" s="22" customFormat="1" x14ac:dyDescent="0.25">
      <c r="B29" s="234"/>
      <c r="C29"/>
      <c r="D29"/>
      <c r="E29"/>
      <c r="F29"/>
      <c r="G29"/>
      <c r="H29"/>
      <c r="I29"/>
    </row>
    <row r="30" spans="2:9" s="22" customFormat="1" x14ac:dyDescent="0.25">
      <c r="B30" s="234"/>
      <c r="C30"/>
      <c r="D30"/>
      <c r="E30"/>
      <c r="F30"/>
      <c r="G30"/>
      <c r="H30"/>
      <c r="I30"/>
    </row>
    <row r="31" spans="2:9" s="22" customFormat="1" x14ac:dyDescent="0.25">
      <c r="B31" s="234"/>
      <c r="C31"/>
      <c r="D31"/>
      <c r="E31"/>
      <c r="F31"/>
      <c r="G31"/>
      <c r="H31"/>
      <c r="I31"/>
    </row>
    <row r="32" spans="2:9" s="22" customFormat="1" x14ac:dyDescent="0.25">
      <c r="B32" s="234"/>
      <c r="C32"/>
      <c r="D32"/>
      <c r="E32"/>
      <c r="F32"/>
      <c r="G32"/>
      <c r="H32"/>
      <c r="I32"/>
    </row>
    <row r="33" spans="2:9" s="22" customFormat="1" x14ac:dyDescent="0.25">
      <c r="B33" s="234"/>
      <c r="C33"/>
      <c r="D33"/>
      <c r="E33"/>
      <c r="F33"/>
      <c r="G33"/>
      <c r="H33"/>
      <c r="I33"/>
    </row>
  </sheetData>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Revaz Gardavadze</dc:creator>
  <cp:lastModifiedBy>Ani Subeliani</cp:lastModifiedBy>
  <dcterms:created xsi:type="dcterms:W3CDTF">2018-07-13T08:21:35Z</dcterms:created>
  <dcterms:modified xsi:type="dcterms:W3CDTF">2018-08-01T12:47:36Z</dcterms:modified>
</cp:coreProperties>
</file>