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nanceDep\NBG\monthly reports\2018\03\Reports\"/>
    </mc:Choice>
  </mc:AlternateContent>
  <bookViews>
    <workbookView xWindow="0" yWindow="0" windowWidth="28800" windowHeight="11235" firstSheet="7" activeTab="16"/>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s>
  <definedNames>
    <definedName name="_xlnm._FilterDatabase" localSheetId="4" hidden="1">'4. Off-Balance'!$B$6:$H$53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7" l="1"/>
  <c r="E18" i="17"/>
  <c r="E17" i="17"/>
  <c r="E16" i="17"/>
  <c r="E12" i="17"/>
  <c r="E11" i="17"/>
  <c r="E10" i="17"/>
  <c r="E9" i="17"/>
  <c r="B1" i="17"/>
  <c r="K23" i="16"/>
  <c r="I23" i="16"/>
  <c r="G23" i="16"/>
  <c r="I21" i="16"/>
  <c r="C21" i="16"/>
  <c r="H20" i="16"/>
  <c r="K19" i="16"/>
  <c r="H19" i="16"/>
  <c r="E19" i="16"/>
  <c r="K18" i="16"/>
  <c r="H18" i="16"/>
  <c r="K15" i="16"/>
  <c r="H15" i="16"/>
  <c r="K14" i="16"/>
  <c r="E14" i="16"/>
  <c r="K13" i="16"/>
  <c r="H13" i="16"/>
  <c r="E13" i="16"/>
  <c r="K12" i="16"/>
  <c r="H12" i="16"/>
  <c r="E12" i="16"/>
  <c r="H11" i="16"/>
  <c r="K11" i="16"/>
  <c r="F16" i="16"/>
  <c r="D16" i="16"/>
  <c r="E11" i="16"/>
  <c r="J23" i="16"/>
  <c r="H23" i="16"/>
  <c r="F23" i="16"/>
  <c r="E22" i="15"/>
  <c r="C22" i="15"/>
  <c r="D22" i="15"/>
  <c r="B1" i="15"/>
  <c r="S21" i="14"/>
  <c r="R21" i="14"/>
  <c r="Q21" i="14"/>
  <c r="P21" i="14"/>
  <c r="O21" i="14"/>
  <c r="N21" i="14"/>
  <c r="M21" i="14"/>
  <c r="J21" i="14"/>
  <c r="D19" i="14"/>
  <c r="D18" i="14"/>
  <c r="D17" i="14"/>
  <c r="D16" i="14"/>
  <c r="D15" i="14"/>
  <c r="U21" i="14"/>
  <c r="L21" i="14"/>
  <c r="H21" i="14"/>
  <c r="F21" i="14"/>
  <c r="D14" i="14"/>
  <c r="D13" i="14"/>
  <c r="V13" i="14" s="1"/>
  <c r="D12" i="14"/>
  <c r="D11" i="14"/>
  <c r="D10" i="14"/>
  <c r="D9" i="14"/>
  <c r="D8" i="14"/>
  <c r="D7" i="14"/>
  <c r="I21" i="14"/>
  <c r="E21" i="14"/>
  <c r="B1" i="14"/>
  <c r="R22" i="13"/>
  <c r="P22" i="13"/>
  <c r="J22" i="13"/>
  <c r="H22" i="13"/>
  <c r="F22" i="13"/>
  <c r="D22" i="13"/>
  <c r="S21" i="13"/>
  <c r="S20" i="13"/>
  <c r="S19" i="13"/>
  <c r="S18" i="13"/>
  <c r="S17" i="13"/>
  <c r="F17" i="15" s="1"/>
  <c r="S16" i="13"/>
  <c r="L22" i="13"/>
  <c r="S15" i="13"/>
  <c r="N22" i="13"/>
  <c r="S12" i="13"/>
  <c r="S11" i="13"/>
  <c r="S10" i="13"/>
  <c r="S9" i="13"/>
  <c r="Q22" i="13"/>
  <c r="M22" i="13"/>
  <c r="I22" i="13"/>
  <c r="E22" i="13"/>
  <c r="B1" i="13"/>
  <c r="B1" i="12"/>
  <c r="B1" i="11"/>
  <c r="C47" i="10"/>
  <c r="C43" i="10"/>
  <c r="C52" i="10" s="1"/>
  <c r="C35" i="10"/>
  <c r="C31" i="10"/>
  <c r="C30" i="10" s="1"/>
  <c r="C41" i="10" s="1"/>
  <c r="B1" i="10"/>
  <c r="C11" i="9"/>
  <c r="B1" i="9"/>
  <c r="B1" i="8"/>
  <c r="B1" i="7"/>
  <c r="C6" i="6"/>
  <c r="C13" i="12" s="1"/>
  <c r="D6" i="6"/>
  <c r="B1" i="6"/>
  <c r="H53" i="5"/>
  <c r="E53" i="5"/>
  <c r="H52" i="5"/>
  <c r="E52" i="5"/>
  <c r="H51" i="5"/>
  <c r="E51" i="5"/>
  <c r="H50" i="5"/>
  <c r="E50" i="5"/>
  <c r="H49" i="5"/>
  <c r="E49" i="5"/>
  <c r="H48" i="5"/>
  <c r="E48" i="5"/>
  <c r="H47" i="5"/>
  <c r="E47" i="5"/>
  <c r="H46" i="5"/>
  <c r="E46" i="5"/>
  <c r="H45" i="5"/>
  <c r="E45" i="5"/>
  <c r="H44" i="5"/>
  <c r="E44" i="5"/>
  <c r="H43" i="5"/>
  <c r="E43" i="5"/>
  <c r="H42" i="5"/>
  <c r="H41" i="5"/>
  <c r="E41" i="5"/>
  <c r="H40" i="5"/>
  <c r="E40" i="5"/>
  <c r="H39" i="5"/>
  <c r="E39" i="5"/>
  <c r="H38" i="5"/>
  <c r="E38" i="5"/>
  <c r="H37" i="5"/>
  <c r="E37" i="5"/>
  <c r="H36" i="5"/>
  <c r="E36" i="5"/>
  <c r="H35" i="5"/>
  <c r="E35" i="5"/>
  <c r="H34" i="5"/>
  <c r="E34" i="5"/>
  <c r="H33" i="5"/>
  <c r="E33" i="5"/>
  <c r="C32" i="5"/>
  <c r="H32" i="5"/>
  <c r="E32" i="5"/>
  <c r="D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H13" i="5"/>
  <c r="D14" i="5"/>
  <c r="C14" i="5"/>
  <c r="E14" i="5" s="1"/>
  <c r="H12" i="5"/>
  <c r="E12" i="5"/>
  <c r="H11" i="5"/>
  <c r="E11" i="5"/>
  <c r="H10" i="5"/>
  <c r="D7" i="5"/>
  <c r="H9" i="5"/>
  <c r="E9" i="5"/>
  <c r="H8" i="5"/>
  <c r="E8" i="5"/>
  <c r="H7" i="5"/>
  <c r="B1" i="5"/>
  <c r="H66" i="4"/>
  <c r="E66" i="4"/>
  <c r="H64" i="4"/>
  <c r="E64" i="4"/>
  <c r="F61" i="4"/>
  <c r="H61" i="4" s="1"/>
  <c r="E61" i="4"/>
  <c r="H60" i="4"/>
  <c r="E60" i="4"/>
  <c r="H59" i="4"/>
  <c r="E59" i="4"/>
  <c r="H58" i="4"/>
  <c r="E58" i="4"/>
  <c r="C61" i="4"/>
  <c r="E52" i="4"/>
  <c r="H51" i="4"/>
  <c r="E51" i="4"/>
  <c r="E50" i="4"/>
  <c r="H49" i="4"/>
  <c r="E49" i="4"/>
  <c r="H48" i="4"/>
  <c r="E48" i="4"/>
  <c r="G53" i="4"/>
  <c r="E47" i="4"/>
  <c r="H44" i="4"/>
  <c r="E44" i="4"/>
  <c r="H43" i="4"/>
  <c r="E43" i="4"/>
  <c r="H42" i="4"/>
  <c r="E42" i="4"/>
  <c r="H41" i="4"/>
  <c r="E41" i="4"/>
  <c r="H40" i="4"/>
  <c r="E40" i="4"/>
  <c r="H39" i="4"/>
  <c r="E39" i="4"/>
  <c r="H38" i="4"/>
  <c r="E38" i="4"/>
  <c r="E37" i="4"/>
  <c r="H36" i="4"/>
  <c r="E36" i="4"/>
  <c r="G34" i="4"/>
  <c r="E35" i="4"/>
  <c r="D34" i="4"/>
  <c r="H29" i="4"/>
  <c r="E29" i="4"/>
  <c r="H28" i="4"/>
  <c r="E28" i="4"/>
  <c r="H27" i="4"/>
  <c r="E27" i="4"/>
  <c r="H26" i="4"/>
  <c r="D30" i="4"/>
  <c r="E26" i="4"/>
  <c r="E25" i="4"/>
  <c r="H24" i="4"/>
  <c r="C30" i="4"/>
  <c r="H21" i="4"/>
  <c r="E21" i="4"/>
  <c r="H20" i="4"/>
  <c r="E20" i="4"/>
  <c r="H19" i="4"/>
  <c r="E19" i="4"/>
  <c r="E18" i="4"/>
  <c r="H17" i="4"/>
  <c r="E17" i="4"/>
  <c r="H16" i="4"/>
  <c r="E16" i="4"/>
  <c r="H15" i="4"/>
  <c r="E15" i="4"/>
  <c r="E14" i="4"/>
  <c r="H13" i="4"/>
  <c r="E13" i="4"/>
  <c r="H12" i="4"/>
  <c r="E12" i="4"/>
  <c r="H11" i="4"/>
  <c r="D9" i="4"/>
  <c r="E11" i="4"/>
  <c r="H10" i="4"/>
  <c r="E10" i="4"/>
  <c r="G9" i="4"/>
  <c r="G22" i="4" s="1"/>
  <c r="H8" i="4"/>
  <c r="B2" i="4"/>
  <c r="B1" i="4"/>
  <c r="H40" i="3"/>
  <c r="E40" i="3"/>
  <c r="H39" i="3"/>
  <c r="E39" i="3"/>
  <c r="C42" i="12" s="1"/>
  <c r="H38" i="3"/>
  <c r="E38" i="3"/>
  <c r="C41" i="12" s="1"/>
  <c r="H37" i="3"/>
  <c r="E37" i="3"/>
  <c r="C40" i="12" s="1"/>
  <c r="H36" i="3"/>
  <c r="E36" i="3"/>
  <c r="C39" i="12" s="1"/>
  <c r="H35" i="3"/>
  <c r="E35" i="3"/>
  <c r="C38" i="12" s="1"/>
  <c r="H34" i="3"/>
  <c r="E34" i="3"/>
  <c r="C37" i="12" s="1"/>
  <c r="H33" i="3"/>
  <c r="E33" i="3"/>
  <c r="C36" i="12" s="1"/>
  <c r="C43" i="12" s="1"/>
  <c r="H30" i="3"/>
  <c r="E30" i="3"/>
  <c r="C33" i="12" s="1"/>
  <c r="H29" i="3"/>
  <c r="E29" i="3"/>
  <c r="C31" i="12" s="1"/>
  <c r="H28" i="3"/>
  <c r="E28" i="3"/>
  <c r="C30" i="12" s="1"/>
  <c r="H27" i="3"/>
  <c r="E27" i="3"/>
  <c r="C29" i="12" s="1"/>
  <c r="H26" i="3"/>
  <c r="E26" i="3"/>
  <c r="C28" i="12" s="1"/>
  <c r="H25" i="3"/>
  <c r="H24" i="3"/>
  <c r="E24" i="3"/>
  <c r="H23" i="3"/>
  <c r="G31" i="3"/>
  <c r="G41" i="3" s="1"/>
  <c r="D31" i="3"/>
  <c r="E23" i="3"/>
  <c r="C25" i="12" s="1"/>
  <c r="F31" i="3"/>
  <c r="E22" i="3"/>
  <c r="C24" i="12" s="1"/>
  <c r="H19" i="3"/>
  <c r="E19" i="3"/>
  <c r="H18" i="3"/>
  <c r="E18" i="3"/>
  <c r="H17" i="3"/>
  <c r="E17" i="3"/>
  <c r="H16" i="3"/>
  <c r="H15" i="3"/>
  <c r="E15" i="3"/>
  <c r="D14" i="3"/>
  <c r="C14" i="3"/>
  <c r="E14" i="3" s="1"/>
  <c r="C15" i="8" s="1"/>
  <c r="E15" i="8" s="1"/>
  <c r="F14" i="3"/>
  <c r="E13" i="3"/>
  <c r="G14" i="3"/>
  <c r="G20" i="3" s="1"/>
  <c r="E12" i="3"/>
  <c r="H11" i="3"/>
  <c r="E11" i="3"/>
  <c r="H10" i="3"/>
  <c r="E10" i="3"/>
  <c r="H9" i="3"/>
  <c r="E9" i="3"/>
  <c r="H8" i="3"/>
  <c r="H7" i="3"/>
  <c r="D20" i="3"/>
  <c r="B2" i="3"/>
  <c r="B1" i="3"/>
  <c r="C36" i="2"/>
  <c r="C28" i="2"/>
  <c r="C17" i="2"/>
  <c r="C16" i="2"/>
  <c r="C15" i="2"/>
  <c r="C12" i="8" l="1"/>
  <c r="E12" i="8" s="1"/>
  <c r="C10" i="12"/>
  <c r="C16" i="12"/>
  <c r="C16" i="8"/>
  <c r="E16" i="8" s="1"/>
  <c r="C26" i="12"/>
  <c r="C34" i="2"/>
  <c r="C22" i="12"/>
  <c r="C20" i="8"/>
  <c r="E20" i="8" s="1"/>
  <c r="C8" i="12"/>
  <c r="C10" i="8"/>
  <c r="E10" i="8" s="1"/>
  <c r="D41" i="3"/>
  <c r="C18" i="12"/>
  <c r="C18" i="8"/>
  <c r="E18" i="8" s="1"/>
  <c r="F41" i="3"/>
  <c r="H41" i="3" s="1"/>
  <c r="H31" i="3"/>
  <c r="H14" i="3"/>
  <c r="E30" i="4"/>
  <c r="C14" i="8"/>
  <c r="E14" i="8" s="1"/>
  <c r="C12" i="12"/>
  <c r="C27" i="2"/>
  <c r="C35" i="12"/>
  <c r="C31" i="3"/>
  <c r="D22" i="4"/>
  <c r="D31" i="4" s="1"/>
  <c r="C11" i="12"/>
  <c r="C15" i="12" s="1"/>
  <c r="C13" i="8"/>
  <c r="E13" i="8" s="1"/>
  <c r="H12" i="3"/>
  <c r="C20" i="3"/>
  <c r="E20" i="3" s="1"/>
  <c r="E8" i="4"/>
  <c r="C9" i="4"/>
  <c r="G30" i="4"/>
  <c r="G31" i="4" s="1"/>
  <c r="G56" i="4" s="1"/>
  <c r="G63" i="4" s="1"/>
  <c r="G65" i="4" s="1"/>
  <c r="G67" i="4" s="1"/>
  <c r="C34" i="4"/>
  <c r="H47" i="4"/>
  <c r="B2" i="14"/>
  <c r="B2" i="13"/>
  <c r="B2" i="12"/>
  <c r="B2" i="11"/>
  <c r="B2" i="9"/>
  <c r="B2" i="8"/>
  <c r="B2" i="15"/>
  <c r="B2" i="7"/>
  <c r="B2" i="17"/>
  <c r="B2" i="6"/>
  <c r="B2" i="5"/>
  <c r="B2" i="10"/>
  <c r="E7" i="3"/>
  <c r="E8" i="3"/>
  <c r="H13" i="3"/>
  <c r="E16" i="3"/>
  <c r="F20" i="3"/>
  <c r="H20" i="3" s="1"/>
  <c r="H22" i="3"/>
  <c r="E25" i="3"/>
  <c r="C27" i="12" s="1"/>
  <c r="F9" i="4"/>
  <c r="H9" i="4" s="1"/>
  <c r="H14" i="4"/>
  <c r="F30" i="4"/>
  <c r="G45" i="4"/>
  <c r="G54" i="4" s="1"/>
  <c r="H50" i="4"/>
  <c r="C7" i="5"/>
  <c r="E7" i="5" s="1"/>
  <c r="E10" i="5"/>
  <c r="E13" i="5"/>
  <c r="E42" i="5"/>
  <c r="F12" i="15"/>
  <c r="C9" i="12"/>
  <c r="C11" i="8"/>
  <c r="E11" i="8" s="1"/>
  <c r="C20" i="12"/>
  <c r="C19" i="8"/>
  <c r="E24" i="4"/>
  <c r="D45" i="4"/>
  <c r="H35" i="4"/>
  <c r="F34" i="4"/>
  <c r="D53" i="4"/>
  <c r="C53" i="4"/>
  <c r="F15" i="15"/>
  <c r="F16" i="15"/>
  <c r="F18" i="15"/>
  <c r="F19" i="15"/>
  <c r="F20" i="15"/>
  <c r="F9" i="15"/>
  <c r="F10" i="15"/>
  <c r="F11" i="15"/>
  <c r="F21" i="15"/>
  <c r="G21" i="15"/>
  <c r="H21" i="15" s="1"/>
  <c r="H18" i="4"/>
  <c r="H25" i="4"/>
  <c r="H37" i="4"/>
  <c r="F53" i="4"/>
  <c r="H53" i="4" s="1"/>
  <c r="H52" i="4"/>
  <c r="C13" i="6"/>
  <c r="S13" i="13"/>
  <c r="D21" i="14"/>
  <c r="C6" i="10"/>
  <c r="C21" i="12"/>
  <c r="D19" i="8"/>
  <c r="D21" i="8" s="1"/>
  <c r="C22" i="13"/>
  <c r="K22" i="13"/>
  <c r="S8" i="13"/>
  <c r="C21" i="14"/>
  <c r="V7" i="14"/>
  <c r="V9" i="14"/>
  <c r="G10" i="15" s="1"/>
  <c r="H10" i="15" s="1"/>
  <c r="V11" i="14"/>
  <c r="G12" i="15" s="1"/>
  <c r="H12" i="15" s="1"/>
  <c r="V14" i="14"/>
  <c r="G15" i="15" s="1"/>
  <c r="H15" i="15" s="1"/>
  <c r="V15" i="14"/>
  <c r="G16" i="15" s="1"/>
  <c r="H16" i="15" s="1"/>
  <c r="V17" i="14"/>
  <c r="G18" i="15" s="1"/>
  <c r="H18" i="15" s="1"/>
  <c r="V19" i="14"/>
  <c r="G20" i="15" s="1"/>
  <c r="H20" i="15" s="1"/>
  <c r="D20" i="14"/>
  <c r="V20" i="14" s="1"/>
  <c r="K10" i="16"/>
  <c r="E15" i="16"/>
  <c r="K20" i="16"/>
  <c r="G21" i="16"/>
  <c r="E8" i="17"/>
  <c r="E7" i="17" s="1"/>
  <c r="E21" i="17" s="1"/>
  <c r="C7" i="17"/>
  <c r="E15" i="17"/>
  <c r="E14" i="17" s="1"/>
  <c r="C14" i="17"/>
  <c r="S14" i="13"/>
  <c r="G16" i="16"/>
  <c r="G24" i="16" s="1"/>
  <c r="G25" i="16" s="1"/>
  <c r="E18" i="16"/>
  <c r="D21" i="16"/>
  <c r="E21" i="16" s="1"/>
  <c r="C12" i="10"/>
  <c r="G22" i="13"/>
  <c r="O22" i="13"/>
  <c r="V8" i="14"/>
  <c r="G9" i="15" s="1"/>
  <c r="H9" i="15" s="1"/>
  <c r="V10" i="14"/>
  <c r="G11" i="15" s="1"/>
  <c r="H11" i="15" s="1"/>
  <c r="V12" i="14"/>
  <c r="V16" i="14"/>
  <c r="G17" i="15" s="1"/>
  <c r="H17" i="15" s="1"/>
  <c r="V18" i="14"/>
  <c r="G19" i="15" s="1"/>
  <c r="H19" i="15" s="1"/>
  <c r="T21" i="14"/>
  <c r="I16" i="16"/>
  <c r="F21" i="16"/>
  <c r="J21" i="16"/>
  <c r="K21" i="16" s="1"/>
  <c r="G21" i="14"/>
  <c r="K21" i="14"/>
  <c r="J25" i="16"/>
  <c r="E10" i="16"/>
  <c r="J16" i="16"/>
  <c r="J24" i="16" s="1"/>
  <c r="H14" i="16"/>
  <c r="C16" i="16"/>
  <c r="E16" i="16" s="1"/>
  <c r="E20" i="16"/>
  <c r="H10" i="16"/>
  <c r="H21" i="16" l="1"/>
  <c r="C21" i="17"/>
  <c r="C28" i="10"/>
  <c r="H30" i="4"/>
  <c r="C9" i="8"/>
  <c r="E9" i="8" s="1"/>
  <c r="C7" i="12"/>
  <c r="E34" i="4"/>
  <c r="C45" i="4"/>
  <c r="I24" i="16"/>
  <c r="I25" i="16" s="1"/>
  <c r="K16" i="16"/>
  <c r="K24" i="16" s="1"/>
  <c r="K25" i="16" s="1"/>
  <c r="G14" i="15"/>
  <c r="H14" i="15" s="1"/>
  <c r="F14" i="15"/>
  <c r="S22" i="13"/>
  <c r="S25" i="13" s="1"/>
  <c r="F8" i="15"/>
  <c r="F22" i="15" s="1"/>
  <c r="G8" i="15"/>
  <c r="E53" i="4"/>
  <c r="D54" i="4"/>
  <c r="D56" i="4" s="1"/>
  <c r="D63" i="4" s="1"/>
  <c r="D65" i="4" s="1"/>
  <c r="D67" i="4" s="1"/>
  <c r="C6" i="12"/>
  <c r="C23" i="12" s="1"/>
  <c r="C8" i="8"/>
  <c r="C41" i="3"/>
  <c r="E41" i="3" s="1"/>
  <c r="E31" i="3"/>
  <c r="C33" i="2" s="1"/>
  <c r="H16" i="16"/>
  <c r="H24" i="16" s="1"/>
  <c r="C17" i="12"/>
  <c r="C17" i="8"/>
  <c r="E17" i="8" s="1"/>
  <c r="E9" i="4"/>
  <c r="C22" i="4"/>
  <c r="F22" i="4"/>
  <c r="F24" i="16"/>
  <c r="F25" i="16" s="1"/>
  <c r="V21" i="14"/>
  <c r="V25" i="14" s="1"/>
  <c r="G13" i="15"/>
  <c r="H13" i="15" s="1"/>
  <c r="F13" i="15"/>
  <c r="F45" i="4"/>
  <c r="H34" i="4"/>
  <c r="E19" i="8"/>
  <c r="C29" i="2"/>
  <c r="H22" i="4" l="1"/>
  <c r="F31" i="4"/>
  <c r="C21" i="8"/>
  <c r="E8" i="8"/>
  <c r="E21" i="8" s="1"/>
  <c r="H8" i="15"/>
  <c r="G22" i="15"/>
  <c r="H22" i="15" s="1"/>
  <c r="C54" i="4"/>
  <c r="E54" i="4" s="1"/>
  <c r="E45" i="4"/>
  <c r="E22" i="4"/>
  <c r="C31" i="4"/>
  <c r="C37" i="2"/>
  <c r="C38" i="2" s="1"/>
  <c r="H25" i="16"/>
  <c r="H45" i="4"/>
  <c r="F54" i="4"/>
  <c r="H54" i="4" s="1"/>
  <c r="C5" i="9" l="1"/>
  <c r="C8" i="9" s="1"/>
  <c r="C13" i="9" s="1"/>
  <c r="C56" i="4"/>
  <c r="E31" i="4"/>
  <c r="F56" i="4"/>
  <c r="H31" i="4"/>
  <c r="C63" i="4" l="1"/>
  <c r="E56" i="4"/>
  <c r="F63" i="4"/>
  <c r="H56" i="4"/>
  <c r="F65" i="4" l="1"/>
  <c r="H63" i="4"/>
  <c r="E63" i="4"/>
  <c r="C65" i="4"/>
  <c r="C67" i="4" l="1"/>
  <c r="E67" i="4" s="1"/>
  <c r="E65" i="4"/>
  <c r="F67" i="4"/>
  <c r="H67" i="4" s="1"/>
  <c r="H65" i="4"/>
</calcChain>
</file>

<file path=xl/comments1.xml><?xml version="1.0" encoding="utf-8"?>
<comments xmlns="http://schemas.openxmlformats.org/spreadsheetml/2006/main">
  <authors>
    <author>Author</author>
  </authors>
  <commentList>
    <comment ref="D12" authorId="0" shapeId="0">
      <text>
        <r>
          <rPr>
            <b/>
            <sz val="9"/>
            <color indexed="81"/>
            <rFont val="Tahoma"/>
            <family val="2"/>
          </rPr>
          <t>Author:</t>
        </r>
        <r>
          <rPr>
            <sz val="9"/>
            <color indexed="81"/>
            <rFont val="Tahoma"/>
            <family val="2"/>
          </rPr>
          <t xml:space="preserve">
MIN(Stand.Clasiif.Loan's Reserve; RWA*1.25%)</t>
        </r>
      </text>
    </comment>
  </commentList>
</comments>
</file>

<file path=xl/sharedStrings.xml><?xml version="1.0" encoding="utf-8"?>
<sst xmlns="http://schemas.openxmlformats.org/spreadsheetml/2006/main" count="705" uniqueCount="478">
  <si>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</si>
  <si>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</si>
  <si>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</si>
  <si>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</si>
  <si>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</si>
  <si>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</si>
  <si>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</si>
  <si>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</si>
  <si>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</si>
  <si>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</si>
  <si>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</si>
  <si>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</si>
  <si>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</si>
  <si>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</si>
  <si>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</si>
  <si>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</si>
  <si>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</si>
  <si>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</si>
  <si>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</si>
  <si>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</si>
  <si>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</si>
  <si>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</si>
  <si>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</si>
  <si>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</si>
  <si>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</si>
  <si>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</si>
  <si>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</si>
  <si>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</si>
  <si>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</si>
  <si>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ბანკი:</t>
  </si>
  <si>
    <t>სს ტერაბანკი</t>
  </si>
  <si>
    <t>თარიღი:</t>
  </si>
  <si>
    <t>ცხრილი 1</t>
  </si>
  <si>
    <t>N</t>
  </si>
  <si>
    <t>T</t>
  </si>
  <si>
    <t>T-1</t>
  </si>
  <si>
    <t>T-2</t>
  </si>
  <si>
    <t>T-3</t>
  </si>
  <si>
    <t>T-4</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</si>
  <si>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</si>
  <si>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</si>
  <si>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</si>
  <si>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</si>
  <si>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</si>
  <si>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</si>
  <si>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</si>
  <si>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</si>
  <si>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</si>
  <si>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</si>
  <si>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</si>
  <si>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</si>
  <si>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</si>
  <si>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</si>
  <si>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</si>
  <si>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</si>
  <si>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</si>
  <si>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</si>
  <si>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</si>
  <si>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</si>
  <si>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</si>
  <si>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</si>
  <si>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</si>
  <si>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</si>
  <si>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</si>
  <si>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</si>
  <si>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</si>
  <si>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</si>
  <si>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</si>
  <si>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</si>
  <si>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</si>
  <si>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</si>
  <si>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</si>
  <si>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</si>
  <si>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</si>
  <si>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</si>
  <si>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</si>
  <si>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</si>
  <si>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</si>
  <si>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</si>
  <si>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</si>
  <si>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</si>
  <si>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</si>
  <si>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</si>
  <si>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</si>
  <si>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</si>
  <si>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</si>
  <si>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</si>
  <si>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</si>
  <si>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</si>
  <si>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</si>
  <si>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</si>
  <si>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</si>
  <si>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</si>
  <si>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</si>
  <si>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</si>
  <si>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</si>
  <si>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</si>
  <si>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</si>
  <si>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</si>
  <si>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</si>
  <si>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</si>
  <si>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</si>
  <si>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</si>
  <si>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</si>
  <si>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</si>
  <si>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</si>
  <si>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</si>
  <si>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</si>
  <si>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</si>
  <si>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</si>
  <si>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</si>
  <si>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</si>
  <si>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</si>
  <si>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</si>
  <si>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</si>
  <si>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</si>
  <si>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</si>
  <si>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</si>
  <si>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</si>
  <si>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</si>
  <si>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</si>
  <si>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</si>
  <si>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</si>
  <si>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</si>
  <si>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</si>
  <si>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</si>
  <si>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</si>
  <si>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</si>
  <si>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</si>
  <si>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</si>
  <si>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</si>
  <si>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</si>
  <si>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</si>
  <si>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</si>
  <si>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</si>
  <si>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</si>
  <si>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</si>
  <si>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</si>
  <si>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</si>
  <si>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</si>
  <si>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</si>
  <si>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</si>
  <si>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</si>
  <si>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</si>
  <si>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</si>
  <si>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</si>
  <si>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</si>
  <si>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</si>
  <si>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</si>
  <si>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</si>
  <si>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</si>
  <si>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</si>
  <si>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</si>
  <si>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</si>
  <si>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</si>
  <si>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</si>
  <si>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</si>
  <si>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</si>
  <si>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</si>
  <si>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</si>
  <si>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</si>
  <si>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</si>
  <si>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</si>
  <si>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</si>
  <si>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</si>
  <si>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</si>
  <si>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</si>
  <si>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</si>
  <si>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</si>
  <si>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</si>
  <si>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</si>
  <si>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</si>
  <si>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</si>
  <si>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</si>
  <si>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</si>
  <si>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</si>
  <si>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</si>
  <si>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</si>
  <si>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</si>
  <si>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</si>
  <si>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</si>
  <si>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</si>
  <si>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</si>
  <si>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</si>
  <si>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</si>
  <si>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</si>
  <si>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</si>
  <si>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</si>
  <si>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</si>
  <si>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</si>
  <si>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</si>
  <si>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</si>
  <si>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</si>
  <si>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</si>
  <si>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</si>
  <si>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</si>
  <si>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</si>
  <si>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</si>
  <si>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</si>
  <si>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</si>
  <si>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</si>
  <si>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</si>
  <si>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</si>
  <si>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</si>
  <si>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</si>
  <si>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</si>
  <si>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</si>
  <si>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</si>
  <si>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</si>
  <si>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</si>
  <si>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</si>
  <si>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</si>
  <si>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</si>
  <si>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</si>
  <si>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</si>
  <si>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</si>
  <si>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</si>
  <si>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</si>
  <si>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</si>
  <si>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</si>
  <si>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</si>
  <si>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</si>
  <si>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</si>
  <si>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</si>
  <si>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</si>
  <si>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</si>
  <si>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</si>
  <si>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</si>
  <si>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</si>
  <si>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</si>
  <si>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</si>
  <si>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</si>
  <si>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</si>
  <si>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</si>
  <si>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</si>
  <si>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</si>
  <si>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</si>
  <si>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</si>
  <si>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</si>
  <si>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</si>
  <si>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</si>
  <si>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</si>
  <si>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</si>
  <si>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</si>
  <si>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</si>
  <si>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ადელ საფვატ გუირგუის რუფაეილ (მრჩეველი)</t>
  </si>
  <si>
    <t>დირექტორთა საბჭოს შემადგენლობა</t>
  </si>
  <si>
    <t>სოფიო ჯუღელი</t>
  </si>
  <si>
    <t>თეიმურაზ აბულაძე</t>
  </si>
  <si>
    <t>ვახტანგ ხუციშვილი</t>
  </si>
  <si>
    <t>ზურაბ აზარაშვილი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</si>
  <si>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</si>
  <si>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</si>
  <si>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</si>
  <si>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</si>
  <si>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</si>
  <si>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</si>
  <si>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</si>
  <si>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</si>
  <si>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</si>
  <si>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</si>
  <si>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</si>
  <si>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</si>
  <si>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</si>
  <si>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</si>
  <si>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</si>
  <si>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</si>
  <si>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</si>
  <si>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</si>
  <si>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</si>
  <si>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</si>
  <si>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</si>
  <si>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</si>
  <si>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</si>
  <si>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</si>
  <si>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</si>
  <si>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</si>
  <si>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</si>
  <si>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</si>
  <si>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</si>
  <si>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</si>
  <si>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</si>
  <si>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</si>
  <si>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</si>
  <si>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</si>
  <si>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</si>
  <si>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</si>
  <si>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</si>
  <si>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</si>
  <si>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</si>
  <si>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</si>
  <si>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</si>
  <si>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</si>
  <si>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</si>
  <si>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</si>
  <si>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</si>
  <si>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</si>
  <si>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</si>
  <si>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</si>
  <si>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</si>
  <si>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</si>
  <si>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</si>
  <si>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</si>
  <si>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</si>
  <si>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</si>
  <si>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</si>
  <si>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</si>
  <si>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</si>
  <si>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</si>
  <si>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</si>
  <si>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</si>
  <si>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</si>
  <si>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</si>
  <si>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</si>
  <si>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</si>
  <si>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</si>
  <si>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</si>
  <si>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</si>
  <si>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</si>
  <si>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</si>
  <si>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</si>
  <si>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</si>
  <si>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</si>
  <si>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</si>
  <si>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</si>
  <si>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</si>
  <si>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</si>
  <si>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</si>
  <si>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</si>
  <si>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</si>
  <si>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r>
      <rPr>
        <sz val="10"/>
        <rFont val="Calibri"/>
        <family val="2"/>
      </rPr>
      <t>≥</t>
    </r>
    <r>
      <rPr>
        <sz val="10"/>
        <rFont val="Calibri"/>
        <family val="2"/>
        <scheme val="minor"/>
      </rPr>
      <t>4,5%</t>
    </r>
  </si>
  <si>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</si>
  <si>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</si>
  <si>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</si>
  <si>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</si>
  <si>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</si>
  <si>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</si>
  <si>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</si>
  <si>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</si>
  <si>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</si>
  <si>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</si>
  <si>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</si>
  <si>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</si>
  <si>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</si>
  <si>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</si>
  <si>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</si>
  <si>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</si>
  <si>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</si>
  <si>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</si>
  <si>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</si>
  <si>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</si>
  <si>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</si>
  <si>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</si>
  <si>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</si>
  <si>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</si>
  <si>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არსებული მაჩვენებლები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</si>
  <si>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</si>
  <si>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</si>
  <si>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</si>
  <si>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</si>
  <si>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ცხრილი 9 (Capital), N39</t>
  </si>
  <si>
    <t>6.2.1</t>
  </si>
  <si>
    <t>რისკის მიხედვით შეწონილი აქტივების 1.25%</t>
  </si>
  <si>
    <t>6.2.2</t>
  </si>
  <si>
    <t>სტანდარტულად კლასიფიცირებული სესხების რეზერვი</t>
  </si>
  <si>
    <t>მათ შორის მნიშვნელოვანი ინვესტიციები, რომლებიც შეზღუდულად აღიარდება</t>
  </si>
  <si>
    <t>მათ შორის არამატერიალური აქტივები</t>
  </si>
  <si>
    <t>ცხრილი 9 (Capital), N10</t>
  </si>
  <si>
    <t xml:space="preserve">სტანდარტულად კლასიფიცირებული ბალანსგარეშე მუხლებზე არსებული რეზერვები </t>
  </si>
  <si>
    <t>მათ შორის მეორად საზედამხედველო კაპიტალში ჩასათვლელი ინსტრუმენტები</t>
  </si>
  <si>
    <t>ცხრილი 9 (Capital), N37</t>
  </si>
  <si>
    <t>ცხრილი 9 (Capital), N2</t>
  </si>
  <si>
    <t xml:space="preserve">    მინუს: გამოსყიდული აქციები</t>
  </si>
  <si>
    <t>ცხრილი 9 (Capital), N6</t>
  </si>
  <si>
    <t>ცხრილი 9 (Capital), N8</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</si>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</sst>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409]mmm\-yy;@"/>
    <numFmt numFmtId="165" formatCode="#,##0_ ;[Red]\-#,##0\ "/>
    <numFmt numFmtId="166" formatCode="_(* #,##0_);_(* \(#,##0\);_(* &quot;-&quot;??_);_(@_)"/>
    <numFmt numFmtId="167" formatCode="_(#,##0_);_(\(#,##0\);_(\ \-\ _);_(@_)"/>
    <numFmt numFmtId="168" formatCode="#,##0.000000;[Red]#,##0.000000"/>
    <numFmt numFmtId="169" formatCode="#,##0.0000"/>
    <numFmt numFmtId="170"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name val="Calibri"/>
      <family val="2"/>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sz val="10"/>
      <name val="Geo_Arial"/>
      <family val="2"/>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b/>
      <sz val="9"/>
      <color indexed="81"/>
      <name val="Tahoma"/>
      <family val="2"/>
    </font>
    <font>
      <sz val="9"/>
      <color indexed="81"/>
      <name val="Tahoma"/>
      <family val="2"/>
    </font>
    <font>
      <sz val="10"/>
      <name val="SPKolheti"/>
      <family val="1"/>
    </font>
    <font>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5F5F5F"/>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1" fillId="0" borderId="0"/>
    <xf numFmtId="0" fontId="31" fillId="0" borderId="0"/>
    <xf numFmtId="43" fontId="1" fillId="0" borderId="0" applyFont="0" applyFill="0" applyBorder="0" applyAlignment="0" applyProtection="0"/>
    <xf numFmtId="0" fontId="1" fillId="0" borderId="0"/>
    <xf numFmtId="0" fontId="1" fillId="0" borderId="0"/>
    <xf numFmtId="0" fontId="4" fillId="0" borderId="0"/>
    <xf numFmtId="43" fontId="4" fillId="0" borderId="0" applyFont="0" applyFill="0" applyBorder="0" applyAlignment="0" applyProtection="0"/>
    <xf numFmtId="0" fontId="4" fillId="0" borderId="0"/>
    <xf numFmtId="0" fontId="4" fillId="0" borderId="0"/>
  </cellStyleXfs>
  <cellXfs count="553">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3" xfId="0" applyFont="1" applyBorder="1" applyAlignment="1">
      <alignment horizontal="left" wrapText="1"/>
    </xf>
    <xf numFmtId="0" fontId="11" fillId="0" borderId="4" xfId="0" applyFont="1" applyBorder="1" applyAlignment="1">
      <alignment horizontal="left" wrapText="1"/>
    </xf>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49"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center" wrapText="1" inden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9" fillId="4" borderId="1" xfId="2" applyNumberFormat="1" applyFont="1" applyFill="1" applyBorder="1" applyAlignment="1" applyProtection="1">
      <alignment vertical="center"/>
    </xf>
    <xf numFmtId="10" fontId="19" fillId="4" borderId="1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4" borderId="1" xfId="0" applyNumberFormat="1" applyFont="1" applyFill="1" applyBorder="1" applyAlignment="1" applyProtection="1">
      <alignment vertical="center"/>
    </xf>
    <xf numFmtId="165" fontId="8" fillId="4" borderId="11" xfId="0" applyNumberFormat="1" applyFont="1" applyFill="1" applyBorder="1" applyAlignment="1" applyProtection="1">
      <alignment vertical="center"/>
      <protection locked="0"/>
    </xf>
    <xf numFmtId="165" fontId="19" fillId="4" borderId="1" xfId="0" applyNumberFormat="1" applyFont="1" applyFill="1" applyBorder="1" applyAlignment="1" applyProtection="1">
      <alignment vertical="center"/>
      <protection locked="0"/>
    </xf>
    <xf numFmtId="165" fontId="19" fillId="4" borderId="11" xfId="0" applyNumberFormat="1" applyFont="1" applyFill="1" applyBorder="1" applyAlignment="1" applyProtection="1">
      <alignment vertical="center"/>
      <protection locked="0"/>
    </xf>
    <xf numFmtId="0" fontId="8" fillId="4" borderId="12" xfId="0" applyFont="1" applyFill="1" applyBorder="1" applyAlignment="1">
      <alignment horizontal="right" vertical="center"/>
    </xf>
    <xf numFmtId="165" fontId="8" fillId="4" borderId="13" xfId="0" applyNumberFormat="1" applyFont="1" applyFill="1" applyBorder="1" applyAlignment="1" applyProtection="1">
      <alignment vertical="center"/>
      <protection locked="0"/>
    </xf>
    <xf numFmtId="10" fontId="8" fillId="4" borderId="13" xfId="2" applyNumberFormat="1" applyFont="1" applyFill="1" applyBorder="1" applyAlignment="1" applyProtection="1">
      <alignment vertical="center"/>
    </xf>
    <xf numFmtId="10" fontId="8" fillId="4" borderId="13" xfId="2" applyNumberFormat="1" applyFont="1" applyFill="1" applyBorder="1" applyAlignment="1" applyProtection="1">
      <alignment vertical="center"/>
      <protection locked="0"/>
    </xf>
    <xf numFmtId="10" fontId="8" fillId="4" borderId="14" xfId="2"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7" fillId="0" borderId="0" xfId="0" applyFont="1" applyAlignment="1">
      <alignment wrapText="1"/>
    </xf>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20"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8" fillId="0" borderId="9" xfId="0" applyFont="1" applyFill="1" applyBorder="1" applyAlignment="1" applyProtection="1">
      <alignment horizontal="left" indent="1"/>
    </xf>
    <xf numFmtId="0" fontId="13" fillId="0" borderId="19"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9"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9" xfId="0" applyFont="1" applyFill="1" applyBorder="1" applyAlignment="1" applyProtection="1">
      <alignment horizontal="left" indent="2"/>
    </xf>
    <xf numFmtId="166" fontId="21" fillId="0" borderId="1" xfId="1" applyNumberFormat="1" applyFont="1" applyFill="1" applyBorder="1" applyAlignment="1" applyProtection="1">
      <alignment horizontal="right"/>
    </xf>
    <xf numFmtId="166" fontId="21" fillId="5" borderId="1" xfId="1" applyNumberFormat="1" applyFont="1" applyFill="1" applyBorder="1" applyAlignment="1" applyProtection="1">
      <alignment horizontal="right"/>
    </xf>
    <xf numFmtId="0" fontId="13" fillId="0" borderId="19"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20" xfId="0" applyFont="1" applyFill="1" applyBorder="1" applyAlignment="1" applyProtection="1"/>
    <xf numFmtId="166" fontId="8" fillId="5" borderId="13" xfId="1" applyNumberFormat="1" applyFont="1" applyFill="1" applyBorder="1" applyAlignment="1" applyProtection="1">
      <alignment horizontal="right"/>
    </xf>
    <xf numFmtId="166" fontId="8" fillId="5" borderId="14" xfId="1" applyNumberFormat="1" applyFont="1" applyFill="1" applyBorder="1" applyAlignment="1" applyProtection="1">
      <alignment horizontal="right"/>
    </xf>
    <xf numFmtId="166" fontId="3" fillId="0" borderId="0" xfId="0" applyNumberFormat="1" applyFont="1"/>
    <xf numFmtId="0" fontId="22"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20" fillId="0" borderId="0" xfId="0" applyFont="1" applyFill="1"/>
    <xf numFmtId="0" fontId="23" fillId="0" borderId="6" xfId="0" applyFont="1" applyFill="1" applyBorder="1" applyAlignment="1">
      <alignment horizontal="left" vertical="center" indent="1"/>
    </xf>
    <xf numFmtId="0" fontId="23" fillId="0" borderId="7" xfId="0" applyFont="1" applyFill="1" applyBorder="1" applyAlignment="1">
      <alignment horizontal="left" vertical="center"/>
    </xf>
    <xf numFmtId="0" fontId="23" fillId="0" borderId="9" xfId="0" applyFont="1" applyFill="1" applyBorder="1" applyAlignment="1">
      <alignment horizontal="left" vertical="center" indent="1"/>
    </xf>
    <xf numFmtId="0" fontId="23" fillId="0" borderId="1" xfId="0" applyFont="1" applyFill="1" applyBorder="1" applyAlignment="1">
      <alignment horizontal="left" vertical="center"/>
    </xf>
    <xf numFmtId="0" fontId="23"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9" xfId="0" applyFont="1" applyFill="1" applyBorder="1" applyAlignment="1">
      <alignment horizontal="left" indent="1"/>
    </xf>
    <xf numFmtId="0" fontId="24" fillId="0" borderId="1" xfId="0" applyFont="1" applyFill="1" applyBorder="1" applyAlignment="1">
      <alignment horizontal="center"/>
    </xf>
    <xf numFmtId="38" fontId="23" fillId="0" borderId="1" xfId="0" applyNumberFormat="1" applyFont="1" applyFill="1" applyBorder="1" applyAlignment="1" applyProtection="1">
      <alignment horizontal="right"/>
      <protection locked="0"/>
    </xf>
    <xf numFmtId="38" fontId="23" fillId="0" borderId="11" xfId="0" applyNumberFormat="1" applyFont="1" applyFill="1" applyBorder="1" applyAlignment="1" applyProtection="1">
      <alignment horizontal="right"/>
      <protection locked="0"/>
    </xf>
    <xf numFmtId="0" fontId="23" fillId="0" borderId="1" xfId="0" applyFont="1" applyFill="1" applyBorder="1" applyAlignment="1">
      <alignment horizontal="left" wrapText="1" indent="1"/>
    </xf>
    <xf numFmtId="166" fontId="23" fillId="0" borderId="1" xfId="1" applyNumberFormat="1" applyFont="1" applyFill="1" applyBorder="1" applyAlignment="1" applyProtection="1">
      <alignment horizontal="right"/>
    </xf>
    <xf numFmtId="166" fontId="25" fillId="0" borderId="1" xfId="1" applyNumberFormat="1" applyFont="1" applyFill="1" applyBorder="1" applyAlignment="1" applyProtection="1">
      <alignment horizontal="right"/>
    </xf>
    <xf numFmtId="166" fontId="23" fillId="5" borderId="1" xfId="1" applyNumberFormat="1" applyFont="1" applyFill="1" applyBorder="1" applyAlignment="1" applyProtection="1">
      <alignment horizontal="right"/>
    </xf>
    <xf numFmtId="0" fontId="23" fillId="0" borderId="1" xfId="0" applyFont="1" applyFill="1" applyBorder="1" applyAlignment="1">
      <alignment horizontal="left" wrapText="1" indent="2"/>
    </xf>
    <xf numFmtId="0" fontId="26" fillId="0" borderId="0" xfId="0" applyFont="1"/>
    <xf numFmtId="0" fontId="24" fillId="0" borderId="1" xfId="0" applyFont="1" applyFill="1" applyBorder="1" applyAlignment="1"/>
    <xf numFmtId="43" fontId="26" fillId="0" borderId="0" xfId="0" applyNumberFormat="1" applyFont="1"/>
    <xf numFmtId="166" fontId="26" fillId="0" borderId="0" xfId="0" applyNumberFormat="1" applyFont="1"/>
    <xf numFmtId="0" fontId="24" fillId="0" borderId="1" xfId="0" applyFont="1" applyFill="1" applyBorder="1" applyAlignment="1">
      <alignment horizontal="left"/>
    </xf>
    <xf numFmtId="166" fontId="24" fillId="0" borderId="1" xfId="1" applyNumberFormat="1" applyFont="1" applyFill="1" applyBorder="1" applyAlignment="1" applyProtection="1">
      <alignment horizontal="center"/>
    </xf>
    <xf numFmtId="166" fontId="24" fillId="0" borderId="11" xfId="1" applyNumberFormat="1" applyFont="1" applyFill="1" applyBorder="1" applyAlignment="1" applyProtection="1">
      <alignment horizontal="center"/>
    </xf>
    <xf numFmtId="0" fontId="23" fillId="0" borderId="1" xfId="0" applyFont="1" applyFill="1" applyBorder="1" applyAlignment="1">
      <alignment horizontal="left" indent="1"/>
    </xf>
    <xf numFmtId="166" fontId="23" fillId="0" borderId="11" xfId="1" applyNumberFormat="1" applyFont="1" applyFill="1" applyBorder="1" applyAlignment="1" applyProtection="1">
      <alignment horizontal="right"/>
    </xf>
    <xf numFmtId="0" fontId="0" fillId="0" borderId="0" xfId="0" applyAlignment="1">
      <alignment horizontal="left" indent="1"/>
    </xf>
    <xf numFmtId="0" fontId="26" fillId="0" borderId="0" xfId="0" applyFont="1" applyAlignment="1">
      <alignment horizontal="left" indent="1"/>
    </xf>
    <xf numFmtId="0" fontId="24" fillId="0" borderId="1" xfId="0" applyFont="1" applyFill="1" applyBorder="1" applyAlignment="1">
      <alignment horizontal="left" indent="1"/>
    </xf>
    <xf numFmtId="0" fontId="24" fillId="0" borderId="1" xfId="0" applyFont="1" applyFill="1" applyBorder="1" applyAlignment="1">
      <alignment horizontal="center" vertical="center" wrapText="1"/>
    </xf>
    <xf numFmtId="0" fontId="23" fillId="0" borderId="12" xfId="0" applyFont="1" applyFill="1" applyBorder="1" applyAlignment="1">
      <alignment horizontal="left" vertical="center" indent="1"/>
    </xf>
    <xf numFmtId="0" fontId="24" fillId="0" borderId="13" xfId="0" applyFont="1" applyFill="1" applyBorder="1" applyAlignment="1"/>
    <xf numFmtId="166" fontId="23"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20" fillId="0" borderId="0" xfId="0" applyFont="1" applyFill="1" applyAlignment="1">
      <alignment horizontal="center"/>
    </xf>
    <xf numFmtId="0" fontId="15" fillId="0" borderId="21" xfId="0" applyFont="1" applyBorder="1" applyAlignment="1">
      <alignment horizontal="center" vertical="center"/>
    </xf>
    <xf numFmtId="0" fontId="13" fillId="0" borderId="22"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5" fillId="0" borderId="23" xfId="0" applyFont="1" applyBorder="1" applyAlignment="1">
      <alignment horizontal="center" vertical="center"/>
    </xf>
    <xf numFmtId="0" fontId="13" fillId="0" borderId="24" xfId="0" applyFont="1" applyFill="1" applyBorder="1" applyAlignment="1">
      <alignment horizontal="center" vertic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20" fillId="0" borderId="25" xfId="0" applyFont="1" applyFill="1" applyBorder="1" applyAlignment="1" applyProtection="1">
      <alignment horizontal="left" vertical="center" indent="1"/>
      <protection locked="0"/>
    </xf>
    <xf numFmtId="0" fontId="20" fillId="0" borderId="25" xfId="0" applyFont="1" applyFill="1" applyBorder="1" applyAlignment="1" applyProtection="1">
      <alignment horizontal="left" vertical="center"/>
      <protection locked="0"/>
    </xf>
    <xf numFmtId="166" fontId="27"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8" fillId="0" borderId="0" xfId="0" applyFont="1" applyAlignment="1">
      <alignment wrapText="1"/>
    </xf>
    <xf numFmtId="166" fontId="0" fillId="0" borderId="0" xfId="1" applyNumberFormat="1" applyFont="1"/>
    <xf numFmtId="0" fontId="26" fillId="0" borderId="0" xfId="0" applyFont="1" applyBorder="1"/>
    <xf numFmtId="0" fontId="3" fillId="0" borderId="5" xfId="0" applyFont="1" applyBorder="1"/>
    <xf numFmtId="0" fontId="15" fillId="0" borderId="5" xfId="0" applyFont="1" applyBorder="1" applyAlignment="1">
      <alignment horizontal="center"/>
    </xf>
    <xf numFmtId="0" fontId="20" fillId="0" borderId="5" xfId="0" applyFont="1" applyFill="1" applyBorder="1" applyAlignment="1">
      <alignment horizontal="center"/>
    </xf>
    <xf numFmtId="0" fontId="3" fillId="0" borderId="23" xfId="0" applyFont="1" applyBorder="1" applyAlignment="1">
      <alignment vertical="center" wrapText="1"/>
    </xf>
    <xf numFmtId="0" fontId="15" fillId="0" borderId="24" xfId="0" applyFont="1" applyBorder="1" applyAlignment="1">
      <alignment vertical="center" wrapText="1"/>
    </xf>
    <xf numFmtId="0" fontId="29" fillId="0" borderId="24"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vertical="center" wrapText="1"/>
    </xf>
    <xf numFmtId="3" fontId="30" fillId="5" borderId="1" xfId="0" applyNumberFormat="1" applyFont="1" applyFill="1" applyBorder="1" applyAlignment="1">
      <alignment vertical="center" wrapText="1"/>
    </xf>
    <xf numFmtId="3" fontId="30"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30" fillId="0" borderId="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30" fillId="0" borderId="1" xfId="0" applyNumberFormat="1" applyFont="1" applyFill="1" applyBorder="1" applyAlignment="1">
      <alignment vertical="center" wrapText="1"/>
    </xf>
    <xf numFmtId="0" fontId="29" fillId="0" borderId="1" xfId="0" applyFont="1" applyFill="1" applyBorder="1" applyAlignment="1">
      <alignment horizontal="left" vertical="center" wrapText="1" indent="2"/>
    </xf>
    <xf numFmtId="0" fontId="29" fillId="0" borderId="12" xfId="0" applyFont="1" applyBorder="1" applyAlignment="1">
      <alignment horizontal="center" vertical="center" wrapText="1"/>
    </xf>
    <xf numFmtId="0" fontId="29" fillId="0" borderId="13" xfId="0" applyFont="1" applyBorder="1" applyAlignment="1">
      <alignment vertical="center" wrapText="1"/>
    </xf>
    <xf numFmtId="3" fontId="30" fillId="5" borderId="13" xfId="0" applyNumberFormat="1" applyFont="1" applyFill="1" applyBorder="1" applyAlignment="1">
      <alignment vertical="center" wrapText="1"/>
    </xf>
    <xf numFmtId="3" fontId="30" fillId="5" borderId="14" xfId="0" applyNumberFormat="1" applyFont="1" applyFill="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13" fillId="0" borderId="15" xfId="0" applyFont="1" applyBorder="1" applyAlignment="1">
      <alignment horizontal="center" wrapText="1"/>
    </xf>
    <xf numFmtId="0" fontId="8" fillId="0" borderId="18" xfId="0" applyFont="1" applyBorder="1" applyAlignment="1">
      <alignment horizontal="center"/>
    </xf>
    <xf numFmtId="0" fontId="8" fillId="0" borderId="9" xfId="0" applyFont="1" applyBorder="1" applyAlignment="1">
      <alignment vertical="center"/>
    </xf>
    <xf numFmtId="0" fontId="32" fillId="0" borderId="19" xfId="0" applyFont="1" applyBorder="1" applyAlignment="1">
      <alignment wrapText="1"/>
    </xf>
    <xf numFmtId="0" fontId="3" fillId="0" borderId="28" xfId="0" applyFont="1" applyBorder="1" applyAlignment="1"/>
    <xf numFmtId="0" fontId="32" fillId="0" borderId="19" xfId="0" applyFont="1" applyBorder="1" applyAlignment="1">
      <alignment wrapText="1"/>
    </xf>
    <xf numFmtId="0" fontId="32" fillId="0" borderId="28" xfId="0" applyFont="1" applyBorder="1" applyAlignment="1">
      <alignment wrapText="1"/>
    </xf>
    <xf numFmtId="0" fontId="13" fillId="0" borderId="19" xfId="0" applyFont="1" applyBorder="1" applyAlignment="1">
      <alignment horizontal="center" wrapText="1"/>
    </xf>
    <xf numFmtId="0" fontId="8" fillId="0" borderId="28" xfId="0" applyFont="1" applyBorder="1" applyAlignment="1">
      <alignment horizontal="center"/>
    </xf>
    <xf numFmtId="0" fontId="8" fillId="0" borderId="19" xfId="0" applyFont="1" applyBorder="1" applyAlignment="1">
      <alignment wrapText="1"/>
    </xf>
    <xf numFmtId="0" fontId="8" fillId="0" borderId="28" xfId="0" applyFont="1" applyBorder="1" applyAlignment="1"/>
    <xf numFmtId="0" fontId="8" fillId="0" borderId="28" xfId="0" applyFont="1" applyBorder="1" applyAlignment="1">
      <alignment wrapText="1"/>
    </xf>
    <xf numFmtId="0" fontId="13" fillId="0" borderId="19" xfId="0" applyFont="1" applyBorder="1" applyAlignment="1">
      <alignment horizontal="center" vertical="center" wrapText="1"/>
    </xf>
    <xf numFmtId="0" fontId="13" fillId="0" borderId="28" xfId="0" applyFont="1" applyBorder="1" applyAlignment="1">
      <alignment horizontal="center" vertical="center" wrapText="1"/>
    </xf>
    <xf numFmtId="9" fontId="3" fillId="0" borderId="28" xfId="0" applyNumberFormat="1" applyFont="1" applyBorder="1" applyAlignment="1"/>
    <xf numFmtId="0" fontId="8" fillId="0" borderId="29" xfId="0" applyFont="1" applyBorder="1" applyAlignment="1">
      <alignment vertical="center"/>
    </xf>
    <xf numFmtId="0" fontId="32" fillId="0" borderId="3" xfId="0" applyFont="1" applyBorder="1" applyAlignment="1">
      <alignment wrapText="1"/>
    </xf>
    <xf numFmtId="9" fontId="3" fillId="0" borderId="30" xfId="0" applyNumberFormat="1" applyFont="1" applyBorder="1" applyAlignment="1"/>
    <xf numFmtId="0" fontId="8" fillId="0" borderId="12" xfId="0" applyFont="1" applyBorder="1"/>
    <xf numFmtId="0" fontId="32" fillId="0" borderId="20" xfId="0" applyFont="1" applyBorder="1" applyAlignment="1">
      <alignment wrapText="1"/>
    </xf>
    <xf numFmtId="0" fontId="3" fillId="0" borderId="31"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3" fillId="0" borderId="1" xfId="0" applyFont="1" applyFill="1" applyBorder="1" applyAlignment="1">
      <alignment horizontal="center" vertical="center" wrapText="1"/>
    </xf>
    <xf numFmtId="0" fontId="3" fillId="0" borderId="19" xfId="0" applyFont="1" applyFill="1" applyBorder="1" applyAlignment="1">
      <alignment horizontal="center"/>
    </xf>
    <xf numFmtId="0" fontId="3" fillId="0" borderId="28" xfId="0" applyFont="1" applyFill="1" applyBorder="1" applyAlignment="1">
      <alignment horizontal="center"/>
    </xf>
    <xf numFmtId="0" fontId="0" fillId="0" borderId="0" xfId="0" applyFont="1" applyFill="1"/>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5" fontId="3" fillId="0" borderId="1"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6" fontId="0" fillId="0" borderId="0" xfId="0" applyNumberFormat="1"/>
    <xf numFmtId="3" fontId="0" fillId="0" borderId="0" xfId="0" applyNumberFormat="1"/>
    <xf numFmtId="0" fontId="33" fillId="0" borderId="25" xfId="0" applyFont="1" applyBorder="1" applyAlignment="1">
      <alignment vertical="center" wrapText="1"/>
    </xf>
    <xf numFmtId="166" fontId="34" fillId="0" borderId="1" xfId="1" applyNumberFormat="1" applyFont="1" applyBorder="1" applyAlignment="1">
      <alignment horizontal="center" vertical="center"/>
    </xf>
    <xf numFmtId="167"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5" fontId="15" fillId="5" borderId="13" xfId="0" applyNumberFormat="1" applyFont="1" applyFill="1" applyBorder="1" applyAlignment="1">
      <alignment horizontal="center" vertical="center"/>
    </xf>
    <xf numFmtId="165" fontId="15" fillId="5" borderId="14" xfId="0" applyNumberFormat="1" applyFont="1" applyFill="1" applyBorder="1" applyAlignment="1">
      <alignment horizontal="center" vertical="center"/>
    </xf>
    <xf numFmtId="0" fontId="3" fillId="0" borderId="0" xfId="0" applyFont="1" applyFill="1" applyBorder="1" applyAlignment="1">
      <alignment vertical="center" wrapText="1"/>
    </xf>
    <xf numFmtId="43" fontId="0" fillId="0" borderId="0" xfId="0" applyNumberFormat="1"/>
    <xf numFmtId="0" fontId="3" fillId="0" borderId="32" xfId="0" applyFont="1" applyFill="1" applyBorder="1" applyAlignment="1">
      <alignment vertical="center" wrapText="1"/>
    </xf>
    <xf numFmtId="165" fontId="3" fillId="0" borderId="0" xfId="0" applyNumberFormat="1" applyFont="1"/>
    <xf numFmtId="0" fontId="6" fillId="0" borderId="0" xfId="0" applyFont="1" applyAlignment="1">
      <alignment vertical="center"/>
    </xf>
    <xf numFmtId="0" fontId="3" fillId="0" borderId="0" xfId="0" applyFont="1" applyAlignment="1">
      <alignment vertical="center"/>
    </xf>
    <xf numFmtId="0" fontId="14" fillId="0" borderId="0" xfId="5" applyFont="1" applyFill="1" applyBorder="1" applyAlignment="1" applyProtection="1">
      <alignment horizontal="center" vertical="center" wrapText="1"/>
    </xf>
    <xf numFmtId="0" fontId="20"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6" xfId="0" applyFont="1" applyFill="1" applyBorder="1" applyAlignment="1">
      <alignment wrapText="1"/>
    </xf>
    <xf numFmtId="165" fontId="0" fillId="5" borderId="8" xfId="0" applyNumberFormat="1" applyFill="1" applyBorder="1" applyAlignment="1">
      <alignment horizontal="center" vertical="center"/>
    </xf>
    <xf numFmtId="0" fontId="3" fillId="0" borderId="9" xfId="0" applyFont="1" applyBorder="1" applyAlignment="1">
      <alignment horizontal="center" vertical="center"/>
    </xf>
    <xf numFmtId="0" fontId="3" fillId="0" borderId="33" xfId="0" applyFont="1" applyFill="1" applyBorder="1" applyAlignment="1"/>
    <xf numFmtId="165" fontId="0" fillId="0" borderId="11" xfId="0" applyNumberFormat="1" applyBorder="1" applyAlignment="1"/>
    <xf numFmtId="165" fontId="0" fillId="0" borderId="0" xfId="0" applyNumberFormat="1" applyAlignment="1"/>
    <xf numFmtId="0" fontId="3" fillId="0" borderId="9" xfId="0" applyFont="1" applyBorder="1" applyAlignment="1">
      <alignment horizontal="center" vertical="center" wrapText="1"/>
    </xf>
    <xf numFmtId="0" fontId="3" fillId="0" borderId="33" xfId="0" applyFont="1" applyFill="1" applyBorder="1" applyAlignment="1">
      <alignment vertical="center" wrapText="1"/>
    </xf>
    <xf numFmtId="165" fontId="0" fillId="0" borderId="11" xfId="0" applyNumberFormat="1" applyBorder="1" applyAlignment="1">
      <alignment wrapText="1"/>
    </xf>
    <xf numFmtId="165" fontId="0" fillId="0" borderId="0" xfId="0" applyNumberFormat="1" applyAlignment="1">
      <alignment wrapText="1"/>
    </xf>
    <xf numFmtId="0" fontId="0" fillId="0" borderId="0" xfId="0" applyAlignment="1">
      <alignment wrapText="1"/>
    </xf>
    <xf numFmtId="0" fontId="15" fillId="5" borderId="33" xfId="0" applyFont="1" applyFill="1" applyBorder="1" applyAlignment="1">
      <alignment wrapText="1"/>
    </xf>
    <xf numFmtId="165" fontId="0" fillId="5" borderId="11" xfId="0" applyNumberFormat="1" applyFill="1" applyBorder="1" applyAlignment="1">
      <alignment horizontal="center" vertical="center" wrapText="1"/>
    </xf>
    <xf numFmtId="0" fontId="3" fillId="0" borderId="33" xfId="0" applyFont="1" applyFill="1" applyBorder="1" applyAlignment="1">
      <alignment vertical="center"/>
    </xf>
    <xf numFmtId="165" fontId="0" fillId="0" borderId="11" xfId="0" applyNumberFormat="1" applyFill="1" applyBorder="1" applyAlignment="1"/>
    <xf numFmtId="0" fontId="3" fillId="0" borderId="33" xfId="0" applyFont="1" applyBorder="1" applyAlignment="1">
      <alignment wrapText="1"/>
    </xf>
    <xf numFmtId="0" fontId="3" fillId="0" borderId="12" xfId="0" applyFont="1" applyBorder="1" applyAlignment="1">
      <alignment horizontal="center" vertical="center" wrapText="1"/>
    </xf>
    <xf numFmtId="0" fontId="15" fillId="5" borderId="34" xfId="0" applyFont="1" applyFill="1" applyBorder="1" applyAlignment="1">
      <alignment wrapText="1"/>
    </xf>
    <xf numFmtId="165" fontId="0" fillId="5" borderId="14" xfId="0" applyNumberFormat="1" applyFill="1" applyBorder="1" applyAlignment="1">
      <alignment horizontal="center" vertical="center" wrapText="1"/>
    </xf>
    <xf numFmtId="168" fontId="0" fillId="0" borderId="0" xfId="0" applyNumberFormat="1"/>
    <xf numFmtId="0" fontId="3" fillId="6" borderId="0" xfId="0" applyFont="1" applyFill="1" applyAlignment="1">
      <alignment horizontal="center" vertical="center"/>
    </xf>
    <xf numFmtId="169" fontId="0" fillId="6" borderId="0" xfId="0" applyNumberFormat="1" applyFill="1"/>
    <xf numFmtId="0" fontId="6" fillId="0" borderId="0" xfId="0" applyFont="1" applyAlignment="1">
      <alignment horizontal="center" vertical="center"/>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34" fillId="2" borderId="11" xfId="1" applyNumberFormat="1" applyFont="1" applyFill="1" applyBorder="1" applyAlignment="1" applyProtection="1">
      <alignment vertical="top"/>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14" xfId="1" applyNumberFormat="1" applyFont="1" applyFill="1" applyBorder="1" applyAlignment="1" applyProtection="1">
      <alignment vertical="top" wrapText="1"/>
    </xf>
    <xf numFmtId="166" fontId="3" fillId="0" borderId="0" xfId="1" applyNumberFormat="1" applyFont="1"/>
    <xf numFmtId="0" fontId="15" fillId="0" borderId="0" xfId="12" applyFont="1" applyFill="1" applyAlignment="1" applyProtection="1">
      <alignment horizontal="left" vertical="center"/>
      <protection locked="0"/>
    </xf>
    <xf numFmtId="0" fontId="15" fillId="5" borderId="35"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37" fontId="3" fillId="0" borderId="11" xfId="0" applyNumberFormat="1" applyFont="1" applyFill="1" applyBorder="1" applyAlignment="1">
      <alignment horizontal="lef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37" fontId="12" fillId="0" borderId="11" xfId="0" applyNumberFormat="1" applyFont="1" applyFill="1" applyBorder="1" applyAlignment="1">
      <alignment horizontal="left" vertical="center" wrapText="1"/>
    </xf>
    <xf numFmtId="0" fontId="12" fillId="0" borderId="0" xfId="0" applyFont="1" applyFill="1" applyAlignment="1">
      <alignment horizontal="left" vertical="center"/>
    </xf>
    <xf numFmtId="0" fontId="12" fillId="0" borderId="11" xfId="0" applyFont="1" applyFill="1" applyBorder="1" applyAlignment="1">
      <alignment horizontal="left" vertical="center" wrapText="1"/>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2" applyNumberFormat="1" applyFont="1" applyFill="1" applyBorder="1" applyAlignment="1">
      <alignment horizontal="left" vertical="center" wrapText="1"/>
    </xf>
    <xf numFmtId="10" fontId="12" fillId="0" borderId="1" xfId="0" applyNumberFormat="1" applyFont="1" applyFill="1" applyBorder="1" applyAlignment="1">
      <alignment horizontal="left" vertical="center" wrapText="1"/>
    </xf>
    <xf numFmtId="0" fontId="15" fillId="5" borderId="36"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0" borderId="9" xfId="0" applyFont="1" applyFill="1" applyBorder="1" applyAlignment="1">
      <alignment horizontal="left" vertical="center" wrapText="1"/>
    </xf>
    <xf numFmtId="38" fontId="3" fillId="0" borderId="11" xfId="0" applyNumberFormat="1" applyFont="1" applyFill="1" applyBorder="1" applyAlignment="1">
      <alignment horizontal="left" vertical="center" wrapText="1"/>
    </xf>
    <xf numFmtId="49" fontId="35" fillId="0" borderId="12" xfId="13" applyNumberFormat="1" applyFont="1" applyFill="1" applyBorder="1" applyAlignment="1" applyProtection="1">
      <alignment horizontal="left" vertical="center"/>
      <protection locked="0"/>
    </xf>
    <xf numFmtId="0" fontId="36" fillId="0" borderId="13" xfId="9" applyFont="1" applyFill="1" applyBorder="1" applyAlignment="1" applyProtection="1">
      <alignment horizontal="left" vertical="center" wrapText="1"/>
      <protection locked="0"/>
    </xf>
    <xf numFmtId="10" fontId="36" fillId="0" borderId="13" xfId="2" applyNumberFormat="1" applyFont="1" applyFill="1" applyBorder="1" applyAlignment="1" applyProtection="1">
      <alignment horizontal="left" vertical="center"/>
    </xf>
    <xf numFmtId="37" fontId="7" fillId="0" borderId="14" xfId="14" applyNumberFormat="1" applyFont="1" applyFill="1" applyBorder="1" applyAlignment="1" applyProtection="1">
      <alignment horizontal="left" vertical="center"/>
    </xf>
    <xf numFmtId="0" fontId="13" fillId="0" borderId="0" xfId="5" applyFont="1" applyFill="1" applyBorder="1" applyProtection="1"/>
    <xf numFmtId="0" fontId="6" fillId="0" borderId="0" xfId="0" applyFont="1"/>
    <xf numFmtId="0" fontId="13" fillId="0" borderId="0" xfId="5" applyFont="1" applyFill="1" applyBorder="1" applyAlignment="1" applyProtection="1"/>
    <xf numFmtId="0" fontId="13" fillId="0" borderId="0" xfId="5" applyFont="1" applyFill="1" applyBorder="1" applyAlignment="1" applyProtection="1">
      <alignment horizontal="center"/>
    </xf>
    <xf numFmtId="0" fontId="20"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6" fillId="0" borderId="9" xfId="0" applyFont="1" applyBorder="1" applyAlignment="1">
      <alignment horizontal="center"/>
    </xf>
    <xf numFmtId="0" fontId="6" fillId="0" borderId="39" xfId="0" applyFont="1" applyBorder="1" applyAlignment="1">
      <alignment wrapText="1"/>
    </xf>
    <xf numFmtId="165" fontId="6" fillId="0" borderId="40" xfId="0" applyNumberFormat="1" applyFont="1" applyBorder="1" applyAlignment="1">
      <alignment vertical="center"/>
    </xf>
    <xf numFmtId="167" fontId="6" fillId="0" borderId="41" xfId="0" applyNumberFormat="1" applyFont="1" applyBorder="1" applyAlignment="1">
      <alignment horizontal="center"/>
    </xf>
    <xf numFmtId="167" fontId="0" fillId="0" borderId="0" xfId="0" applyNumberFormat="1" applyBorder="1" applyAlignment="1">
      <alignment horizontal="center"/>
    </xf>
    <xf numFmtId="0" fontId="6" fillId="0" borderId="42" xfId="0" applyFont="1" applyBorder="1" applyAlignment="1">
      <alignment wrapText="1"/>
    </xf>
    <xf numFmtId="167" fontId="6" fillId="0" borderId="43" xfId="0" applyNumberFormat="1" applyFont="1" applyBorder="1" applyAlignment="1">
      <alignment horizontal="center"/>
    </xf>
    <xf numFmtId="165" fontId="22" fillId="0" borderId="44" xfId="0" applyNumberFormat="1" applyFont="1" applyBorder="1" applyAlignment="1">
      <alignment vertical="center"/>
    </xf>
    <xf numFmtId="167" fontId="22" fillId="0" borderId="43" xfId="0" applyNumberFormat="1" applyFont="1" applyBorder="1" applyAlignment="1">
      <alignment horizontal="center"/>
    </xf>
    <xf numFmtId="167" fontId="27" fillId="0" borderId="0" xfId="0" applyNumberFormat="1" applyFont="1" applyBorder="1" applyAlignment="1">
      <alignment horizontal="center"/>
    </xf>
    <xf numFmtId="0" fontId="22" fillId="0" borderId="42" xfId="0" applyFont="1" applyBorder="1" applyAlignment="1">
      <alignment wrapText="1"/>
    </xf>
    <xf numFmtId="167" fontId="20" fillId="7" borderId="43" xfId="0" applyNumberFormat="1" applyFont="1" applyFill="1" applyBorder="1" applyAlignment="1">
      <alignment horizontal="center"/>
    </xf>
    <xf numFmtId="166" fontId="22" fillId="0" borderId="44" xfId="1" applyNumberFormat="1" applyFont="1" applyBorder="1" applyAlignment="1">
      <alignment vertical="center"/>
    </xf>
    <xf numFmtId="165" fontId="6" fillId="5" borderId="44" xfId="0" applyNumberFormat="1" applyFont="1" applyFill="1" applyBorder="1" applyAlignment="1">
      <alignment vertical="center"/>
    </xf>
    <xf numFmtId="165" fontId="6" fillId="0" borderId="44" xfId="0" applyNumberFormat="1" applyFont="1" applyBorder="1" applyAlignment="1">
      <alignment vertical="center"/>
    </xf>
    <xf numFmtId="0" fontId="22" fillId="0" borderId="42" xfId="0" applyFont="1" applyBorder="1" applyAlignment="1">
      <alignment horizontal="right" wrapText="1"/>
    </xf>
    <xf numFmtId="165" fontId="22" fillId="0" borderId="44" xfId="0" applyNumberFormat="1" applyFont="1" applyFill="1" applyBorder="1" applyAlignment="1">
      <alignment vertical="center"/>
    </xf>
    <xf numFmtId="0" fontId="6" fillId="0" borderId="45" xfId="0" applyFont="1" applyBorder="1" applyAlignment="1">
      <alignment wrapText="1"/>
    </xf>
    <xf numFmtId="165" fontId="6" fillId="0" borderId="46" xfId="0" applyNumberFormat="1" applyFont="1" applyBorder="1" applyAlignment="1">
      <alignment vertical="center"/>
    </xf>
    <xf numFmtId="167" fontId="6" fillId="0" borderId="47" xfId="0" applyNumberFormat="1" applyFont="1" applyBorder="1" applyAlignment="1">
      <alignment horizontal="center"/>
    </xf>
    <xf numFmtId="0" fontId="37" fillId="5" borderId="48" xfId="0" applyFont="1" applyFill="1" applyBorder="1" applyAlignment="1">
      <alignment wrapText="1"/>
    </xf>
    <xf numFmtId="165" fontId="37" fillId="5" borderId="49" xfId="0" applyNumberFormat="1" applyFont="1" applyFill="1" applyBorder="1" applyAlignment="1">
      <alignment vertical="center"/>
    </xf>
    <xf numFmtId="167" fontId="37" fillId="5" borderId="50" xfId="0" applyNumberFormat="1" applyFont="1" applyFill="1" applyBorder="1" applyAlignment="1">
      <alignment horizontal="center"/>
    </xf>
    <xf numFmtId="167" fontId="2" fillId="0" borderId="0" xfId="0" applyNumberFormat="1" applyFont="1" applyFill="1" applyBorder="1" applyAlignment="1">
      <alignment horizontal="center"/>
    </xf>
    <xf numFmtId="165" fontId="6" fillId="0" borderId="51" xfId="0" applyNumberFormat="1" applyFont="1" applyBorder="1" applyAlignment="1">
      <alignment vertical="center"/>
    </xf>
    <xf numFmtId="167" fontId="6" fillId="0" borderId="52" xfId="0" applyNumberFormat="1" applyFont="1" applyBorder="1" applyAlignment="1">
      <alignment horizontal="center"/>
    </xf>
    <xf numFmtId="166" fontId="22" fillId="0" borderId="51" xfId="1" applyNumberFormat="1" applyFont="1" applyBorder="1" applyAlignment="1">
      <alignment vertical="center"/>
    </xf>
    <xf numFmtId="0" fontId="22" fillId="0" borderId="45" xfId="0" applyFont="1" applyBorder="1" applyAlignment="1">
      <alignment horizontal="right" wrapText="1"/>
    </xf>
    <xf numFmtId="166" fontId="6" fillId="0" borderId="44" xfId="1" applyNumberFormat="1" applyFont="1" applyBorder="1" applyAlignment="1">
      <alignment vertical="center"/>
    </xf>
    <xf numFmtId="166" fontId="21" fillId="0" borderId="44" xfId="1" applyNumberFormat="1" applyFont="1" applyBorder="1" applyAlignment="1">
      <alignment vertical="center"/>
    </xf>
    <xf numFmtId="0" fontId="6" fillId="0" borderId="12" xfId="0" applyFont="1" applyBorder="1" applyAlignment="1">
      <alignment horizontal="center"/>
    </xf>
    <xf numFmtId="0" fontId="37" fillId="5" borderId="53" xfId="0" applyFont="1" applyFill="1" applyBorder="1" applyAlignment="1">
      <alignment wrapText="1"/>
    </xf>
    <xf numFmtId="165" fontId="37" fillId="5" borderId="54" xfId="0" applyNumberFormat="1" applyFont="1" applyFill="1" applyBorder="1" applyAlignment="1">
      <alignment vertical="center"/>
    </xf>
    <xf numFmtId="167" fontId="37" fillId="5" borderId="55"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6" xfId="0" applyFont="1" applyBorder="1"/>
    <xf numFmtId="0" fontId="3" fillId="0" borderId="57" xfId="0" applyFont="1" applyBorder="1"/>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8" xfId="0" applyFont="1" applyBorder="1"/>
    <xf numFmtId="0" fontId="3" fillId="0" borderId="2" xfId="0" applyFont="1" applyBorder="1" applyAlignment="1">
      <alignment horizontal="center" vertical="center" wrapText="1"/>
    </xf>
    <xf numFmtId="9" fontId="3" fillId="0" borderId="19"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40" fillId="2" borderId="59" xfId="1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9" fontId="41" fillId="0" borderId="1" xfId="0" applyNumberFormat="1" applyFont="1" applyFill="1" applyBorder="1" applyAlignment="1">
      <alignment horizontal="center" vertical="center"/>
    </xf>
    <xf numFmtId="0" fontId="40" fillId="2" borderId="27" xfId="11" applyFont="1" applyFill="1" applyBorder="1" applyAlignment="1" applyProtection="1">
      <alignment horizontal="center" vertical="center" wrapText="1"/>
      <protection locked="0"/>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9" xfId="1" applyNumberFormat="1" applyFont="1" applyBorder="1" applyAlignment="1"/>
    <xf numFmtId="166" fontId="3" fillId="0" borderId="11" xfId="1" applyNumberFormat="1" applyFont="1" applyBorder="1" applyAlignment="1"/>
    <xf numFmtId="0" fontId="26" fillId="0" borderId="0" xfId="0" applyFont="1" applyAlignment="1"/>
    <xf numFmtId="0" fontId="7" fillId="2" borderId="12" xfId="9" applyFont="1" applyFill="1" applyBorder="1" applyAlignment="1" applyProtection="1">
      <alignment horizontal="left" vertical="center"/>
      <protection locked="0"/>
    </xf>
    <xf numFmtId="0" fontId="14" fillId="2" borderId="13" xfId="15" applyFont="1" applyFill="1" applyBorder="1" applyAlignment="1" applyProtection="1">
      <protection locked="0"/>
    </xf>
    <xf numFmtId="166" fontId="3" fillId="5" borderId="13" xfId="1" applyNumberFormat="1" applyFont="1" applyFill="1" applyBorder="1"/>
    <xf numFmtId="166" fontId="3" fillId="5" borderId="14" xfId="1" applyNumberFormat="1" applyFont="1" applyFill="1" applyBorder="1"/>
    <xf numFmtId="0" fontId="15" fillId="0" borderId="0" xfId="0" applyFont="1" applyFill="1" applyAlignment="1">
      <alignment horizontal="center" wrapText="1"/>
    </xf>
    <xf numFmtId="0" fontId="3" fillId="0" borderId="6" xfId="0" applyFont="1" applyBorder="1"/>
    <xf numFmtId="0" fontId="3" fillId="0" borderId="8" xfId="0" applyFont="1" applyBorder="1"/>
    <xf numFmtId="166" fontId="14" fillId="2" borderId="6" xfId="14" applyNumberFormat="1" applyFont="1" applyFill="1" applyBorder="1" applyAlignment="1" applyProtection="1">
      <alignment horizontal="center"/>
      <protection locked="0"/>
    </xf>
    <xf numFmtId="166" fontId="14" fillId="2" borderId="7" xfId="14" applyNumberFormat="1" applyFont="1" applyFill="1" applyBorder="1" applyAlignment="1" applyProtection="1">
      <alignment horizontal="center"/>
      <protection locked="0"/>
    </xf>
    <xf numFmtId="166" fontId="14" fillId="2" borderId="8" xfId="14" applyNumberFormat="1" applyFont="1" applyFill="1" applyBorder="1" applyAlignment="1" applyProtection="1">
      <alignment horizontal="center"/>
      <protection locked="0"/>
    </xf>
    <xf numFmtId="166" fontId="14" fillId="0" borderId="60" xfId="14" applyNumberFormat="1" applyFont="1" applyFill="1" applyBorder="1" applyAlignment="1" applyProtection="1">
      <alignment horizontal="center" vertical="center" wrapText="1"/>
      <protection locked="0"/>
    </xf>
    <xf numFmtId="0" fontId="15" fillId="0" borderId="61" xfId="0" applyFont="1" applyBorder="1" applyAlignment="1">
      <alignment horizontal="center" vertical="center" wrapText="1"/>
    </xf>
    <xf numFmtId="0" fontId="3" fillId="0" borderId="11" xfId="0" applyFont="1" applyBorder="1" applyAlignment="1">
      <alignment horizontal="center" vertical="center"/>
    </xf>
    <xf numFmtId="166" fontId="7" fillId="2" borderId="9" xfId="14" applyNumberFormat="1" applyFont="1" applyFill="1" applyBorder="1" applyAlignment="1" applyProtection="1">
      <alignment horizontal="center" vertical="center" wrapText="1"/>
      <protection locked="0"/>
    </xf>
    <xf numFmtId="166" fontId="7" fillId="2" borderId="1" xfId="14"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4" applyNumberFormat="1" applyFont="1" applyFill="1" applyBorder="1" applyAlignment="1" applyProtection="1">
      <alignment horizontal="center" vertical="center" wrapText="1"/>
      <protection locked="0"/>
    </xf>
    <xf numFmtId="166" fontId="14" fillId="0" borderId="62" xfId="14" applyNumberFormat="1" applyFont="1" applyFill="1" applyBorder="1" applyAlignment="1" applyProtection="1">
      <alignment horizontal="center" vertical="center" wrapText="1"/>
      <protection locked="0"/>
    </xf>
    <xf numFmtId="0" fontId="15" fillId="0" borderId="63" xfId="0" applyFont="1" applyBorder="1" applyAlignment="1">
      <alignment horizontal="center" vertical="center" wrapText="1"/>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8" xfId="1" applyNumberFormat="1" applyFont="1" applyBorder="1" applyAlignment="1">
      <alignment wrapText="1"/>
    </xf>
    <xf numFmtId="165" fontId="3" fillId="0" borderId="28" xfId="0" applyNumberFormat="1" applyFont="1" applyBorder="1" applyAlignment="1"/>
    <xf numFmtId="165" fontId="3" fillId="5" borderId="63" xfId="0" applyNumberFormat="1" applyFont="1" applyFill="1" applyBorder="1" applyAlignment="1"/>
    <xf numFmtId="0" fontId="14" fillId="2" borderId="14" xfId="15"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14" xfId="0" applyNumberFormat="1" applyFont="1" applyFill="1" applyBorder="1"/>
    <xf numFmtId="165" fontId="3" fillId="5" borderId="64"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0" fontId="26" fillId="0" borderId="0" xfId="0" applyFont="1" applyAlignment="1">
      <alignment wrapText="1"/>
    </xf>
    <xf numFmtId="0" fontId="3" fillId="0" borderId="24" xfId="0" applyFont="1" applyBorder="1"/>
    <xf numFmtId="0" fontId="3" fillId="0" borderId="2"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5" xfId="0" applyFont="1" applyFill="1" applyBorder="1" applyAlignment="1">
      <alignment horizontal="center" wrapText="1"/>
    </xf>
    <xf numFmtId="0" fontId="3" fillId="0" borderId="5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9"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14" xfId="2" applyFont="1" applyFill="1" applyBorder="1"/>
    <xf numFmtId="0" fontId="33" fillId="0" borderId="56" xfId="0" applyFont="1" applyFill="1" applyBorder="1" applyAlignment="1">
      <alignment horizontal="left" vertical="center"/>
    </xf>
    <xf numFmtId="0" fontId="33"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3" fillId="2" borderId="66" xfId="0" applyFont="1" applyFill="1" applyBorder="1" applyAlignment="1">
      <alignment horizontal="left"/>
    </xf>
    <xf numFmtId="0" fontId="33"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6" xfId="0" applyFont="1" applyFill="1" applyBorder="1" applyAlignment="1">
      <alignment vertical="center"/>
    </xf>
    <xf numFmtId="0" fontId="3" fillId="2" borderId="33" xfId="0" applyFont="1" applyFill="1" applyBorder="1" applyAlignment="1">
      <alignment vertical="center"/>
    </xf>
    <xf numFmtId="0" fontId="3" fillId="2" borderId="28"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7" xfId="1" applyNumberFormat="1" applyFont="1" applyFill="1" applyBorder="1" applyAlignment="1">
      <alignment vertical="center"/>
    </xf>
    <xf numFmtId="166" fontId="3" fillId="0" borderId="27"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9"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3" xfId="1" applyNumberFormat="1" applyFont="1" applyFill="1" applyBorder="1" applyAlignment="1">
      <alignment vertical="center"/>
    </xf>
    <xf numFmtId="166" fontId="3" fillId="2" borderId="28"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20" xfId="1" applyNumberFormat="1" applyFont="1" applyFill="1" applyBorder="1" applyAlignment="1">
      <alignment vertical="center"/>
    </xf>
    <xf numFmtId="0" fontId="3" fillId="2" borderId="58" xfId="0" applyFont="1" applyFill="1" applyBorder="1" applyAlignment="1">
      <alignment horizontal="center" vertical="center"/>
    </xf>
    <xf numFmtId="0" fontId="3" fillId="2" borderId="0" xfId="0" applyFont="1" applyFill="1" applyBorder="1" applyAlignment="1">
      <alignment vertical="center"/>
    </xf>
    <xf numFmtId="0" fontId="3" fillId="0" borderId="3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7" xfId="6" applyBorder="1"/>
    <xf numFmtId="166" fontId="3" fillId="0" borderId="15"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29" xfId="0" applyFont="1" applyFill="1" applyBorder="1" applyAlignment="1">
      <alignment horizontal="center" vertical="center"/>
    </xf>
    <xf numFmtId="0" fontId="3" fillId="0" borderId="2" xfId="0" applyFont="1" applyFill="1" applyBorder="1" applyAlignment="1">
      <alignment vertical="center"/>
    </xf>
    <xf numFmtId="164" fontId="16" fillId="3" borderId="20" xfId="6" applyBorder="1"/>
    <xf numFmtId="164" fontId="16" fillId="3" borderId="34" xfId="6" applyBorder="1"/>
    <xf numFmtId="164" fontId="16" fillId="3" borderId="26" xfId="6" applyBorder="1"/>
    <xf numFmtId="166" fontId="3" fillId="0" borderId="3" xfId="1" applyNumberFormat="1" applyFont="1" applyFill="1" applyBorder="1" applyAlignment="1">
      <alignment vertical="center"/>
    </xf>
    <xf numFmtId="166" fontId="3" fillId="0" borderId="59" xfId="1" applyNumberFormat="1" applyFont="1" applyFill="1" applyBorder="1" applyAlignment="1">
      <alignment vertical="center"/>
    </xf>
    <xf numFmtId="0" fontId="3" fillId="0" borderId="68" xfId="0" applyFont="1" applyFill="1" applyBorder="1" applyAlignment="1">
      <alignment horizontal="center" vertical="center"/>
    </xf>
    <xf numFmtId="0" fontId="3" fillId="0" borderId="69" xfId="0" applyFont="1" applyFill="1" applyBorder="1" applyAlignment="1">
      <alignment vertical="center"/>
    </xf>
    <xf numFmtId="164" fontId="16" fillId="3" borderId="70" xfId="6" applyBorder="1"/>
    <xf numFmtId="9" fontId="3" fillId="0" borderId="71" xfId="2" applyNumberFormat="1" applyFont="1" applyFill="1" applyBorder="1" applyAlignment="1">
      <alignment vertical="center"/>
    </xf>
    <xf numFmtId="9" fontId="3" fillId="0" borderId="71" xfId="2" applyFont="1" applyFill="1" applyBorder="1" applyAlignment="1">
      <alignment vertical="center"/>
    </xf>
    <xf numFmtId="9" fontId="3" fillId="0" borderId="72" xfId="2" applyFont="1" applyFill="1" applyBorder="1" applyAlignment="1">
      <alignment vertical="center"/>
    </xf>
    <xf numFmtId="0" fontId="3" fillId="0" borderId="0" xfId="0" applyFont="1" applyAlignment="1">
      <alignment wrapText="1"/>
    </xf>
    <xf numFmtId="0" fontId="37" fillId="0" borderId="0" xfId="0" applyFont="1"/>
    <xf numFmtId="0" fontId="3" fillId="0" borderId="56" xfId="0" applyFont="1" applyBorder="1" applyAlignment="1">
      <alignment horizontal="center"/>
    </xf>
    <xf numFmtId="0" fontId="3" fillId="0" borderId="57"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6"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4"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6" fillId="0" borderId="0" xfId="0" applyFont="1" applyProtection="1"/>
    <xf numFmtId="0" fontId="8" fillId="2" borderId="1" xfId="11" applyFont="1" applyFill="1" applyBorder="1" applyAlignment="1" applyProtection="1">
      <alignment horizontal="left" vertical="center" wrapText="1"/>
      <protection locked="0"/>
    </xf>
    <xf numFmtId="170"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70" fontId="8" fillId="8"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5" applyFont="1" applyFill="1" applyBorder="1" applyAlignment="1" applyProtection="1">
      <protection locked="0"/>
    </xf>
    <xf numFmtId="165" fontId="13" fillId="5" borderId="13" xfId="15" applyNumberFormat="1" applyFont="1" applyFill="1" applyBorder="1" applyAlignment="1" applyProtection="1"/>
    <xf numFmtId="3" fontId="13" fillId="5" borderId="13" xfId="15" applyNumberFormat="1" applyFont="1" applyFill="1" applyBorder="1" applyAlignment="1" applyProtection="1"/>
    <xf numFmtId="165" fontId="13" fillId="5" borderId="13" xfId="14" applyNumberFormat="1" applyFont="1" applyFill="1" applyBorder="1" applyAlignment="1" applyProtection="1"/>
    <xf numFmtId="0" fontId="6" fillId="0" borderId="0" xfId="0" applyFont="1" applyProtection="1"/>
    <xf numFmtId="165" fontId="6" fillId="0" borderId="0" xfId="0" applyNumberFormat="1" applyFont="1" applyProtection="1"/>
  </cellXfs>
  <cellStyles count="17">
    <cellStyle name="1Normal 2" xfId="6"/>
    <cellStyle name="Comma" xfId="1" builtinId="3"/>
    <cellStyle name="Comma 2" xfId="14"/>
    <cellStyle name="Comma 3" xfId="10"/>
    <cellStyle name="Hyperlink" xfId="4" builtinId="8"/>
    <cellStyle name="Normal" xfId="0" builtinId="0"/>
    <cellStyle name="Normal 121 2" xfId="12"/>
    <cellStyle name="Normal 122" xfId="3"/>
    <cellStyle name="Normal 2" xfId="5"/>
    <cellStyle name="Normal 2 2" xfId="13"/>
    <cellStyle name="Normal 4" xfId="11"/>
    <cellStyle name="Normal_Capital &amp; RWA N" xfId="8"/>
    <cellStyle name="Normal_Capital &amp; RWA N 2" xfId="15"/>
    <cellStyle name="Normal_Casestdy draft" xfId="16"/>
    <cellStyle name="Normal_Casestdy draft 2" xfId="9"/>
    <cellStyle name="Percent" xfId="2" builtinId="5"/>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zoomScaleNormal="100" workbookViewId="0">
      <pane xSplit="1" ySplit="7" topLeftCell="B8" activePane="bottomRight" state="frozen"/>
      <selection activeCell="P24" sqref="P24:Q24"/>
      <selection pane="topRight" activeCell="P24" sqref="P24:Q24"/>
      <selection pane="bottomLeft" activeCell="P24" sqref="P24:Q24"/>
      <selection pane="bottomRight" activeCell="B25" sqref="B25"/>
    </sheetView>
  </sheetViews>
  <sheetFormatPr defaultRowHeight="15" x14ac:dyDescent="0.25"/>
  <cols>
    <col min="1" max="1" width="10.28515625" style="24"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4" customFormat="1" ht="65.25" customHeight="1" x14ac:dyDescent="0.3">
      <c r="A6" s="12" t="s">
        <v>9</v>
      </c>
      <c r="B6" s="13"/>
      <c r="C6" s="13"/>
    </row>
    <row r="7" spans="1:3" x14ac:dyDescent="0.25">
      <c r="A7" s="15" t="s">
        <v>10</v>
      </c>
      <c r="B7" s="2" t="s">
        <v>11</v>
      </c>
    </row>
    <row r="8" spans="1:3" x14ac:dyDescent="0.25">
      <c r="A8" s="1">
        <v>1</v>
      </c>
      <c r="B8" s="16" t="s">
        <v>12</v>
      </c>
    </row>
    <row r="9" spans="1:3" x14ac:dyDescent="0.25">
      <c r="A9" s="1">
        <v>2</v>
      </c>
      <c r="B9" s="16" t="s">
        <v>13</v>
      </c>
    </row>
    <row r="10" spans="1:3" x14ac:dyDescent="0.25">
      <c r="A10" s="1">
        <v>3</v>
      </c>
      <c r="B10" s="16" t="s">
        <v>14</v>
      </c>
    </row>
    <row r="11" spans="1:3" x14ac:dyDescent="0.25">
      <c r="A11" s="1">
        <v>4</v>
      </c>
      <c r="B11" s="16" t="s">
        <v>15</v>
      </c>
      <c r="C11" s="17"/>
    </row>
    <row r="12" spans="1:3" x14ac:dyDescent="0.25">
      <c r="A12" s="1">
        <v>5</v>
      </c>
      <c r="B12" s="16" t="s">
        <v>16</v>
      </c>
    </row>
    <row r="13" spans="1:3" x14ac:dyDescent="0.25">
      <c r="A13" s="1">
        <v>6</v>
      </c>
      <c r="B13" s="18" t="s">
        <v>17</v>
      </c>
    </row>
    <row r="14" spans="1:3" x14ac:dyDescent="0.25">
      <c r="A14" s="1">
        <v>7</v>
      </c>
      <c r="B14" s="16" t="s">
        <v>18</v>
      </c>
    </row>
    <row r="15" spans="1:3" x14ac:dyDescent="0.25">
      <c r="A15" s="1">
        <v>8</v>
      </c>
      <c r="B15" s="16" t="s">
        <v>19</v>
      </c>
    </row>
    <row r="16" spans="1:3" x14ac:dyDescent="0.25">
      <c r="A16" s="1">
        <v>9</v>
      </c>
      <c r="B16" s="16" t="s">
        <v>20</v>
      </c>
    </row>
    <row r="17" spans="1:2" x14ac:dyDescent="0.25">
      <c r="A17" s="19" t="s">
        <v>21</v>
      </c>
      <c r="B17" s="16" t="s">
        <v>22</v>
      </c>
    </row>
    <row r="18" spans="1:2" x14ac:dyDescent="0.25">
      <c r="A18" s="1">
        <v>10</v>
      </c>
      <c r="B18" s="16" t="s">
        <v>23</v>
      </c>
    </row>
    <row r="19" spans="1:2" x14ac:dyDescent="0.25">
      <c r="A19" s="1">
        <v>11</v>
      </c>
      <c r="B19" s="18" t="s">
        <v>24</v>
      </c>
    </row>
    <row r="20" spans="1:2" x14ac:dyDescent="0.25">
      <c r="A20" s="1">
        <v>12</v>
      </c>
      <c r="B20" s="18" t="s">
        <v>25</v>
      </c>
    </row>
    <row r="21" spans="1:2" x14ac:dyDescent="0.25">
      <c r="A21" s="1">
        <v>13</v>
      </c>
      <c r="B21" s="20" t="s">
        <v>26</v>
      </c>
    </row>
    <row r="22" spans="1:2" x14ac:dyDescent="0.25">
      <c r="A22" s="1">
        <v>14</v>
      </c>
      <c r="B22" s="11" t="s">
        <v>27</v>
      </c>
    </row>
    <row r="23" spans="1:2" x14ac:dyDescent="0.25">
      <c r="A23" s="21">
        <v>15</v>
      </c>
      <c r="B23" s="18" t="s">
        <v>28</v>
      </c>
    </row>
    <row r="24" spans="1:2" x14ac:dyDescent="0.25">
      <c r="A24" s="22"/>
      <c r="B24" s="23"/>
    </row>
    <row r="25" spans="1:2" x14ac:dyDescent="0.25">
      <c r="A25" s="22"/>
      <c r="B25" s="23"/>
    </row>
    <row r="26" spans="1:2" x14ac:dyDescent="0.25">
      <c r="A26" s="22"/>
      <c r="B26" s="2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41" activePane="bottomRight" state="frozen"/>
      <selection activeCell="P24" sqref="P24:Q24"/>
      <selection pane="topRight" activeCell="P24" sqref="P24:Q24"/>
      <selection pane="bottomLeft" activeCell="P24" sqref="P24:Q24"/>
      <selection pane="bottomRight" activeCell="C46" sqref="C46"/>
    </sheetView>
  </sheetViews>
  <sheetFormatPr defaultRowHeight="15" x14ac:dyDescent="0.25"/>
  <cols>
    <col min="1" max="1" width="9.5703125" style="22" bestFit="1" customWidth="1"/>
    <col min="2" max="2" width="132.42578125" style="24" customWidth="1"/>
    <col min="3" max="3" width="18.42578125" style="316" customWidth="1"/>
    <col min="6" max="6" width="17.42578125" bestFit="1" customWidth="1"/>
  </cols>
  <sheetData>
    <row r="1" spans="1:6" ht="15.75" x14ac:dyDescent="0.3">
      <c r="A1" s="25" t="s">
        <v>29</v>
      </c>
      <c r="B1" s="24" t="str">
        <f>'1. key ratios'!B1</f>
        <v>სს ტერაბანკი</v>
      </c>
      <c r="C1" s="24"/>
      <c r="D1" s="24"/>
      <c r="E1" s="24"/>
      <c r="F1" s="24"/>
    </row>
    <row r="2" spans="1:6" s="223" customFormat="1" ht="15.75" customHeight="1" x14ac:dyDescent="0.3">
      <c r="A2" s="223" t="s">
        <v>31</v>
      </c>
      <c r="B2" s="84">
        <f>'1. key ratios'!B2</f>
        <v>43190</v>
      </c>
    </row>
    <row r="3" spans="1:6" s="223" customFormat="1" ht="15.75" customHeight="1" x14ac:dyDescent="0.3"/>
    <row r="4" spans="1:6" ht="15.75" thickBot="1" x14ac:dyDescent="0.3">
      <c r="A4" s="22" t="s">
        <v>279</v>
      </c>
      <c r="B4" s="285" t="s">
        <v>20</v>
      </c>
      <c r="C4" s="24"/>
    </row>
    <row r="5" spans="1:6" x14ac:dyDescent="0.25">
      <c r="A5" s="286" t="s">
        <v>33</v>
      </c>
      <c r="B5" s="287"/>
      <c r="C5" s="288" t="s">
        <v>79</v>
      </c>
    </row>
    <row r="6" spans="1:6" x14ac:dyDescent="0.25">
      <c r="A6" s="289">
        <v>1</v>
      </c>
      <c r="B6" s="290" t="s">
        <v>280</v>
      </c>
      <c r="C6" s="291">
        <f>SUM(C7:C11)</f>
        <v>120995850.12</v>
      </c>
    </row>
    <row r="7" spans="1:6" x14ac:dyDescent="0.25">
      <c r="A7" s="289">
        <v>2</v>
      </c>
      <c r="B7" s="292" t="s">
        <v>281</v>
      </c>
      <c r="C7" s="293">
        <v>121372000</v>
      </c>
    </row>
    <row r="8" spans="1:6" x14ac:dyDescent="0.25">
      <c r="A8" s="289">
        <v>3</v>
      </c>
      <c r="B8" s="294" t="s">
        <v>282</v>
      </c>
      <c r="C8" s="293">
        <v>0</v>
      </c>
    </row>
    <row r="9" spans="1:6" x14ac:dyDescent="0.25">
      <c r="A9" s="289">
        <v>4</v>
      </c>
      <c r="B9" s="294" t="s">
        <v>283</v>
      </c>
      <c r="C9" s="293">
        <v>0</v>
      </c>
    </row>
    <row r="10" spans="1:6" x14ac:dyDescent="0.25">
      <c r="A10" s="289">
        <v>5</v>
      </c>
      <c r="B10" s="294" t="s">
        <v>284</v>
      </c>
      <c r="C10" s="293">
        <v>0</v>
      </c>
    </row>
    <row r="11" spans="1:6" x14ac:dyDescent="0.25">
      <c r="A11" s="289">
        <v>6</v>
      </c>
      <c r="B11" s="295" t="s">
        <v>285</v>
      </c>
      <c r="C11" s="296">
        <v>-376149.87999999337</v>
      </c>
    </row>
    <row r="12" spans="1:6" s="272" customFormat="1" x14ac:dyDescent="0.25">
      <c r="A12" s="289">
        <v>7</v>
      </c>
      <c r="B12" s="290" t="s">
        <v>286</v>
      </c>
      <c r="C12" s="297">
        <f>SUM(C13:C27)</f>
        <v>28170798</v>
      </c>
    </row>
    <row r="13" spans="1:6" s="272" customFormat="1" x14ac:dyDescent="0.25">
      <c r="A13" s="289">
        <v>8</v>
      </c>
      <c r="B13" s="298" t="s">
        <v>287</v>
      </c>
      <c r="C13" s="299">
        <v>0</v>
      </c>
    </row>
    <row r="14" spans="1:6" s="272" customFormat="1" ht="25.5" x14ac:dyDescent="0.25">
      <c r="A14" s="289">
        <v>9</v>
      </c>
      <c r="B14" s="300" t="s">
        <v>288</v>
      </c>
      <c r="C14" s="299">
        <v>0</v>
      </c>
    </row>
    <row r="15" spans="1:6" s="272" customFormat="1" x14ac:dyDescent="0.25">
      <c r="A15" s="289">
        <v>10</v>
      </c>
      <c r="B15" s="301" t="s">
        <v>289</v>
      </c>
      <c r="C15" s="299">
        <v>28170798</v>
      </c>
    </row>
    <row r="16" spans="1:6" s="272" customFormat="1" x14ac:dyDescent="0.25">
      <c r="A16" s="289">
        <v>11</v>
      </c>
      <c r="B16" s="302" t="s">
        <v>290</v>
      </c>
      <c r="C16" s="299">
        <v>0</v>
      </c>
    </row>
    <row r="17" spans="1:6" s="272" customFormat="1" x14ac:dyDescent="0.25">
      <c r="A17" s="289">
        <v>12</v>
      </c>
      <c r="B17" s="301" t="s">
        <v>291</v>
      </c>
      <c r="C17" s="299">
        <v>0</v>
      </c>
    </row>
    <row r="18" spans="1:6" s="272" customFormat="1" x14ac:dyDescent="0.25">
      <c r="A18" s="289">
        <v>13</v>
      </c>
      <c r="B18" s="301" t="s">
        <v>292</v>
      </c>
      <c r="C18" s="299">
        <v>0</v>
      </c>
    </row>
    <row r="19" spans="1:6" s="272" customFormat="1" x14ac:dyDescent="0.25">
      <c r="A19" s="289">
        <v>14</v>
      </c>
      <c r="B19" s="301" t="s">
        <v>293</v>
      </c>
      <c r="C19" s="299">
        <v>0</v>
      </c>
    </row>
    <row r="20" spans="1:6" s="272" customFormat="1" ht="25.5" x14ac:dyDescent="0.25">
      <c r="A20" s="289">
        <v>15</v>
      </c>
      <c r="B20" s="301" t="s">
        <v>294</v>
      </c>
      <c r="C20" s="299">
        <v>0</v>
      </c>
    </row>
    <row r="21" spans="1:6" s="272" customFormat="1" ht="25.5" x14ac:dyDescent="0.25">
      <c r="A21" s="289">
        <v>16</v>
      </c>
      <c r="B21" s="300" t="s">
        <v>295</v>
      </c>
      <c r="C21" s="299">
        <v>0</v>
      </c>
    </row>
    <row r="22" spans="1:6" s="272" customFormat="1" x14ac:dyDescent="0.25">
      <c r="A22" s="289">
        <v>17</v>
      </c>
      <c r="B22" s="303" t="s">
        <v>296</v>
      </c>
      <c r="C22" s="299">
        <v>0</v>
      </c>
    </row>
    <row r="23" spans="1:6" s="272" customFormat="1" ht="25.5" x14ac:dyDescent="0.25">
      <c r="A23" s="289">
        <v>18</v>
      </c>
      <c r="B23" s="300" t="s">
        <v>297</v>
      </c>
      <c r="C23" s="299">
        <v>0</v>
      </c>
    </row>
    <row r="24" spans="1:6" s="272" customFormat="1" ht="25.5" x14ac:dyDescent="0.25">
      <c r="A24" s="289">
        <v>19</v>
      </c>
      <c r="B24" s="300" t="s">
        <v>298</v>
      </c>
      <c r="C24" s="299">
        <v>0</v>
      </c>
    </row>
    <row r="25" spans="1:6" s="272" customFormat="1" ht="25.5" x14ac:dyDescent="0.25">
      <c r="A25" s="289">
        <v>20</v>
      </c>
      <c r="B25" s="304" t="s">
        <v>299</v>
      </c>
      <c r="C25" s="299">
        <v>0</v>
      </c>
    </row>
    <row r="26" spans="1:6" s="272" customFormat="1" x14ac:dyDescent="0.25">
      <c r="A26" s="289">
        <v>21</v>
      </c>
      <c r="B26" s="304" t="s">
        <v>300</v>
      </c>
      <c r="C26" s="299">
        <v>0</v>
      </c>
    </row>
    <row r="27" spans="1:6" s="272" customFormat="1" ht="25.5" x14ac:dyDescent="0.25">
      <c r="A27" s="289">
        <v>22</v>
      </c>
      <c r="B27" s="304" t="s">
        <v>301</v>
      </c>
      <c r="C27" s="299">
        <v>0</v>
      </c>
    </row>
    <row r="28" spans="1:6" s="272" customFormat="1" x14ac:dyDescent="0.25">
      <c r="A28" s="289">
        <v>23</v>
      </c>
      <c r="B28" s="305" t="s">
        <v>41</v>
      </c>
      <c r="C28" s="297">
        <f>C6-C12</f>
        <v>92825052.120000005</v>
      </c>
    </row>
    <row r="29" spans="1:6" s="272" customFormat="1" x14ac:dyDescent="0.25">
      <c r="A29" s="306"/>
      <c r="B29" s="307"/>
      <c r="C29" s="299"/>
    </row>
    <row r="30" spans="1:6" s="272" customFormat="1" x14ac:dyDescent="0.25">
      <c r="A30" s="306">
        <v>24</v>
      </c>
      <c r="B30" s="305" t="s">
        <v>302</v>
      </c>
      <c r="C30" s="297">
        <f>C31+C34</f>
        <v>0</v>
      </c>
      <c r="F30" s="308"/>
    </row>
    <row r="31" spans="1:6" s="272" customFormat="1" x14ac:dyDescent="0.25">
      <c r="A31" s="306">
        <v>25</v>
      </c>
      <c r="B31" s="294" t="s">
        <v>303</v>
      </c>
      <c r="C31" s="309">
        <f>C32+C33</f>
        <v>0</v>
      </c>
      <c r="F31" s="310"/>
    </row>
    <row r="32" spans="1:6" s="272" customFormat="1" x14ac:dyDescent="0.25">
      <c r="A32" s="306">
        <v>26</v>
      </c>
      <c r="B32" s="311" t="s">
        <v>304</v>
      </c>
      <c r="C32" s="299">
        <v>0</v>
      </c>
      <c r="F32" s="310"/>
    </row>
    <row r="33" spans="1:6" s="272" customFormat="1" x14ac:dyDescent="0.25">
      <c r="A33" s="306">
        <v>27</v>
      </c>
      <c r="B33" s="311" t="s">
        <v>305</v>
      </c>
      <c r="C33" s="299">
        <v>0</v>
      </c>
      <c r="F33" s="310"/>
    </row>
    <row r="34" spans="1:6" s="272" customFormat="1" x14ac:dyDescent="0.25">
      <c r="A34" s="306">
        <v>28</v>
      </c>
      <c r="B34" s="294" t="s">
        <v>306</v>
      </c>
      <c r="C34" s="299">
        <v>0</v>
      </c>
      <c r="F34" s="310"/>
    </row>
    <row r="35" spans="1:6" s="272" customFormat="1" x14ac:dyDescent="0.25">
      <c r="A35" s="306">
        <v>29</v>
      </c>
      <c r="B35" s="305" t="s">
        <v>307</v>
      </c>
      <c r="C35" s="297">
        <f>SUM(C36:C40)</f>
        <v>0</v>
      </c>
      <c r="F35" s="310"/>
    </row>
    <row r="36" spans="1:6" s="272" customFormat="1" x14ac:dyDescent="0.25">
      <c r="A36" s="306">
        <v>30</v>
      </c>
      <c r="B36" s="300" t="s">
        <v>308</v>
      </c>
      <c r="C36" s="299">
        <v>0</v>
      </c>
      <c r="F36" s="310"/>
    </row>
    <row r="37" spans="1:6" s="272" customFormat="1" x14ac:dyDescent="0.25">
      <c r="A37" s="306">
        <v>31</v>
      </c>
      <c r="B37" s="301" t="s">
        <v>309</v>
      </c>
      <c r="C37" s="299">
        <v>0</v>
      </c>
      <c r="F37" s="310"/>
    </row>
    <row r="38" spans="1:6" s="272" customFormat="1" ht="25.5" x14ac:dyDescent="0.25">
      <c r="A38" s="306">
        <v>32</v>
      </c>
      <c r="B38" s="300" t="s">
        <v>310</v>
      </c>
      <c r="C38" s="299">
        <v>0</v>
      </c>
      <c r="F38" s="310"/>
    </row>
    <row r="39" spans="1:6" s="272" customFormat="1" ht="25.5" x14ac:dyDescent="0.25">
      <c r="A39" s="306">
        <v>33</v>
      </c>
      <c r="B39" s="300" t="s">
        <v>298</v>
      </c>
      <c r="C39" s="299">
        <v>0</v>
      </c>
      <c r="F39" s="310"/>
    </row>
    <row r="40" spans="1:6" s="272" customFormat="1" ht="25.5" x14ac:dyDescent="0.25">
      <c r="A40" s="306">
        <v>34</v>
      </c>
      <c r="B40" s="304" t="s">
        <v>311</v>
      </c>
      <c r="C40" s="299">
        <v>0</v>
      </c>
      <c r="F40" s="310"/>
    </row>
    <row r="41" spans="1:6" s="272" customFormat="1" x14ac:dyDescent="0.25">
      <c r="A41" s="306">
        <v>35</v>
      </c>
      <c r="B41" s="305" t="s">
        <v>312</v>
      </c>
      <c r="C41" s="297">
        <f>C30-C35</f>
        <v>0</v>
      </c>
      <c r="F41" s="310"/>
    </row>
    <row r="42" spans="1:6" s="272" customFormat="1" x14ac:dyDescent="0.25">
      <c r="A42" s="306"/>
      <c r="B42" s="307"/>
      <c r="C42" s="299"/>
      <c r="F42" s="310"/>
    </row>
    <row r="43" spans="1:6" s="272" customFormat="1" x14ac:dyDescent="0.25">
      <c r="A43" s="306">
        <v>36</v>
      </c>
      <c r="B43" s="312" t="s">
        <v>313</v>
      </c>
      <c r="C43" s="297">
        <f>SUM(C44:C46)</f>
        <v>40128468.617057972</v>
      </c>
      <c r="F43" s="310"/>
    </row>
    <row r="44" spans="1:6" s="272" customFormat="1" x14ac:dyDescent="0.25">
      <c r="A44" s="306">
        <v>37</v>
      </c>
      <c r="B44" s="294" t="s">
        <v>314</v>
      </c>
      <c r="C44" s="299">
        <v>31871321</v>
      </c>
      <c r="F44" s="310"/>
    </row>
    <row r="45" spans="1:6" s="272" customFormat="1" x14ac:dyDescent="0.25">
      <c r="A45" s="306">
        <v>38</v>
      </c>
      <c r="B45" s="294" t="s">
        <v>315</v>
      </c>
      <c r="C45" s="299">
        <v>0</v>
      </c>
      <c r="F45" s="310"/>
    </row>
    <row r="46" spans="1:6" s="272" customFormat="1" x14ac:dyDescent="0.25">
      <c r="A46" s="306">
        <v>39</v>
      </c>
      <c r="B46" s="294" t="s">
        <v>316</v>
      </c>
      <c r="C46" s="299">
        <v>8257147.6170579735</v>
      </c>
      <c r="F46" s="310"/>
    </row>
    <row r="47" spans="1:6" s="272" customFormat="1" x14ac:dyDescent="0.25">
      <c r="A47" s="306">
        <v>40</v>
      </c>
      <c r="B47" s="312" t="s">
        <v>317</v>
      </c>
      <c r="C47" s="297">
        <f>SUM(C48:C51)</f>
        <v>0</v>
      </c>
      <c r="F47" s="310"/>
    </row>
    <row r="48" spans="1:6" s="272" customFormat="1" x14ac:dyDescent="0.25">
      <c r="A48" s="306">
        <v>41</v>
      </c>
      <c r="B48" s="300" t="s">
        <v>318</v>
      </c>
      <c r="C48" s="299">
        <v>0</v>
      </c>
      <c r="F48" s="310"/>
    </row>
    <row r="49" spans="1:6" s="272" customFormat="1" x14ac:dyDescent="0.25">
      <c r="A49" s="306">
        <v>42</v>
      </c>
      <c r="B49" s="301" t="s">
        <v>319</v>
      </c>
      <c r="C49" s="299">
        <v>0</v>
      </c>
      <c r="F49" s="310"/>
    </row>
    <row r="50" spans="1:6" s="272" customFormat="1" ht="25.5" x14ac:dyDescent="0.25">
      <c r="A50" s="306">
        <v>43</v>
      </c>
      <c r="B50" s="300" t="s">
        <v>320</v>
      </c>
      <c r="C50" s="299">
        <v>0</v>
      </c>
      <c r="F50" s="310"/>
    </row>
    <row r="51" spans="1:6" s="272" customFormat="1" ht="25.5" x14ac:dyDescent="0.25">
      <c r="A51" s="306">
        <v>44</v>
      </c>
      <c r="B51" s="300" t="s">
        <v>298</v>
      </c>
      <c r="C51" s="299">
        <v>0</v>
      </c>
      <c r="F51" s="310"/>
    </row>
    <row r="52" spans="1:6" s="272" customFormat="1" ht="15.75" thickBot="1" x14ac:dyDescent="0.3">
      <c r="A52" s="313">
        <v>45</v>
      </c>
      <c r="B52" s="314" t="s">
        <v>321</v>
      </c>
      <c r="C52" s="315">
        <f>C43-C47</f>
        <v>40128468.617057972</v>
      </c>
      <c r="F52" s="310"/>
    </row>
    <row r="53" spans="1:6" x14ac:dyDescent="0.25">
      <c r="F53" s="310"/>
    </row>
    <row r="54" spans="1:6" x14ac:dyDescent="0.25">
      <c r="F54" s="310"/>
    </row>
    <row r="55" spans="1:6" x14ac:dyDescent="0.25">
      <c r="B55" s="24" t="s">
        <v>322</v>
      </c>
      <c r="F55" s="310"/>
    </row>
    <row r="56" spans="1:6" x14ac:dyDescent="0.25">
      <c r="F56" s="310"/>
    </row>
    <row r="57" spans="1:6" x14ac:dyDescent="0.25">
      <c r="F57" s="310"/>
    </row>
    <row r="58" spans="1:6" x14ac:dyDescent="0.25">
      <c r="F58" s="310"/>
    </row>
    <row r="59" spans="1:6" x14ac:dyDescent="0.25">
      <c r="F59" s="310"/>
    </row>
    <row r="60" spans="1:6" x14ac:dyDescent="0.25">
      <c r="F60" s="310"/>
    </row>
    <row r="61" spans="1:6" x14ac:dyDescent="0.25">
      <c r="F61" s="310"/>
    </row>
    <row r="62" spans="1:6" x14ac:dyDescent="0.25">
      <c r="F62" s="310"/>
    </row>
    <row r="63" spans="1:6" x14ac:dyDescent="0.25">
      <c r="F63" s="310"/>
    </row>
    <row r="64" spans="1:6" x14ac:dyDescent="0.25">
      <c r="F64" s="310"/>
    </row>
    <row r="65" spans="6:6" x14ac:dyDescent="0.25">
      <c r="F65" s="310"/>
    </row>
    <row r="66" spans="6:6" x14ac:dyDescent="0.25">
      <c r="F66" s="310"/>
    </row>
    <row r="67" spans="6:6" x14ac:dyDescent="0.25">
      <c r="F67" s="310"/>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2"/>
  <sheetViews>
    <sheetView zoomScaleNormal="100" workbookViewId="0">
      <selection activeCell="B2" sqref="B2"/>
    </sheetView>
  </sheetViews>
  <sheetFormatPr defaultColWidth="9.140625" defaultRowHeight="12.75" x14ac:dyDescent="0.2"/>
  <cols>
    <col min="1" max="1" width="10.85546875" style="24" bestFit="1" customWidth="1"/>
    <col min="2" max="2" width="59" style="24" customWidth="1"/>
    <col min="3" max="3" width="16.7109375" style="24" bestFit="1" customWidth="1"/>
    <col min="4" max="4" width="13.28515625" style="24" bestFit="1" customWidth="1"/>
    <col min="5" max="16384" width="9.140625" style="24"/>
  </cols>
  <sheetData>
    <row r="1" spans="1:4" ht="15" x14ac:dyDescent="0.3">
      <c r="A1" s="25" t="s">
        <v>29</v>
      </c>
      <c r="B1" s="24" t="str">
        <f>'1. key ratios'!B1</f>
        <v>სს ტერაბანკი</v>
      </c>
    </row>
    <row r="2" spans="1:4" s="223" customFormat="1" ht="15.75" customHeight="1" x14ac:dyDescent="0.3">
      <c r="A2" s="223" t="s">
        <v>31</v>
      </c>
      <c r="B2" s="84">
        <f>'1. key ratios'!B2</f>
        <v>43190</v>
      </c>
    </row>
    <row r="3" spans="1:4" s="223" customFormat="1" ht="15.75" customHeight="1" x14ac:dyDescent="0.3"/>
    <row r="4" spans="1:4" ht="13.5" thickBot="1" x14ac:dyDescent="0.25">
      <c r="A4" s="22" t="s">
        <v>323</v>
      </c>
      <c r="B4" s="317" t="s">
        <v>22</v>
      </c>
    </row>
    <row r="5" spans="1:4" s="322" customFormat="1" ht="25.5" x14ac:dyDescent="0.25">
      <c r="A5" s="318" t="s">
        <v>324</v>
      </c>
      <c r="B5" s="319"/>
      <c r="C5" s="320" t="s">
        <v>325</v>
      </c>
      <c r="D5" s="321" t="s">
        <v>326</v>
      </c>
    </row>
    <row r="6" spans="1:4" s="326" customFormat="1" x14ac:dyDescent="0.25">
      <c r="A6" s="323">
        <v>1</v>
      </c>
      <c r="B6" s="324" t="s">
        <v>327</v>
      </c>
      <c r="C6" s="324"/>
      <c r="D6" s="325"/>
    </row>
    <row r="7" spans="1:4" s="326" customFormat="1" x14ac:dyDescent="0.25">
      <c r="A7" s="327" t="s">
        <v>328</v>
      </c>
      <c r="B7" s="328" t="s">
        <v>329</v>
      </c>
      <c r="C7" s="328" t="s">
        <v>330</v>
      </c>
      <c r="D7" s="329">
        <v>33647774.810552448</v>
      </c>
    </row>
    <row r="8" spans="1:4" s="326" customFormat="1" x14ac:dyDescent="0.25">
      <c r="A8" s="327" t="s">
        <v>331</v>
      </c>
      <c r="B8" s="328" t="s">
        <v>332</v>
      </c>
      <c r="C8" s="328" t="s">
        <v>333</v>
      </c>
      <c r="D8" s="329">
        <v>44863699.747403264</v>
      </c>
    </row>
    <row r="9" spans="1:4" s="326" customFormat="1" x14ac:dyDescent="0.25">
      <c r="A9" s="327" t="s">
        <v>334</v>
      </c>
      <c r="B9" s="328" t="s">
        <v>335</v>
      </c>
      <c r="C9" s="328" t="s">
        <v>336</v>
      </c>
      <c r="D9" s="329">
        <v>59818266.329871029</v>
      </c>
    </row>
    <row r="10" spans="1:4" s="326" customFormat="1" x14ac:dyDescent="0.25">
      <c r="A10" s="323" t="s">
        <v>337</v>
      </c>
      <c r="B10" s="324" t="s">
        <v>338</v>
      </c>
      <c r="C10" s="324"/>
      <c r="D10" s="325"/>
    </row>
    <row r="11" spans="1:4" s="333" customFormat="1" x14ac:dyDescent="0.25">
      <c r="A11" s="330" t="s">
        <v>339</v>
      </c>
      <c r="B11" s="331" t="s">
        <v>340</v>
      </c>
      <c r="C11" s="331" t="s">
        <v>341</v>
      </c>
      <c r="D11" s="332">
        <v>18693208.228084695</v>
      </c>
    </row>
    <row r="12" spans="1:4" s="333" customFormat="1" x14ac:dyDescent="0.25">
      <c r="A12" s="330" t="s">
        <v>342</v>
      </c>
      <c r="B12" s="331" t="s">
        <v>343</v>
      </c>
      <c r="C12" s="331" t="s">
        <v>344</v>
      </c>
      <c r="D12" s="334">
        <v>0</v>
      </c>
    </row>
    <row r="13" spans="1:4" s="333" customFormat="1" x14ac:dyDescent="0.25">
      <c r="A13" s="330" t="s">
        <v>345</v>
      </c>
      <c r="B13" s="331" t="s">
        <v>346</v>
      </c>
      <c r="C13" s="331" t="s">
        <v>344</v>
      </c>
      <c r="D13" s="334">
        <v>0</v>
      </c>
    </row>
    <row r="14" spans="1:4" s="326" customFormat="1" x14ac:dyDescent="0.25">
      <c r="A14" s="323" t="s">
        <v>347</v>
      </c>
      <c r="B14" s="324" t="s">
        <v>348</v>
      </c>
      <c r="C14" s="335"/>
      <c r="D14" s="325"/>
    </row>
    <row r="15" spans="1:4" s="326" customFormat="1" x14ac:dyDescent="0.25">
      <c r="A15" s="336" t="s">
        <v>349</v>
      </c>
      <c r="B15" s="331" t="s">
        <v>350</v>
      </c>
      <c r="C15" s="337">
        <v>1.4630309968997203E-2</v>
      </c>
      <c r="D15" s="332">
        <v>10939497.227675522</v>
      </c>
    </row>
    <row r="16" spans="1:4" s="326" customFormat="1" x14ac:dyDescent="0.25">
      <c r="A16" s="336" t="s">
        <v>351</v>
      </c>
      <c r="B16" s="331" t="s">
        <v>352</v>
      </c>
      <c r="C16" s="338">
        <v>1.9594165137049823E-2</v>
      </c>
      <c r="D16" s="332">
        <v>14651112.358494001</v>
      </c>
    </row>
    <row r="17" spans="1:6" s="326" customFormat="1" x14ac:dyDescent="0.25">
      <c r="A17" s="336" t="s">
        <v>353</v>
      </c>
      <c r="B17" s="331" t="s">
        <v>354</v>
      </c>
      <c r="C17" s="338">
        <v>5.6145553516066433E-2</v>
      </c>
      <c r="D17" s="332">
        <v>41981620.918276101</v>
      </c>
    </row>
    <row r="18" spans="1:6" s="322" customFormat="1" ht="25.5" x14ac:dyDescent="0.25">
      <c r="A18" s="339" t="s">
        <v>355</v>
      </c>
      <c r="B18" s="340"/>
      <c r="C18" s="341" t="s">
        <v>325</v>
      </c>
      <c r="D18" s="342" t="s">
        <v>326</v>
      </c>
    </row>
    <row r="19" spans="1:6" s="326" customFormat="1" x14ac:dyDescent="0.25">
      <c r="A19" s="343">
        <v>4</v>
      </c>
      <c r="B19" s="331" t="s">
        <v>41</v>
      </c>
      <c r="C19" s="337">
        <v>0.12414275145737096</v>
      </c>
      <c r="D19" s="344">
        <v>92825052.120000005</v>
      </c>
    </row>
    <row r="20" spans="1:6" s="326" customFormat="1" x14ac:dyDescent="0.25">
      <c r="A20" s="343">
        <v>5</v>
      </c>
      <c r="B20" s="331" t="s">
        <v>42</v>
      </c>
      <c r="C20" s="337">
        <v>0.12414275145737096</v>
      </c>
      <c r="D20" s="344">
        <v>92825052.120000005</v>
      </c>
    </row>
    <row r="21" spans="1:6" s="326" customFormat="1" ht="13.5" thickBot="1" x14ac:dyDescent="0.3">
      <c r="A21" s="345" t="s">
        <v>356</v>
      </c>
      <c r="B21" s="346" t="s">
        <v>20</v>
      </c>
      <c r="C21" s="347">
        <v>0.17780992849759797</v>
      </c>
      <c r="D21" s="348">
        <v>132953520.73705798</v>
      </c>
    </row>
    <row r="22" spans="1:6" x14ac:dyDescent="0.2">
      <c r="F22" s="2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2" tint="-0.249977111117893"/>
    <pageSetUpPr fitToPage="1"/>
  </sheetPr>
  <dimension ref="A1:F43"/>
  <sheetViews>
    <sheetView zoomScaleNormal="100" workbookViewId="0">
      <pane xSplit="1" ySplit="5" topLeftCell="B25" activePane="bottomRight" state="frozen"/>
      <selection activeCell="P24" sqref="P24:Q24"/>
      <selection pane="topRight" activeCell="P24" sqref="P24:Q24"/>
      <selection pane="bottomLeft" activeCell="P24" sqref="P24:Q24"/>
      <selection pane="bottomRight" activeCell="C46" sqref="C46"/>
    </sheetView>
  </sheetViews>
  <sheetFormatPr defaultRowHeight="15.75" x14ac:dyDescent="0.3"/>
  <cols>
    <col min="1" max="1" width="10.7109375" style="350" customWidth="1"/>
    <col min="2" max="2" width="91.85546875" style="350" customWidth="1"/>
    <col min="3" max="3" width="53.140625" style="350" customWidth="1"/>
    <col min="4" max="4" width="32.28515625" style="350" customWidth="1"/>
    <col min="5" max="5" width="9.42578125" customWidth="1"/>
  </cols>
  <sheetData>
    <row r="1" spans="1:6" x14ac:dyDescent="0.3">
      <c r="A1" s="349" t="s">
        <v>29</v>
      </c>
      <c r="B1" s="24" t="str">
        <f>'1. key ratios'!B1</f>
        <v>სს ტერაბანკი</v>
      </c>
      <c r="E1" s="24"/>
      <c r="F1" s="24"/>
    </row>
    <row r="2" spans="1:6" s="223" customFormat="1" ht="15.75" customHeight="1" x14ac:dyDescent="0.3">
      <c r="A2" s="351" t="s">
        <v>31</v>
      </c>
      <c r="B2" s="84">
        <f>'1. key ratios'!B2</f>
        <v>43190</v>
      </c>
    </row>
    <row r="3" spans="1:6" s="223" customFormat="1" ht="15.75" customHeight="1" x14ac:dyDescent="0.3">
      <c r="A3" s="351"/>
    </row>
    <row r="4" spans="1:6" s="223" customFormat="1" ht="15.75" customHeight="1" thickBot="1" x14ac:dyDescent="0.35">
      <c r="A4" s="223" t="s">
        <v>357</v>
      </c>
      <c r="B4" s="352" t="s">
        <v>23</v>
      </c>
      <c r="D4" s="353" t="s">
        <v>75</v>
      </c>
    </row>
    <row r="5" spans="1:6" ht="38.25" x14ac:dyDescent="0.25">
      <c r="A5" s="354" t="s">
        <v>33</v>
      </c>
      <c r="B5" s="355" t="s">
        <v>261</v>
      </c>
      <c r="C5" s="356" t="s">
        <v>358</v>
      </c>
      <c r="D5" s="357" t="s">
        <v>359</v>
      </c>
    </row>
    <row r="6" spans="1:6" x14ac:dyDescent="0.3">
      <c r="A6" s="358">
        <v>1</v>
      </c>
      <c r="B6" s="359" t="s">
        <v>82</v>
      </c>
      <c r="C6" s="360">
        <f>'2. RC'!E7</f>
        <v>36370669.350000001</v>
      </c>
      <c r="D6" s="361"/>
      <c r="E6" s="362"/>
    </row>
    <row r="7" spans="1:6" x14ac:dyDescent="0.3">
      <c r="A7" s="358">
        <v>2</v>
      </c>
      <c r="B7" s="363" t="s">
        <v>83</v>
      </c>
      <c r="C7" s="360">
        <f>'2. RC'!E8</f>
        <v>83167680.88000001</v>
      </c>
      <c r="D7" s="364"/>
      <c r="E7" s="362"/>
    </row>
    <row r="8" spans="1:6" x14ac:dyDescent="0.3">
      <c r="A8" s="358">
        <v>3</v>
      </c>
      <c r="B8" s="363" t="s">
        <v>84</v>
      </c>
      <c r="C8" s="360">
        <f>'2. RC'!E9</f>
        <v>26540701.740000002</v>
      </c>
      <c r="D8" s="364"/>
      <c r="E8" s="362"/>
    </row>
    <row r="9" spans="1:6" x14ac:dyDescent="0.3">
      <c r="A9" s="358">
        <v>4</v>
      </c>
      <c r="B9" s="363" t="s">
        <v>85</v>
      </c>
      <c r="C9" s="360">
        <f>'2. RC'!E10</f>
        <v>0</v>
      </c>
      <c r="D9" s="364"/>
      <c r="E9" s="362"/>
    </row>
    <row r="10" spans="1:6" x14ac:dyDescent="0.3">
      <c r="A10" s="358">
        <v>5</v>
      </c>
      <c r="B10" s="363" t="s">
        <v>86</v>
      </c>
      <c r="C10" s="360">
        <f>'2. RC'!E11</f>
        <v>45152249.909999996</v>
      </c>
      <c r="D10" s="364"/>
      <c r="E10" s="362"/>
    </row>
    <row r="11" spans="1:6" x14ac:dyDescent="0.3">
      <c r="A11" s="358">
        <v>6.1</v>
      </c>
      <c r="B11" s="363" t="s">
        <v>87</v>
      </c>
      <c r="C11" s="365">
        <f>'2. RC'!E12</f>
        <v>612299977.3700006</v>
      </c>
      <c r="D11" s="366"/>
      <c r="E11" s="367"/>
    </row>
    <row r="12" spans="1:6" x14ac:dyDescent="0.3">
      <c r="A12" s="358">
        <v>6.2</v>
      </c>
      <c r="B12" s="368" t="s">
        <v>88</v>
      </c>
      <c r="C12" s="365">
        <f>'2. RC'!E13</f>
        <v>-41699385.810000047</v>
      </c>
      <c r="D12" s="369" t="s">
        <v>360</v>
      </c>
      <c r="E12" s="367"/>
    </row>
    <row r="13" spans="1:6" x14ac:dyDescent="0.3">
      <c r="A13" s="358" t="s">
        <v>361</v>
      </c>
      <c r="B13" s="368" t="s">
        <v>362</v>
      </c>
      <c r="C13" s="370">
        <f>-'5. RWA'!C6*1.25%</f>
        <v>-8257147.6170579735</v>
      </c>
      <c r="D13" s="369" t="s">
        <v>360</v>
      </c>
      <c r="E13" s="367"/>
    </row>
    <row r="14" spans="1:6" x14ac:dyDescent="0.3">
      <c r="A14" s="358" t="s">
        <v>363</v>
      </c>
      <c r="B14" s="368" t="s">
        <v>364</v>
      </c>
      <c r="C14" s="370">
        <v>-10621371.690000042</v>
      </c>
      <c r="D14" s="369" t="s">
        <v>360</v>
      </c>
      <c r="E14" s="367"/>
    </row>
    <row r="15" spans="1:6" x14ac:dyDescent="0.3">
      <c r="A15" s="358">
        <v>6</v>
      </c>
      <c r="B15" s="363" t="s">
        <v>89</v>
      </c>
      <c r="C15" s="371">
        <f>C11+C12</f>
        <v>570600591.56000054</v>
      </c>
      <c r="D15" s="366"/>
      <c r="E15" s="362"/>
    </row>
    <row r="16" spans="1:6" x14ac:dyDescent="0.3">
      <c r="A16" s="358">
        <v>7</v>
      </c>
      <c r="B16" s="363" t="s">
        <v>90</v>
      </c>
      <c r="C16" s="372">
        <f>'2. RC'!E15</f>
        <v>4231093.58</v>
      </c>
      <c r="D16" s="364"/>
      <c r="E16" s="362"/>
    </row>
    <row r="17" spans="1:5" x14ac:dyDescent="0.3">
      <c r="A17" s="358">
        <v>8</v>
      </c>
      <c r="B17" s="363" t="s">
        <v>91</v>
      </c>
      <c r="C17" s="372">
        <f>'2. RC'!E16</f>
        <v>5391923.4099999983</v>
      </c>
      <c r="D17" s="364"/>
      <c r="E17" s="362"/>
    </row>
    <row r="18" spans="1:5" x14ac:dyDescent="0.3">
      <c r="A18" s="358">
        <v>9</v>
      </c>
      <c r="B18" s="363" t="s">
        <v>92</v>
      </c>
      <c r="C18" s="372">
        <f>'2. RC'!E17</f>
        <v>0</v>
      </c>
      <c r="D18" s="364"/>
      <c r="E18" s="362"/>
    </row>
    <row r="19" spans="1:5" x14ac:dyDescent="0.3">
      <c r="A19" s="358">
        <v>9.1999999999999993</v>
      </c>
      <c r="B19" s="373" t="s">
        <v>365</v>
      </c>
      <c r="C19" s="374">
        <v>0</v>
      </c>
      <c r="D19" s="364"/>
      <c r="E19" s="362"/>
    </row>
    <row r="20" spans="1:5" x14ac:dyDescent="0.3">
      <c r="A20" s="358">
        <v>10</v>
      </c>
      <c r="B20" s="363" t="s">
        <v>93</v>
      </c>
      <c r="C20" s="372">
        <f>'2. RC'!E18</f>
        <v>45161892.469999999</v>
      </c>
      <c r="D20" s="364"/>
      <c r="E20" s="362"/>
    </row>
    <row r="21" spans="1:5" x14ac:dyDescent="0.3">
      <c r="A21" s="358">
        <v>10.1</v>
      </c>
      <c r="B21" s="373" t="s">
        <v>366</v>
      </c>
      <c r="C21" s="372">
        <f>'9. Capital'!C15</f>
        <v>28170798</v>
      </c>
      <c r="D21" s="369" t="s">
        <v>367</v>
      </c>
      <c r="E21" s="362"/>
    </row>
    <row r="22" spans="1:5" x14ac:dyDescent="0.3">
      <c r="A22" s="358">
        <v>11</v>
      </c>
      <c r="B22" s="375" t="s">
        <v>94</v>
      </c>
      <c r="C22" s="376">
        <f>'2. RC'!E19</f>
        <v>5605672.4945999999</v>
      </c>
      <c r="D22" s="377"/>
      <c r="E22" s="362"/>
    </row>
    <row r="23" spans="1:5" x14ac:dyDescent="0.3">
      <c r="A23" s="358">
        <v>12</v>
      </c>
      <c r="B23" s="378" t="s">
        <v>95</v>
      </c>
      <c r="C23" s="379">
        <f>SUM(C6:C10,C15:C18,C20,C22)</f>
        <v>822222475.39460063</v>
      </c>
      <c r="D23" s="380"/>
      <c r="E23" s="381"/>
    </row>
    <row r="24" spans="1:5" x14ac:dyDescent="0.3">
      <c r="A24" s="358">
        <v>13</v>
      </c>
      <c r="B24" s="363" t="s">
        <v>97</v>
      </c>
      <c r="C24" s="382">
        <f>'2. RC'!E22</f>
        <v>7722297.1600000001</v>
      </c>
      <c r="D24" s="383"/>
      <c r="E24" s="362"/>
    </row>
    <row r="25" spans="1:5" x14ac:dyDescent="0.3">
      <c r="A25" s="358">
        <v>14</v>
      </c>
      <c r="B25" s="363" t="s">
        <v>98</v>
      </c>
      <c r="C25" s="382">
        <f>'2. RC'!E23</f>
        <v>121299568.48000798</v>
      </c>
      <c r="D25" s="364"/>
      <c r="E25" s="362"/>
    </row>
    <row r="26" spans="1:5" x14ac:dyDescent="0.3">
      <c r="A26" s="358">
        <v>15</v>
      </c>
      <c r="B26" s="363" t="s">
        <v>99</v>
      </c>
      <c r="C26" s="382">
        <f>'2. RC'!E24</f>
        <v>229214439.47</v>
      </c>
      <c r="D26" s="364"/>
      <c r="E26" s="362"/>
    </row>
    <row r="27" spans="1:5" x14ac:dyDescent="0.3">
      <c r="A27" s="358">
        <v>16</v>
      </c>
      <c r="B27" s="363" t="s">
        <v>100</v>
      </c>
      <c r="C27" s="382">
        <f>'2. RC'!E25</f>
        <v>221428863.0800001</v>
      </c>
      <c r="D27" s="364"/>
      <c r="E27" s="362"/>
    </row>
    <row r="28" spans="1:5" x14ac:dyDescent="0.3">
      <c r="A28" s="358">
        <v>17</v>
      </c>
      <c r="B28" s="363" t="s">
        <v>101</v>
      </c>
      <c r="C28" s="382">
        <f>'2. RC'!E26</f>
        <v>0</v>
      </c>
      <c r="D28" s="364"/>
      <c r="E28" s="362"/>
    </row>
    <row r="29" spans="1:5" x14ac:dyDescent="0.3">
      <c r="A29" s="358">
        <v>18</v>
      </c>
      <c r="B29" s="363" t="s">
        <v>102</v>
      </c>
      <c r="C29" s="382">
        <f>'2. RC'!E27</f>
        <v>67682528</v>
      </c>
      <c r="D29" s="364"/>
      <c r="E29" s="362"/>
    </row>
    <row r="30" spans="1:5" x14ac:dyDescent="0.3">
      <c r="A30" s="358">
        <v>19</v>
      </c>
      <c r="B30" s="363" t="s">
        <v>103</v>
      </c>
      <c r="C30" s="382">
        <f>'2. RC'!E28</f>
        <v>3599716.1199999996</v>
      </c>
      <c r="D30" s="364"/>
      <c r="E30" s="362"/>
    </row>
    <row r="31" spans="1:5" x14ac:dyDescent="0.3">
      <c r="A31" s="358">
        <v>20</v>
      </c>
      <c r="B31" s="363" t="s">
        <v>104</v>
      </c>
      <c r="C31" s="382">
        <f>'2. RC'!E29</f>
        <v>14785546.329999998</v>
      </c>
      <c r="D31" s="369" t="s">
        <v>360</v>
      </c>
      <c r="E31" s="362"/>
    </row>
    <row r="32" spans="1:5" x14ac:dyDescent="0.3">
      <c r="A32" s="358">
        <v>20.100000000000001</v>
      </c>
      <c r="B32" s="375" t="s">
        <v>368</v>
      </c>
      <c r="C32" s="384">
        <v>1099764.24</v>
      </c>
      <c r="D32" s="369" t="s">
        <v>360</v>
      </c>
      <c r="E32" s="362"/>
    </row>
    <row r="33" spans="1:5" x14ac:dyDescent="0.3">
      <c r="A33" s="358">
        <v>21</v>
      </c>
      <c r="B33" s="375" t="s">
        <v>105</v>
      </c>
      <c r="C33" s="382">
        <f>'2. RC'!E30</f>
        <v>35493665.600000001</v>
      </c>
      <c r="D33" s="377"/>
      <c r="E33" s="362"/>
    </row>
    <row r="34" spans="1:5" x14ac:dyDescent="0.3">
      <c r="A34" s="358">
        <v>21.1</v>
      </c>
      <c r="B34" s="385" t="s">
        <v>369</v>
      </c>
      <c r="C34" s="382">
        <v>31871321</v>
      </c>
      <c r="D34" s="369" t="s">
        <v>370</v>
      </c>
      <c r="E34" s="362"/>
    </row>
    <row r="35" spans="1:5" x14ac:dyDescent="0.3">
      <c r="A35" s="358">
        <v>22</v>
      </c>
      <c r="B35" s="378" t="s">
        <v>106</v>
      </c>
      <c r="C35" s="379">
        <f>SUM(C24:C31)+C33</f>
        <v>701226624.24000823</v>
      </c>
      <c r="D35" s="380"/>
      <c r="E35" s="381"/>
    </row>
    <row r="36" spans="1:5" x14ac:dyDescent="0.3">
      <c r="A36" s="358">
        <v>23</v>
      </c>
      <c r="B36" s="375" t="s">
        <v>108</v>
      </c>
      <c r="C36" s="372">
        <f>'2. RC'!E33</f>
        <v>121372000</v>
      </c>
      <c r="D36" s="369" t="s">
        <v>371</v>
      </c>
      <c r="E36" s="362"/>
    </row>
    <row r="37" spans="1:5" x14ac:dyDescent="0.3">
      <c r="A37" s="358">
        <v>24</v>
      </c>
      <c r="B37" s="375" t="s">
        <v>109</v>
      </c>
      <c r="C37" s="386">
        <f>'2. RC'!E34</f>
        <v>0</v>
      </c>
      <c r="D37" s="364"/>
      <c r="E37" s="362"/>
    </row>
    <row r="38" spans="1:5" x14ac:dyDescent="0.3">
      <c r="A38" s="358">
        <v>25</v>
      </c>
      <c r="B38" s="375" t="s">
        <v>372</v>
      </c>
      <c r="C38" s="386">
        <f>'2. RC'!E35</f>
        <v>0</v>
      </c>
      <c r="D38" s="364"/>
      <c r="E38" s="362"/>
    </row>
    <row r="39" spans="1:5" x14ac:dyDescent="0.3">
      <c r="A39" s="358">
        <v>26</v>
      </c>
      <c r="B39" s="375" t="s">
        <v>111</v>
      </c>
      <c r="C39" s="386">
        <f>'2. RC'!E36</f>
        <v>0</v>
      </c>
      <c r="D39" s="364"/>
      <c r="E39" s="362"/>
    </row>
    <row r="40" spans="1:5" x14ac:dyDescent="0.3">
      <c r="A40" s="358">
        <v>27</v>
      </c>
      <c r="B40" s="375" t="s">
        <v>112</v>
      </c>
      <c r="C40" s="386">
        <f>'2. RC'!E37</f>
        <v>0</v>
      </c>
      <c r="D40" s="364"/>
      <c r="E40" s="362"/>
    </row>
    <row r="41" spans="1:5" x14ac:dyDescent="0.3">
      <c r="A41" s="358">
        <v>28</v>
      </c>
      <c r="B41" s="375" t="s">
        <v>113</v>
      </c>
      <c r="C41" s="387">
        <f>'2. RC'!E38</f>
        <v>-376149.87999999151</v>
      </c>
      <c r="D41" s="369" t="s">
        <v>373</v>
      </c>
      <c r="E41" s="362"/>
    </row>
    <row r="42" spans="1:5" x14ac:dyDescent="0.3">
      <c r="A42" s="358">
        <v>29</v>
      </c>
      <c r="B42" s="375" t="s">
        <v>287</v>
      </c>
      <c r="C42" s="386">
        <f>'2. RC'!E39</f>
        <v>0</v>
      </c>
      <c r="D42" s="369" t="s">
        <v>374</v>
      </c>
      <c r="E42" s="362"/>
    </row>
    <row r="43" spans="1:5" ht="16.5" thickBot="1" x14ac:dyDescent="0.35">
      <c r="A43" s="388">
        <v>30</v>
      </c>
      <c r="B43" s="389" t="s">
        <v>115</v>
      </c>
      <c r="C43" s="390">
        <f>SUM(C36:C42)</f>
        <v>120995850.12</v>
      </c>
      <c r="D43" s="391"/>
      <c r="E43" s="381"/>
    </row>
  </sheetData>
  <pageMargins left="0.7" right="0.7" top="0.75" bottom="0.75" header="0.3" footer="0.3"/>
  <pageSetup paperSize="9" scale="46"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5"/>
  <sheetViews>
    <sheetView zoomScaleNormal="100" workbookViewId="0">
      <pane xSplit="2" ySplit="7" topLeftCell="K8" activePane="bottomRight" state="frozen"/>
      <selection activeCell="P24" sqref="P24:Q24"/>
      <selection pane="topRight" activeCell="P24" sqref="P24:Q24"/>
      <selection pane="bottomLeft" activeCell="P24" sqref="P24:Q24"/>
      <selection pane="bottomRight" activeCell="S25" sqref="S25"/>
    </sheetView>
  </sheetViews>
  <sheetFormatPr defaultColWidth="9.140625" defaultRowHeight="12.75" x14ac:dyDescent="0.2"/>
  <cols>
    <col min="1" max="1" width="10.5703125" style="24" bestFit="1" customWidth="1"/>
    <col min="2" max="2" width="105.140625" style="24" bestFit="1" customWidth="1"/>
    <col min="3" max="3" width="16.28515625" style="24" bestFit="1" customWidth="1"/>
    <col min="4" max="4" width="13.42578125" style="24" bestFit="1" customWidth="1"/>
    <col min="5" max="5" width="16.140625" style="24" bestFit="1" customWidth="1"/>
    <col min="6" max="6" width="13.42578125" style="24" bestFit="1" customWidth="1"/>
    <col min="7" max="7" width="9.5703125" style="24" bestFit="1" customWidth="1"/>
    <col min="8" max="8" width="13.42578125" style="24" bestFit="1" customWidth="1"/>
    <col min="9" max="9" width="15.5703125" style="24" bestFit="1" customWidth="1"/>
    <col min="10" max="10" width="13.42578125" style="24" bestFit="1" customWidth="1"/>
    <col min="11" max="11" width="17" style="24" bestFit="1" customWidth="1"/>
    <col min="12" max="12" width="14.7109375" style="24" bestFit="1" customWidth="1"/>
    <col min="13" max="13" width="17.28515625" style="24" bestFit="1" customWidth="1"/>
    <col min="14" max="14" width="16.28515625" style="24" bestFit="1" customWidth="1"/>
    <col min="15" max="15" width="15.140625" style="24" bestFit="1" customWidth="1"/>
    <col min="16" max="16" width="13.42578125" style="24" bestFit="1" customWidth="1"/>
    <col min="17" max="17" width="9.5703125" style="24" bestFit="1" customWidth="1"/>
    <col min="18" max="18" width="13.42578125" style="24" bestFit="1" customWidth="1"/>
    <col min="19" max="19" width="33.140625" style="24" bestFit="1" customWidth="1"/>
    <col min="20" max="16384" width="9.140625" style="134"/>
  </cols>
  <sheetData>
    <row r="1" spans="1:19" x14ac:dyDescent="0.2">
      <c r="A1" s="24" t="s">
        <v>29</v>
      </c>
      <c r="B1" s="24" t="str">
        <f>'1. key ratios'!B1</f>
        <v>სს ტერაბანკი</v>
      </c>
    </row>
    <row r="2" spans="1:19" x14ac:dyDescent="0.2">
      <c r="A2" s="24" t="s">
        <v>31</v>
      </c>
      <c r="B2" s="84">
        <f>'1. key ratios'!B2</f>
        <v>43190</v>
      </c>
    </row>
    <row r="4" spans="1:19" ht="26.25" thickBot="1" x14ac:dyDescent="0.25">
      <c r="A4" s="392" t="s">
        <v>375</v>
      </c>
      <c r="B4" s="393" t="s">
        <v>376</v>
      </c>
    </row>
    <row r="5" spans="1:19" x14ac:dyDescent="0.2">
      <c r="A5" s="394"/>
      <c r="B5" s="395"/>
      <c r="C5" s="396" t="s">
        <v>258</v>
      </c>
      <c r="D5" s="396" t="s">
        <v>259</v>
      </c>
      <c r="E5" s="396" t="s">
        <v>260</v>
      </c>
      <c r="F5" s="396" t="s">
        <v>377</v>
      </c>
      <c r="G5" s="396" t="s">
        <v>378</v>
      </c>
      <c r="H5" s="396" t="s">
        <v>379</v>
      </c>
      <c r="I5" s="396" t="s">
        <v>380</v>
      </c>
      <c r="J5" s="396" t="s">
        <v>381</v>
      </c>
      <c r="K5" s="396" t="s">
        <v>382</v>
      </c>
      <c r="L5" s="396" t="s">
        <v>383</v>
      </c>
      <c r="M5" s="396" t="s">
        <v>384</v>
      </c>
      <c r="N5" s="396" t="s">
        <v>385</v>
      </c>
      <c r="O5" s="396" t="s">
        <v>386</v>
      </c>
      <c r="P5" s="396" t="s">
        <v>387</v>
      </c>
      <c r="Q5" s="396" t="s">
        <v>388</v>
      </c>
      <c r="R5" s="397" t="s">
        <v>389</v>
      </c>
      <c r="S5" s="398" t="s">
        <v>390</v>
      </c>
    </row>
    <row r="6" spans="1:19" ht="46.5" customHeight="1" x14ac:dyDescent="0.2">
      <c r="A6" s="399"/>
      <c r="B6" s="400" t="s">
        <v>391</v>
      </c>
      <c r="C6" s="401">
        <v>0</v>
      </c>
      <c r="D6" s="402"/>
      <c r="E6" s="401">
        <v>0.2</v>
      </c>
      <c r="F6" s="402"/>
      <c r="G6" s="401">
        <v>0.35</v>
      </c>
      <c r="H6" s="402"/>
      <c r="I6" s="401">
        <v>0.5</v>
      </c>
      <c r="J6" s="402"/>
      <c r="K6" s="401">
        <v>0.75</v>
      </c>
      <c r="L6" s="402"/>
      <c r="M6" s="401">
        <v>1</v>
      </c>
      <c r="N6" s="402"/>
      <c r="O6" s="401">
        <v>1.5</v>
      </c>
      <c r="P6" s="402"/>
      <c r="Q6" s="401">
        <v>2.5</v>
      </c>
      <c r="R6" s="402"/>
      <c r="S6" s="403" t="s">
        <v>392</v>
      </c>
    </row>
    <row r="7" spans="1:19" x14ac:dyDescent="0.2">
      <c r="A7" s="399"/>
      <c r="B7" s="404"/>
      <c r="C7" s="405" t="s">
        <v>393</v>
      </c>
      <c r="D7" s="405" t="s">
        <v>394</v>
      </c>
      <c r="E7" s="405" t="s">
        <v>393</v>
      </c>
      <c r="F7" s="405" t="s">
        <v>394</v>
      </c>
      <c r="G7" s="405" t="s">
        <v>393</v>
      </c>
      <c r="H7" s="405" t="s">
        <v>394</v>
      </c>
      <c r="I7" s="405" t="s">
        <v>393</v>
      </c>
      <c r="J7" s="405" t="s">
        <v>394</v>
      </c>
      <c r="K7" s="405" t="s">
        <v>393</v>
      </c>
      <c r="L7" s="405" t="s">
        <v>394</v>
      </c>
      <c r="M7" s="405" t="s">
        <v>393</v>
      </c>
      <c r="N7" s="405" t="s">
        <v>394</v>
      </c>
      <c r="O7" s="405" t="s">
        <v>393</v>
      </c>
      <c r="P7" s="405" t="s">
        <v>394</v>
      </c>
      <c r="Q7" s="405" t="s">
        <v>393</v>
      </c>
      <c r="R7" s="405" t="s">
        <v>394</v>
      </c>
      <c r="S7" s="406"/>
    </row>
    <row r="8" spans="1:19" s="412" customFormat="1" x14ac:dyDescent="0.2">
      <c r="A8" s="407">
        <v>1</v>
      </c>
      <c r="B8" s="408" t="s">
        <v>395</v>
      </c>
      <c r="C8" s="409">
        <v>62104699.659999996</v>
      </c>
      <c r="D8" s="409"/>
      <c r="E8" s="409">
        <v>0</v>
      </c>
      <c r="F8" s="410"/>
      <c r="G8" s="409">
        <v>0</v>
      </c>
      <c r="H8" s="409"/>
      <c r="I8" s="409">
        <v>0</v>
      </c>
      <c r="J8" s="409"/>
      <c r="K8" s="409">
        <v>0</v>
      </c>
      <c r="L8" s="409"/>
      <c r="M8" s="409">
        <v>67390880.359999999</v>
      </c>
      <c r="N8" s="409"/>
      <c r="O8" s="409">
        <v>0</v>
      </c>
      <c r="P8" s="409"/>
      <c r="Q8" s="409">
        <v>0</v>
      </c>
      <c r="R8" s="410"/>
      <c r="S8" s="411">
        <f>$C$6*SUM(C8:D8)+$E$6*SUM(E8:F8)+$G$6*SUM(G8:H8)+$I$6*SUM(I8:J8)+$K$6*SUM(K8:L8)+$M$6*SUM(M8:N8)+$O$6*SUM(O8:P8)+$Q$6*SUM(Q8:R8)</f>
        <v>67390880.359999999</v>
      </c>
    </row>
    <row r="9" spans="1:19" s="412" customFormat="1" x14ac:dyDescent="0.2">
      <c r="A9" s="407">
        <v>2</v>
      </c>
      <c r="B9" s="408" t="s">
        <v>396</v>
      </c>
      <c r="C9" s="409">
        <v>0</v>
      </c>
      <c r="D9" s="409"/>
      <c r="E9" s="409">
        <v>0</v>
      </c>
      <c r="F9" s="409"/>
      <c r="G9" s="409">
        <v>0</v>
      </c>
      <c r="H9" s="409"/>
      <c r="I9" s="409">
        <v>0</v>
      </c>
      <c r="J9" s="409"/>
      <c r="K9" s="409">
        <v>0</v>
      </c>
      <c r="L9" s="409"/>
      <c r="M9" s="409">
        <v>0</v>
      </c>
      <c r="N9" s="409"/>
      <c r="O9" s="409">
        <v>0</v>
      </c>
      <c r="P9" s="409"/>
      <c r="Q9" s="409">
        <v>0</v>
      </c>
      <c r="R9" s="410"/>
      <c r="S9" s="411">
        <f t="shared" ref="S9:S21" si="0">$C$6*SUM(C9:D9)+$E$6*SUM(E9:F9)+$G$6*SUM(G9:H9)+$I$6*SUM(I9:J9)+$K$6*SUM(K9:L9)+$M$6*SUM(M9:N9)+$O$6*SUM(O9:P9)+$Q$6*SUM(Q9:R9)</f>
        <v>0</v>
      </c>
    </row>
    <row r="10" spans="1:19" s="412" customFormat="1" x14ac:dyDescent="0.2">
      <c r="A10" s="407">
        <v>3</v>
      </c>
      <c r="B10" s="408" t="s">
        <v>397</v>
      </c>
      <c r="C10" s="409">
        <v>0</v>
      </c>
      <c r="D10" s="409"/>
      <c r="E10" s="409">
        <v>0</v>
      </c>
      <c r="F10" s="409"/>
      <c r="G10" s="409">
        <v>0</v>
      </c>
      <c r="H10" s="409"/>
      <c r="I10" s="409">
        <v>0</v>
      </c>
      <c r="J10" s="409"/>
      <c r="K10" s="409">
        <v>0</v>
      </c>
      <c r="L10" s="409"/>
      <c r="M10" s="409">
        <v>0</v>
      </c>
      <c r="N10" s="409"/>
      <c r="O10" s="409">
        <v>0</v>
      </c>
      <c r="P10" s="409"/>
      <c r="Q10" s="409">
        <v>0</v>
      </c>
      <c r="R10" s="410"/>
      <c r="S10" s="411">
        <f t="shared" si="0"/>
        <v>0</v>
      </c>
    </row>
    <row r="11" spans="1:19" s="412" customFormat="1" x14ac:dyDescent="0.2">
      <c r="A11" s="407">
        <v>4</v>
      </c>
      <c r="B11" s="408" t="s">
        <v>398</v>
      </c>
      <c r="C11" s="409">
        <v>0</v>
      </c>
      <c r="D11" s="409"/>
      <c r="E11" s="409">
        <v>0</v>
      </c>
      <c r="F11" s="409"/>
      <c r="G11" s="409">
        <v>0</v>
      </c>
      <c r="H11" s="409"/>
      <c r="I11" s="409">
        <v>0</v>
      </c>
      <c r="J11" s="409"/>
      <c r="K11" s="409">
        <v>0</v>
      </c>
      <c r="L11" s="409"/>
      <c r="M11" s="409">
        <v>0</v>
      </c>
      <c r="N11" s="409"/>
      <c r="O11" s="409">
        <v>0</v>
      </c>
      <c r="P11" s="409"/>
      <c r="Q11" s="409">
        <v>0</v>
      </c>
      <c r="R11" s="410"/>
      <c r="S11" s="411">
        <f t="shared" si="0"/>
        <v>0</v>
      </c>
    </row>
    <row r="12" spans="1:19" s="412" customFormat="1" x14ac:dyDescent="0.2">
      <c r="A12" s="407">
        <v>5</v>
      </c>
      <c r="B12" s="408" t="s">
        <v>399</v>
      </c>
      <c r="C12" s="409">
        <v>0</v>
      </c>
      <c r="D12" s="409"/>
      <c r="E12" s="409">
        <v>0</v>
      </c>
      <c r="F12" s="409"/>
      <c r="G12" s="409">
        <v>0</v>
      </c>
      <c r="H12" s="409"/>
      <c r="I12" s="409">
        <v>0</v>
      </c>
      <c r="J12" s="409"/>
      <c r="K12" s="409">
        <v>0</v>
      </c>
      <c r="L12" s="409"/>
      <c r="M12" s="409">
        <v>0</v>
      </c>
      <c r="N12" s="409"/>
      <c r="O12" s="409">
        <v>0</v>
      </c>
      <c r="P12" s="409"/>
      <c r="Q12" s="409">
        <v>0</v>
      </c>
      <c r="R12" s="410"/>
      <c r="S12" s="411">
        <f t="shared" si="0"/>
        <v>0</v>
      </c>
    </row>
    <row r="13" spans="1:19" s="412" customFormat="1" x14ac:dyDescent="0.2">
      <c r="A13" s="407">
        <v>6</v>
      </c>
      <c r="B13" s="408" t="s">
        <v>400</v>
      </c>
      <c r="C13" s="409">
        <v>0</v>
      </c>
      <c r="D13" s="409"/>
      <c r="E13" s="409">
        <v>16392879.770000001</v>
      </c>
      <c r="F13" s="409"/>
      <c r="G13" s="409">
        <v>0</v>
      </c>
      <c r="H13" s="409"/>
      <c r="I13" s="409">
        <v>9721357.040000001</v>
      </c>
      <c r="J13" s="409"/>
      <c r="K13" s="409">
        <v>0</v>
      </c>
      <c r="L13" s="409"/>
      <c r="M13" s="409">
        <v>426464.94999999995</v>
      </c>
      <c r="N13" s="409"/>
      <c r="O13" s="409">
        <v>0</v>
      </c>
      <c r="P13" s="409"/>
      <c r="Q13" s="409">
        <v>0</v>
      </c>
      <c r="R13" s="410"/>
      <c r="S13" s="411">
        <f t="shared" si="0"/>
        <v>8565719.4240000006</v>
      </c>
    </row>
    <row r="14" spans="1:19" s="412" customFormat="1" x14ac:dyDescent="0.2">
      <c r="A14" s="407">
        <v>7</v>
      </c>
      <c r="B14" s="408" t="s">
        <v>401</v>
      </c>
      <c r="C14" s="409">
        <v>0</v>
      </c>
      <c r="D14" s="409"/>
      <c r="E14" s="409">
        <v>0</v>
      </c>
      <c r="F14" s="409"/>
      <c r="G14" s="409">
        <v>0</v>
      </c>
      <c r="H14" s="409"/>
      <c r="I14" s="409">
        <v>0</v>
      </c>
      <c r="J14" s="409"/>
      <c r="K14" s="409">
        <v>0</v>
      </c>
      <c r="L14" s="409"/>
      <c r="M14" s="409">
        <v>116766322.19</v>
      </c>
      <c r="N14" s="409">
        <v>28334501.125</v>
      </c>
      <c r="O14" s="409">
        <v>0</v>
      </c>
      <c r="P14" s="409"/>
      <c r="Q14" s="409">
        <v>0</v>
      </c>
      <c r="R14" s="410"/>
      <c r="S14" s="411">
        <f t="shared" si="0"/>
        <v>145100823.315</v>
      </c>
    </row>
    <row r="15" spans="1:19" s="412" customFormat="1" x14ac:dyDescent="0.2">
      <c r="A15" s="407">
        <v>8</v>
      </c>
      <c r="B15" s="408" t="s">
        <v>402</v>
      </c>
      <c r="C15" s="409">
        <v>0</v>
      </c>
      <c r="D15" s="409"/>
      <c r="E15" s="409">
        <v>0</v>
      </c>
      <c r="F15" s="409"/>
      <c r="G15" s="409">
        <v>0</v>
      </c>
      <c r="H15" s="409"/>
      <c r="I15" s="409">
        <v>0</v>
      </c>
      <c r="J15" s="409"/>
      <c r="K15" s="409">
        <v>186681644.27000016</v>
      </c>
      <c r="L15" s="409">
        <v>5899908.5789999999</v>
      </c>
      <c r="M15" s="409">
        <v>0</v>
      </c>
      <c r="N15" s="409"/>
      <c r="O15" s="409">
        <v>0</v>
      </c>
      <c r="P15" s="409"/>
      <c r="Q15" s="409">
        <v>0</v>
      </c>
      <c r="R15" s="410"/>
      <c r="S15" s="411">
        <f t="shared" si="0"/>
        <v>144436164.6367501</v>
      </c>
    </row>
    <row r="16" spans="1:19" s="412" customFormat="1" x14ac:dyDescent="0.2">
      <c r="A16" s="407">
        <v>9</v>
      </c>
      <c r="B16" s="408" t="s">
        <v>403</v>
      </c>
      <c r="C16" s="409">
        <v>0</v>
      </c>
      <c r="D16" s="409"/>
      <c r="E16" s="409">
        <v>0</v>
      </c>
      <c r="F16" s="409"/>
      <c r="G16" s="409">
        <v>0</v>
      </c>
      <c r="H16" s="409"/>
      <c r="I16" s="409">
        <v>0</v>
      </c>
      <c r="J16" s="409"/>
      <c r="K16" s="409">
        <v>0</v>
      </c>
      <c r="L16" s="409"/>
      <c r="M16" s="409">
        <v>0</v>
      </c>
      <c r="N16" s="409"/>
      <c r="O16" s="409">
        <v>0</v>
      </c>
      <c r="P16" s="409"/>
      <c r="Q16" s="409">
        <v>0</v>
      </c>
      <c r="R16" s="410"/>
      <c r="S16" s="411">
        <f t="shared" si="0"/>
        <v>0</v>
      </c>
    </row>
    <row r="17" spans="1:19" s="412" customFormat="1" x14ac:dyDescent="0.2">
      <c r="A17" s="407">
        <v>10</v>
      </c>
      <c r="B17" s="408" t="s">
        <v>404</v>
      </c>
      <c r="C17" s="409">
        <v>0</v>
      </c>
      <c r="D17" s="409"/>
      <c r="E17" s="409">
        <v>0</v>
      </c>
      <c r="F17" s="409"/>
      <c r="G17" s="409">
        <v>0</v>
      </c>
      <c r="H17" s="409"/>
      <c r="I17" s="409">
        <v>0</v>
      </c>
      <c r="J17" s="409"/>
      <c r="K17" s="409">
        <v>0</v>
      </c>
      <c r="L17" s="409"/>
      <c r="M17" s="409">
        <v>16815279.31000001</v>
      </c>
      <c r="N17" s="409"/>
      <c r="O17" s="409">
        <v>1606359.9600000002</v>
      </c>
      <c r="P17" s="409"/>
      <c r="Q17" s="409">
        <v>0</v>
      </c>
      <c r="R17" s="410"/>
      <c r="S17" s="411">
        <f t="shared" si="0"/>
        <v>19224819.250000011</v>
      </c>
    </row>
    <row r="18" spans="1:19" s="412" customFormat="1" x14ac:dyDescent="0.2">
      <c r="A18" s="407">
        <v>11</v>
      </c>
      <c r="B18" s="408" t="s">
        <v>405</v>
      </c>
      <c r="C18" s="409">
        <v>0</v>
      </c>
      <c r="D18" s="409"/>
      <c r="E18" s="409">
        <v>0</v>
      </c>
      <c r="F18" s="409"/>
      <c r="G18" s="409">
        <v>0</v>
      </c>
      <c r="H18" s="409"/>
      <c r="I18" s="409">
        <v>0</v>
      </c>
      <c r="J18" s="409"/>
      <c r="K18" s="409">
        <v>0</v>
      </c>
      <c r="L18" s="409"/>
      <c r="M18" s="409">
        <v>50149137.980000004</v>
      </c>
      <c r="N18" s="409"/>
      <c r="O18" s="409">
        <v>23474870.360000074</v>
      </c>
      <c r="P18" s="409"/>
      <c r="Q18" s="409">
        <v>0</v>
      </c>
      <c r="R18" s="410"/>
      <c r="S18" s="411">
        <f t="shared" si="0"/>
        <v>85361443.520000115</v>
      </c>
    </row>
    <row r="19" spans="1:19" s="412" customFormat="1" x14ac:dyDescent="0.2">
      <c r="A19" s="407">
        <v>12</v>
      </c>
      <c r="B19" s="408" t="s">
        <v>406</v>
      </c>
      <c r="C19" s="409">
        <v>0</v>
      </c>
      <c r="D19" s="409"/>
      <c r="E19" s="409">
        <v>0</v>
      </c>
      <c r="F19" s="409"/>
      <c r="G19" s="409">
        <v>0</v>
      </c>
      <c r="H19" s="409"/>
      <c r="I19" s="409">
        <v>0</v>
      </c>
      <c r="J19" s="409"/>
      <c r="K19" s="409">
        <v>0</v>
      </c>
      <c r="L19" s="409"/>
      <c r="M19" s="409">
        <v>0</v>
      </c>
      <c r="N19" s="409"/>
      <c r="O19" s="409">
        <v>0</v>
      </c>
      <c r="P19" s="409"/>
      <c r="Q19" s="409">
        <v>0</v>
      </c>
      <c r="R19" s="410"/>
      <c r="S19" s="411">
        <f t="shared" si="0"/>
        <v>0</v>
      </c>
    </row>
    <row r="20" spans="1:19" s="412" customFormat="1" x14ac:dyDescent="0.2">
      <c r="A20" s="407">
        <v>13</v>
      </c>
      <c r="B20" s="408" t="s">
        <v>407</v>
      </c>
      <c r="C20" s="409">
        <v>0</v>
      </c>
      <c r="D20" s="409"/>
      <c r="E20" s="409">
        <v>0</v>
      </c>
      <c r="F20" s="409"/>
      <c r="G20" s="409">
        <v>0</v>
      </c>
      <c r="H20" s="409"/>
      <c r="I20" s="409">
        <v>0</v>
      </c>
      <c r="J20" s="409"/>
      <c r="K20" s="409">
        <v>0</v>
      </c>
      <c r="L20" s="409"/>
      <c r="M20" s="409">
        <v>0</v>
      </c>
      <c r="N20" s="409"/>
      <c r="O20" s="409">
        <v>0</v>
      </c>
      <c r="P20" s="409"/>
      <c r="Q20" s="409">
        <v>0</v>
      </c>
      <c r="R20" s="410"/>
      <c r="S20" s="411">
        <f t="shared" si="0"/>
        <v>0</v>
      </c>
    </row>
    <row r="21" spans="1:19" s="412" customFormat="1" x14ac:dyDescent="0.2">
      <c r="A21" s="407">
        <v>14</v>
      </c>
      <c r="B21" s="408" t="s">
        <v>408</v>
      </c>
      <c r="C21" s="409">
        <v>36358216.729999997</v>
      </c>
      <c r="D21" s="409"/>
      <c r="E21" s="409">
        <v>12452.62</v>
      </c>
      <c r="F21" s="409"/>
      <c r="G21" s="409">
        <v>0</v>
      </c>
      <c r="H21" s="409"/>
      <c r="I21" s="409">
        <v>0</v>
      </c>
      <c r="J21" s="409">
        <v>0</v>
      </c>
      <c r="K21" s="409">
        <v>0</v>
      </c>
      <c r="L21" s="409"/>
      <c r="M21" s="409">
        <v>216772484.12000003</v>
      </c>
      <c r="N21" s="409">
        <v>8582027.8230000008</v>
      </c>
      <c r="O21" s="409">
        <v>0</v>
      </c>
      <c r="P21" s="409"/>
      <c r="Q21" s="409">
        <v>0</v>
      </c>
      <c r="R21" s="410"/>
      <c r="S21" s="411">
        <f t="shared" si="0"/>
        <v>225357002.46700004</v>
      </c>
    </row>
    <row r="22" spans="1:19" ht="13.5" thickBot="1" x14ac:dyDescent="0.25">
      <c r="A22" s="413"/>
      <c r="B22" s="414" t="s">
        <v>81</v>
      </c>
      <c r="C22" s="415">
        <f>SUM(C8:C21)</f>
        <v>98462916.389999986</v>
      </c>
      <c r="D22" s="415">
        <f t="shared" ref="D22:S22" si="1">SUM(D8:D21)</f>
        <v>0</v>
      </c>
      <c r="E22" s="415">
        <f t="shared" si="1"/>
        <v>16405332.390000001</v>
      </c>
      <c r="F22" s="415">
        <f t="shared" si="1"/>
        <v>0</v>
      </c>
      <c r="G22" s="415">
        <f t="shared" si="1"/>
        <v>0</v>
      </c>
      <c r="H22" s="415">
        <f t="shared" si="1"/>
        <v>0</v>
      </c>
      <c r="I22" s="415">
        <f>SUM(I8:I21)</f>
        <v>9721357.040000001</v>
      </c>
      <c r="J22" s="415">
        <f t="shared" si="1"/>
        <v>0</v>
      </c>
      <c r="K22" s="415">
        <f t="shared" si="1"/>
        <v>186681644.27000016</v>
      </c>
      <c r="L22" s="415">
        <f t="shared" si="1"/>
        <v>5899908.5789999999</v>
      </c>
      <c r="M22" s="415">
        <f t="shared" si="1"/>
        <v>468320568.91000009</v>
      </c>
      <c r="N22" s="415">
        <f>SUM(N8:N21)</f>
        <v>36916528.947999999</v>
      </c>
      <c r="O22" s="415">
        <f t="shared" si="1"/>
        <v>25081230.320000075</v>
      </c>
      <c r="P22" s="415">
        <f t="shared" si="1"/>
        <v>0</v>
      </c>
      <c r="Q22" s="415">
        <f t="shared" si="1"/>
        <v>0</v>
      </c>
      <c r="R22" s="415">
        <f t="shared" si="1"/>
        <v>0</v>
      </c>
      <c r="S22" s="416">
        <f t="shared" si="1"/>
        <v>695436852.97275019</v>
      </c>
    </row>
    <row r="24" spans="1:19" x14ac:dyDescent="0.2">
      <c r="S24" s="197">
        <v>695436852.97275019</v>
      </c>
    </row>
    <row r="25" spans="1:19" x14ac:dyDescent="0.2">
      <c r="N25" s="316"/>
      <c r="S25" s="197">
        <f>S22-S24</f>
        <v>0</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Normal="100" workbookViewId="0">
      <pane xSplit="2" ySplit="6" topLeftCell="O7" activePane="bottomRight" state="frozen"/>
      <selection activeCell="P24" sqref="P24:Q24"/>
      <selection pane="topRight" activeCell="P24" sqref="P24:Q24"/>
      <selection pane="bottomLeft" activeCell="P24" sqref="P24:Q24"/>
      <selection pane="bottomRight" activeCell="U14" sqref="U14"/>
    </sheetView>
  </sheetViews>
  <sheetFormatPr defaultColWidth="9.140625" defaultRowHeight="12.75" x14ac:dyDescent="0.2"/>
  <cols>
    <col min="1" max="1" width="10.5703125" style="24" bestFit="1" customWidth="1"/>
    <col min="2" max="2" width="74.5703125" style="24" customWidth="1"/>
    <col min="3" max="3" width="19" style="24" customWidth="1"/>
    <col min="4" max="4" width="19.5703125" style="24" customWidth="1"/>
    <col min="5" max="5" width="31.140625" style="24" customWidth="1"/>
    <col min="6" max="6" width="29.140625" style="24" customWidth="1"/>
    <col min="7" max="7" width="28.5703125" style="24" customWidth="1"/>
    <col min="8" max="8" width="26.42578125" style="24" customWidth="1"/>
    <col min="9" max="9" width="23.7109375" style="24" customWidth="1"/>
    <col min="10" max="10" width="21.5703125" style="24" customWidth="1"/>
    <col min="11" max="11" width="15.7109375" style="24" customWidth="1"/>
    <col min="12" max="12" width="13.28515625" style="24" customWidth="1"/>
    <col min="13" max="13" width="20.85546875" style="24" customWidth="1"/>
    <col min="14" max="14" width="19.28515625" style="24" customWidth="1"/>
    <col min="15" max="15" width="18.42578125" style="24" customWidth="1"/>
    <col min="16" max="16" width="19" style="24" customWidth="1"/>
    <col min="17" max="17" width="20.28515625" style="24" customWidth="1"/>
    <col min="18" max="18" width="18" style="24" customWidth="1"/>
    <col min="19" max="19" width="36" style="24" customWidth="1"/>
    <col min="20" max="20" width="19.42578125" style="24" customWidth="1"/>
    <col min="21" max="21" width="19.140625" style="24" customWidth="1"/>
    <col min="22" max="22" width="20" style="24" customWidth="1"/>
    <col min="23" max="16384" width="9.140625" style="134"/>
  </cols>
  <sheetData>
    <row r="1" spans="1:22" x14ac:dyDescent="0.2">
      <c r="A1" s="24" t="s">
        <v>29</v>
      </c>
      <c r="B1" s="24" t="str">
        <f>'1. key ratios'!B1</f>
        <v>სს ტერაბანკი</v>
      </c>
    </row>
    <row r="2" spans="1:22" x14ac:dyDescent="0.2">
      <c r="A2" s="24" t="s">
        <v>31</v>
      </c>
      <c r="B2" s="84">
        <f>'1. key ratios'!B2</f>
        <v>43190</v>
      </c>
    </row>
    <row r="4" spans="1:22" ht="27.75" thickBot="1" x14ac:dyDescent="0.35">
      <c r="A4" s="24" t="s">
        <v>409</v>
      </c>
      <c r="B4" s="417" t="s">
        <v>410</v>
      </c>
      <c r="V4" s="353" t="s">
        <v>75</v>
      </c>
    </row>
    <row r="5" spans="1:22" x14ac:dyDescent="0.2">
      <c r="A5" s="418"/>
      <c r="B5" s="419"/>
      <c r="C5" s="420" t="s">
        <v>411</v>
      </c>
      <c r="D5" s="421"/>
      <c r="E5" s="421"/>
      <c r="F5" s="421"/>
      <c r="G5" s="421"/>
      <c r="H5" s="421"/>
      <c r="I5" s="421"/>
      <c r="J5" s="421"/>
      <c r="K5" s="421"/>
      <c r="L5" s="422"/>
      <c r="M5" s="420" t="s">
        <v>412</v>
      </c>
      <c r="N5" s="421"/>
      <c r="O5" s="421"/>
      <c r="P5" s="421"/>
      <c r="Q5" s="421"/>
      <c r="R5" s="421"/>
      <c r="S5" s="422"/>
      <c r="T5" s="423" t="s">
        <v>413</v>
      </c>
      <c r="U5" s="423" t="s">
        <v>414</v>
      </c>
      <c r="V5" s="424" t="s">
        <v>415</v>
      </c>
    </row>
    <row r="6" spans="1:22" s="392" customFormat="1" ht="140.25" x14ac:dyDescent="0.25">
      <c r="A6" s="264"/>
      <c r="B6" s="425"/>
      <c r="C6" s="426" t="s">
        <v>416</v>
      </c>
      <c r="D6" s="427" t="s">
        <v>417</v>
      </c>
      <c r="E6" s="428" t="s">
        <v>418</v>
      </c>
      <c r="F6" s="429" t="s">
        <v>419</v>
      </c>
      <c r="G6" s="427" t="s">
        <v>420</v>
      </c>
      <c r="H6" s="427" t="s">
        <v>421</v>
      </c>
      <c r="I6" s="427" t="s">
        <v>422</v>
      </c>
      <c r="J6" s="427" t="s">
        <v>423</v>
      </c>
      <c r="K6" s="427" t="s">
        <v>424</v>
      </c>
      <c r="L6" s="430" t="s">
        <v>425</v>
      </c>
      <c r="M6" s="426" t="s">
        <v>426</v>
      </c>
      <c r="N6" s="427" t="s">
        <v>427</v>
      </c>
      <c r="O6" s="427" t="s">
        <v>428</v>
      </c>
      <c r="P6" s="427" t="s">
        <v>429</v>
      </c>
      <c r="Q6" s="427" t="s">
        <v>430</v>
      </c>
      <c r="R6" s="427" t="s">
        <v>431</v>
      </c>
      <c r="S6" s="430" t="s">
        <v>432</v>
      </c>
      <c r="T6" s="431"/>
      <c r="U6" s="431"/>
      <c r="V6" s="432"/>
    </row>
    <row r="7" spans="1:22" s="412" customFormat="1" x14ac:dyDescent="0.2">
      <c r="A7" s="433">
        <v>1</v>
      </c>
      <c r="B7" s="434" t="s">
        <v>395</v>
      </c>
      <c r="C7" s="435">
        <v>0</v>
      </c>
      <c r="D7" s="409">
        <f t="shared" ref="D7:D19" si="0">U7+T7</f>
        <v>0</v>
      </c>
      <c r="E7" s="409">
        <v>0</v>
      </c>
      <c r="F7" s="409">
        <v>0</v>
      </c>
      <c r="G7" s="409">
        <v>0</v>
      </c>
      <c r="H7" s="409">
        <v>0</v>
      </c>
      <c r="I7" s="409">
        <v>0</v>
      </c>
      <c r="J7" s="409">
        <v>0</v>
      </c>
      <c r="K7" s="409">
        <v>0</v>
      </c>
      <c r="L7" s="409">
        <v>0</v>
      </c>
      <c r="M7" s="436"/>
      <c r="N7" s="437"/>
      <c r="O7" s="437"/>
      <c r="P7" s="437"/>
      <c r="Q7" s="437"/>
      <c r="R7" s="437"/>
      <c r="S7" s="438"/>
      <c r="T7" s="439">
        <v>0</v>
      </c>
      <c r="U7" s="440"/>
      <c r="V7" s="441">
        <f>SUM(C7:S7)</f>
        <v>0</v>
      </c>
    </row>
    <row r="8" spans="1:22" s="412" customFormat="1" x14ac:dyDescent="0.2">
      <c r="A8" s="433">
        <v>2</v>
      </c>
      <c r="B8" s="434" t="s">
        <v>396</v>
      </c>
      <c r="C8" s="435">
        <v>0</v>
      </c>
      <c r="D8" s="409">
        <f t="shared" si="0"/>
        <v>0</v>
      </c>
      <c r="E8" s="409">
        <v>0</v>
      </c>
      <c r="F8" s="409">
        <v>0</v>
      </c>
      <c r="G8" s="409">
        <v>0</v>
      </c>
      <c r="H8" s="409">
        <v>0</v>
      </c>
      <c r="I8" s="409">
        <v>0</v>
      </c>
      <c r="J8" s="409">
        <v>0</v>
      </c>
      <c r="K8" s="409">
        <v>0</v>
      </c>
      <c r="L8" s="409">
        <v>0</v>
      </c>
      <c r="M8" s="436"/>
      <c r="N8" s="437"/>
      <c r="O8" s="437"/>
      <c r="P8" s="437"/>
      <c r="Q8" s="437"/>
      <c r="R8" s="437"/>
      <c r="S8" s="438"/>
      <c r="T8" s="439">
        <v>0</v>
      </c>
      <c r="U8" s="440"/>
      <c r="V8" s="441">
        <f t="shared" ref="V8:V20" si="1">SUM(C8:S8)</f>
        <v>0</v>
      </c>
    </row>
    <row r="9" spans="1:22" s="412" customFormat="1" x14ac:dyDescent="0.2">
      <c r="A9" s="433">
        <v>3</v>
      </c>
      <c r="B9" s="434" t="s">
        <v>397</v>
      </c>
      <c r="C9" s="435">
        <v>0</v>
      </c>
      <c r="D9" s="409">
        <f t="shared" si="0"/>
        <v>0</v>
      </c>
      <c r="E9" s="409">
        <v>0</v>
      </c>
      <c r="F9" s="409">
        <v>0</v>
      </c>
      <c r="G9" s="409">
        <v>0</v>
      </c>
      <c r="H9" s="409">
        <v>0</v>
      </c>
      <c r="I9" s="409">
        <v>0</v>
      </c>
      <c r="J9" s="409">
        <v>0</v>
      </c>
      <c r="K9" s="409">
        <v>0</v>
      </c>
      <c r="L9" s="409">
        <v>0</v>
      </c>
      <c r="M9" s="436"/>
      <c r="N9" s="437"/>
      <c r="O9" s="437"/>
      <c r="P9" s="437"/>
      <c r="Q9" s="437"/>
      <c r="R9" s="437"/>
      <c r="S9" s="438"/>
      <c r="T9" s="439">
        <v>0</v>
      </c>
      <c r="U9" s="440"/>
      <c r="V9" s="441">
        <f>SUM(C9:S9)</f>
        <v>0</v>
      </c>
    </row>
    <row r="10" spans="1:22" s="412" customFormat="1" x14ac:dyDescent="0.2">
      <c r="A10" s="433">
        <v>4</v>
      </c>
      <c r="B10" s="434" t="s">
        <v>398</v>
      </c>
      <c r="C10" s="435">
        <v>0</v>
      </c>
      <c r="D10" s="409">
        <f t="shared" si="0"/>
        <v>0</v>
      </c>
      <c r="E10" s="409">
        <v>0</v>
      </c>
      <c r="F10" s="409">
        <v>0</v>
      </c>
      <c r="G10" s="409">
        <v>0</v>
      </c>
      <c r="H10" s="409">
        <v>0</v>
      </c>
      <c r="I10" s="409">
        <v>0</v>
      </c>
      <c r="J10" s="409">
        <v>0</v>
      </c>
      <c r="K10" s="409">
        <v>0</v>
      </c>
      <c r="L10" s="409">
        <v>0</v>
      </c>
      <c r="M10" s="436"/>
      <c r="N10" s="437"/>
      <c r="O10" s="437"/>
      <c r="P10" s="437"/>
      <c r="Q10" s="437"/>
      <c r="R10" s="437"/>
      <c r="S10" s="438"/>
      <c r="T10" s="439">
        <v>0</v>
      </c>
      <c r="U10" s="440"/>
      <c r="V10" s="441">
        <f t="shared" si="1"/>
        <v>0</v>
      </c>
    </row>
    <row r="11" spans="1:22" s="412" customFormat="1" x14ac:dyDescent="0.2">
      <c r="A11" s="433">
        <v>5</v>
      </c>
      <c r="B11" s="434" t="s">
        <v>399</v>
      </c>
      <c r="C11" s="435">
        <v>0</v>
      </c>
      <c r="D11" s="409">
        <f t="shared" si="0"/>
        <v>0</v>
      </c>
      <c r="E11" s="409">
        <v>0</v>
      </c>
      <c r="F11" s="409">
        <v>0</v>
      </c>
      <c r="G11" s="409">
        <v>0</v>
      </c>
      <c r="H11" s="409">
        <v>0</v>
      </c>
      <c r="I11" s="409">
        <v>0</v>
      </c>
      <c r="J11" s="409">
        <v>0</v>
      </c>
      <c r="K11" s="409">
        <v>0</v>
      </c>
      <c r="L11" s="409">
        <v>0</v>
      </c>
      <c r="M11" s="436"/>
      <c r="N11" s="437"/>
      <c r="O11" s="437"/>
      <c r="P11" s="437"/>
      <c r="Q11" s="437"/>
      <c r="R11" s="437"/>
      <c r="S11" s="438"/>
      <c r="T11" s="439">
        <v>0</v>
      </c>
      <c r="U11" s="440"/>
      <c r="V11" s="441">
        <f t="shared" si="1"/>
        <v>0</v>
      </c>
    </row>
    <row r="12" spans="1:22" s="412" customFormat="1" x14ac:dyDescent="0.2">
      <c r="A12" s="433">
        <v>6</v>
      </c>
      <c r="B12" s="434" t="s">
        <v>400</v>
      </c>
      <c r="C12" s="435">
        <v>0</v>
      </c>
      <c r="D12" s="409">
        <f t="shared" si="0"/>
        <v>0</v>
      </c>
      <c r="E12" s="409">
        <v>0</v>
      </c>
      <c r="F12" s="409">
        <v>0</v>
      </c>
      <c r="G12" s="409">
        <v>0</v>
      </c>
      <c r="H12" s="409">
        <v>0</v>
      </c>
      <c r="I12" s="409">
        <v>0</v>
      </c>
      <c r="J12" s="409">
        <v>0</v>
      </c>
      <c r="K12" s="409">
        <v>0</v>
      </c>
      <c r="L12" s="409">
        <v>0</v>
      </c>
      <c r="M12" s="436"/>
      <c r="N12" s="437"/>
      <c r="O12" s="437"/>
      <c r="P12" s="437"/>
      <c r="Q12" s="437"/>
      <c r="R12" s="437"/>
      <c r="S12" s="438"/>
      <c r="T12" s="439">
        <v>0</v>
      </c>
      <c r="U12" s="440"/>
      <c r="V12" s="441">
        <f t="shared" si="1"/>
        <v>0</v>
      </c>
    </row>
    <row r="13" spans="1:22" s="412" customFormat="1" x14ac:dyDescent="0.2">
      <c r="A13" s="433">
        <v>7</v>
      </c>
      <c r="B13" s="434" t="s">
        <v>401</v>
      </c>
      <c r="C13" s="435">
        <v>0</v>
      </c>
      <c r="D13" s="409">
        <f t="shared" si="0"/>
        <v>21649581.9113</v>
      </c>
      <c r="E13" s="409">
        <v>0</v>
      </c>
      <c r="F13" s="409">
        <v>0</v>
      </c>
      <c r="G13" s="409">
        <v>0</v>
      </c>
      <c r="H13" s="409">
        <v>0</v>
      </c>
      <c r="I13" s="409">
        <v>0</v>
      </c>
      <c r="J13" s="409">
        <v>0</v>
      </c>
      <c r="K13" s="409">
        <v>0</v>
      </c>
      <c r="L13" s="409">
        <v>0</v>
      </c>
      <c r="M13" s="436"/>
      <c r="N13" s="437"/>
      <c r="O13" s="437"/>
      <c r="P13" s="437"/>
      <c r="Q13" s="437"/>
      <c r="R13" s="437"/>
      <c r="S13" s="438"/>
      <c r="T13" s="439">
        <v>12571903.066</v>
      </c>
      <c r="U13" s="440">
        <v>9077678.8453000002</v>
      </c>
      <c r="V13" s="441">
        <f t="shared" si="1"/>
        <v>21649581.9113</v>
      </c>
    </row>
    <row r="14" spans="1:22" s="412" customFormat="1" x14ac:dyDescent="0.2">
      <c r="A14" s="433">
        <v>8</v>
      </c>
      <c r="B14" s="434" t="s">
        <v>402</v>
      </c>
      <c r="C14" s="435">
        <v>0</v>
      </c>
      <c r="D14" s="409">
        <f t="shared" si="0"/>
        <v>2140636.6144125001</v>
      </c>
      <c r="E14" s="409">
        <v>0</v>
      </c>
      <c r="F14" s="409">
        <v>0</v>
      </c>
      <c r="G14" s="409">
        <v>0</v>
      </c>
      <c r="H14" s="409">
        <v>0</v>
      </c>
      <c r="I14" s="409">
        <v>0</v>
      </c>
      <c r="J14" s="409">
        <v>0</v>
      </c>
      <c r="K14" s="409">
        <v>0</v>
      </c>
      <c r="L14" s="409">
        <v>0</v>
      </c>
      <c r="M14" s="436"/>
      <c r="N14" s="437"/>
      <c r="O14" s="437"/>
      <c r="P14" s="437"/>
      <c r="Q14" s="437"/>
      <c r="R14" s="437"/>
      <c r="S14" s="438"/>
      <c r="T14" s="439">
        <v>1334908.7420999999</v>
      </c>
      <c r="U14" s="440">
        <v>805727.87231250014</v>
      </c>
      <c r="V14" s="441">
        <f t="shared" si="1"/>
        <v>2140636.6144125001</v>
      </c>
    </row>
    <row r="15" spans="1:22" s="412" customFormat="1" x14ac:dyDescent="0.2">
      <c r="A15" s="433">
        <v>9</v>
      </c>
      <c r="B15" s="434" t="s">
        <v>403</v>
      </c>
      <c r="C15" s="435">
        <v>0</v>
      </c>
      <c r="D15" s="409">
        <f t="shared" si="0"/>
        <v>0</v>
      </c>
      <c r="E15" s="409">
        <v>0</v>
      </c>
      <c r="F15" s="409">
        <v>0</v>
      </c>
      <c r="G15" s="409">
        <v>0</v>
      </c>
      <c r="H15" s="409">
        <v>0</v>
      </c>
      <c r="I15" s="409">
        <v>0</v>
      </c>
      <c r="J15" s="409">
        <v>0</v>
      </c>
      <c r="K15" s="409">
        <v>0</v>
      </c>
      <c r="L15" s="409">
        <v>0</v>
      </c>
      <c r="M15" s="436"/>
      <c r="N15" s="437"/>
      <c r="O15" s="437"/>
      <c r="P15" s="437"/>
      <c r="Q15" s="437"/>
      <c r="R15" s="437"/>
      <c r="S15" s="438"/>
      <c r="T15" s="439">
        <v>0</v>
      </c>
      <c r="U15" s="440"/>
      <c r="V15" s="441">
        <f t="shared" si="1"/>
        <v>0</v>
      </c>
    </row>
    <row r="16" spans="1:22" s="412" customFormat="1" x14ac:dyDescent="0.2">
      <c r="A16" s="433">
        <v>10</v>
      </c>
      <c r="B16" s="434" t="s">
        <v>404</v>
      </c>
      <c r="C16" s="435">
        <v>0</v>
      </c>
      <c r="D16" s="409">
        <f t="shared" si="0"/>
        <v>0</v>
      </c>
      <c r="E16" s="409">
        <v>0</v>
      </c>
      <c r="F16" s="409">
        <v>0</v>
      </c>
      <c r="G16" s="409">
        <v>0</v>
      </c>
      <c r="H16" s="409">
        <v>0</v>
      </c>
      <c r="I16" s="409">
        <v>0</v>
      </c>
      <c r="J16" s="409">
        <v>0</v>
      </c>
      <c r="K16" s="409">
        <v>0</v>
      </c>
      <c r="L16" s="409">
        <v>0</v>
      </c>
      <c r="M16" s="436"/>
      <c r="N16" s="437"/>
      <c r="O16" s="437"/>
      <c r="P16" s="437"/>
      <c r="Q16" s="437"/>
      <c r="R16" s="437"/>
      <c r="S16" s="438"/>
      <c r="T16" s="439">
        <v>0</v>
      </c>
      <c r="U16" s="440"/>
      <c r="V16" s="441">
        <f t="shared" si="1"/>
        <v>0</v>
      </c>
    </row>
    <row r="17" spans="1:22" s="412" customFormat="1" x14ac:dyDescent="0.2">
      <c r="A17" s="433">
        <v>11</v>
      </c>
      <c r="B17" s="434" t="s">
        <v>405</v>
      </c>
      <c r="C17" s="435">
        <v>0</v>
      </c>
      <c r="D17" s="409">
        <f t="shared" si="0"/>
        <v>0</v>
      </c>
      <c r="E17" s="409">
        <v>0</v>
      </c>
      <c r="F17" s="409">
        <v>0</v>
      </c>
      <c r="G17" s="409">
        <v>0</v>
      </c>
      <c r="H17" s="409">
        <v>0</v>
      </c>
      <c r="I17" s="409">
        <v>0</v>
      </c>
      <c r="J17" s="409">
        <v>0</v>
      </c>
      <c r="K17" s="409">
        <v>0</v>
      </c>
      <c r="L17" s="409">
        <v>0</v>
      </c>
      <c r="M17" s="436"/>
      <c r="N17" s="437"/>
      <c r="O17" s="437"/>
      <c r="P17" s="437"/>
      <c r="Q17" s="437"/>
      <c r="R17" s="437"/>
      <c r="S17" s="438"/>
      <c r="T17" s="439">
        <v>0</v>
      </c>
      <c r="U17" s="440"/>
      <c r="V17" s="441">
        <f t="shared" si="1"/>
        <v>0</v>
      </c>
    </row>
    <row r="18" spans="1:22" s="412" customFormat="1" x14ac:dyDescent="0.2">
      <c r="A18" s="433">
        <v>12</v>
      </c>
      <c r="B18" s="434" t="s">
        <v>406</v>
      </c>
      <c r="C18" s="435">
        <v>0</v>
      </c>
      <c r="D18" s="409">
        <f t="shared" si="0"/>
        <v>0</v>
      </c>
      <c r="E18" s="409">
        <v>0</v>
      </c>
      <c r="F18" s="409">
        <v>0</v>
      </c>
      <c r="G18" s="409">
        <v>0</v>
      </c>
      <c r="H18" s="409">
        <v>0</v>
      </c>
      <c r="I18" s="409">
        <v>0</v>
      </c>
      <c r="J18" s="409">
        <v>0</v>
      </c>
      <c r="K18" s="409">
        <v>0</v>
      </c>
      <c r="L18" s="409">
        <v>0</v>
      </c>
      <c r="M18" s="436"/>
      <c r="N18" s="437"/>
      <c r="O18" s="437"/>
      <c r="P18" s="437"/>
      <c r="Q18" s="437"/>
      <c r="R18" s="437"/>
      <c r="S18" s="438"/>
      <c r="T18" s="439">
        <v>0</v>
      </c>
      <c r="U18" s="440"/>
      <c r="V18" s="441">
        <f t="shared" si="1"/>
        <v>0</v>
      </c>
    </row>
    <row r="19" spans="1:22" s="412" customFormat="1" x14ac:dyDescent="0.2">
      <c r="A19" s="433">
        <v>13</v>
      </c>
      <c r="B19" s="434" t="s">
        <v>407</v>
      </c>
      <c r="C19" s="435">
        <v>0</v>
      </c>
      <c r="D19" s="409">
        <f t="shared" si="0"/>
        <v>0</v>
      </c>
      <c r="E19" s="409">
        <v>0</v>
      </c>
      <c r="F19" s="409">
        <v>0</v>
      </c>
      <c r="G19" s="409">
        <v>0</v>
      </c>
      <c r="H19" s="409">
        <v>0</v>
      </c>
      <c r="I19" s="409">
        <v>0</v>
      </c>
      <c r="J19" s="409">
        <v>0</v>
      </c>
      <c r="K19" s="409">
        <v>0</v>
      </c>
      <c r="L19" s="409">
        <v>0</v>
      </c>
      <c r="M19" s="436"/>
      <c r="N19" s="437"/>
      <c r="O19" s="437"/>
      <c r="P19" s="437"/>
      <c r="Q19" s="437"/>
      <c r="R19" s="437"/>
      <c r="S19" s="438"/>
      <c r="T19" s="439">
        <v>0</v>
      </c>
      <c r="U19" s="440"/>
      <c r="V19" s="441">
        <f t="shared" si="1"/>
        <v>0</v>
      </c>
    </row>
    <row r="20" spans="1:22" s="412" customFormat="1" x14ac:dyDescent="0.2">
      <c r="A20" s="433">
        <v>14</v>
      </c>
      <c r="B20" s="434" t="s">
        <v>408</v>
      </c>
      <c r="C20" s="435">
        <v>0</v>
      </c>
      <c r="D20" s="409">
        <f>U20+T20</f>
        <v>11831884.346399998</v>
      </c>
      <c r="E20" s="409">
        <v>0</v>
      </c>
      <c r="F20" s="409">
        <v>0</v>
      </c>
      <c r="G20" s="409">
        <v>0</v>
      </c>
      <c r="H20" s="409">
        <v>0</v>
      </c>
      <c r="I20" s="409">
        <v>0</v>
      </c>
      <c r="J20" s="409">
        <v>0</v>
      </c>
      <c r="K20" s="409">
        <v>0</v>
      </c>
      <c r="L20" s="409">
        <v>0</v>
      </c>
      <c r="M20" s="436"/>
      <c r="N20" s="437"/>
      <c r="O20" s="437"/>
      <c r="P20" s="437"/>
      <c r="Q20" s="437"/>
      <c r="R20" s="437"/>
      <c r="S20" s="438"/>
      <c r="T20" s="439">
        <v>8233900.526399998</v>
      </c>
      <c r="U20" s="440">
        <v>3597983.82</v>
      </c>
      <c r="V20" s="441">
        <f t="shared" si="1"/>
        <v>11831884.346399998</v>
      </c>
    </row>
    <row r="21" spans="1:22" ht="13.5" thickBot="1" x14ac:dyDescent="0.25">
      <c r="A21" s="413"/>
      <c r="B21" s="442" t="s">
        <v>81</v>
      </c>
      <c r="C21" s="443">
        <f>SUM(C7:C20)</f>
        <v>0</v>
      </c>
      <c r="D21" s="444">
        <f t="shared" ref="D21:V21" si="2">SUM(D7:D20)</f>
        <v>35622102.872112498</v>
      </c>
      <c r="E21" s="444">
        <f t="shared" si="2"/>
        <v>0</v>
      </c>
      <c r="F21" s="444">
        <f t="shared" si="2"/>
        <v>0</v>
      </c>
      <c r="G21" s="444">
        <f t="shared" si="2"/>
        <v>0</v>
      </c>
      <c r="H21" s="444">
        <f t="shared" si="2"/>
        <v>0</v>
      </c>
      <c r="I21" s="444">
        <f t="shared" si="2"/>
        <v>0</v>
      </c>
      <c r="J21" s="444">
        <f t="shared" si="2"/>
        <v>0</v>
      </c>
      <c r="K21" s="444">
        <f t="shared" si="2"/>
        <v>0</v>
      </c>
      <c r="L21" s="445">
        <f t="shared" si="2"/>
        <v>0</v>
      </c>
      <c r="M21" s="443">
        <f t="shared" si="2"/>
        <v>0</v>
      </c>
      <c r="N21" s="444">
        <f t="shared" si="2"/>
        <v>0</v>
      </c>
      <c r="O21" s="444">
        <f t="shared" si="2"/>
        <v>0</v>
      </c>
      <c r="P21" s="444">
        <f t="shared" si="2"/>
        <v>0</v>
      </c>
      <c r="Q21" s="444">
        <f t="shared" si="2"/>
        <v>0</v>
      </c>
      <c r="R21" s="444">
        <f t="shared" si="2"/>
        <v>0</v>
      </c>
      <c r="S21" s="445">
        <f t="shared" si="2"/>
        <v>0</v>
      </c>
      <c r="T21" s="445">
        <f>SUM(T7:T20)</f>
        <v>22140712.3345</v>
      </c>
      <c r="U21" s="445">
        <f t="shared" si="2"/>
        <v>13481390.537612502</v>
      </c>
      <c r="V21" s="446">
        <f t="shared" si="2"/>
        <v>35622102.872112498</v>
      </c>
    </row>
    <row r="24" spans="1:22" x14ac:dyDescent="0.2">
      <c r="A24" s="29"/>
      <c r="B24" s="29"/>
      <c r="C24" s="447"/>
      <c r="D24" s="447"/>
      <c r="E24" s="447"/>
      <c r="V24" s="24">
        <v>35622102.872112498</v>
      </c>
    </row>
    <row r="25" spans="1:22" x14ac:dyDescent="0.2">
      <c r="A25" s="448"/>
      <c r="B25" s="448"/>
      <c r="C25" s="29"/>
      <c r="D25" s="447"/>
      <c r="E25" s="447"/>
      <c r="V25" s="256">
        <f>V24-V21</f>
        <v>0</v>
      </c>
    </row>
    <row r="26" spans="1:22" x14ac:dyDescent="0.2">
      <c r="A26" s="448"/>
      <c r="B26" s="449"/>
      <c r="C26" s="29"/>
      <c r="D26" s="447"/>
      <c r="E26" s="447"/>
    </row>
    <row r="27" spans="1:22" x14ac:dyDescent="0.2">
      <c r="A27" s="448"/>
      <c r="B27" s="448"/>
      <c r="C27" s="29"/>
      <c r="D27" s="447"/>
      <c r="E27" s="447"/>
    </row>
    <row r="28" spans="1:22" x14ac:dyDescent="0.2">
      <c r="A28" s="448"/>
      <c r="B28" s="449"/>
      <c r="C28" s="29"/>
      <c r="D28" s="447"/>
      <c r="E28" s="447"/>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8" activePane="bottomRight" state="frozen"/>
      <selection activeCell="P24" sqref="P24:Q24"/>
      <selection pane="topRight" activeCell="P24" sqref="P24:Q24"/>
      <selection pane="bottomLeft" activeCell="P24" sqref="P24:Q24"/>
      <selection pane="bottomRight" activeCell="C24" sqref="C24:F27"/>
    </sheetView>
  </sheetViews>
  <sheetFormatPr defaultColWidth="9.140625" defaultRowHeight="12.75" x14ac:dyDescent="0.2"/>
  <cols>
    <col min="1" max="1" width="10.5703125" style="24" bestFit="1" customWidth="1"/>
    <col min="2" max="2" width="101.85546875" style="24" customWidth="1"/>
    <col min="3" max="3" width="13.7109375" style="24" customWidth="1"/>
    <col min="4" max="4" width="14.85546875" style="24" bestFit="1" customWidth="1"/>
    <col min="5" max="5" width="17.7109375" style="24" customWidth="1"/>
    <col min="6" max="6" width="15.85546875" style="24" customWidth="1"/>
    <col min="7" max="7" width="17.42578125" style="24" customWidth="1"/>
    <col min="8" max="8" width="15.28515625" style="24" customWidth="1"/>
    <col min="9" max="16384" width="9.140625" style="134"/>
  </cols>
  <sheetData>
    <row r="1" spans="1:9" x14ac:dyDescent="0.2">
      <c r="A1" s="24" t="s">
        <v>29</v>
      </c>
      <c r="B1" s="24" t="str">
        <f>'1. key ratios'!B1</f>
        <v>სს ტერაბანკი</v>
      </c>
    </row>
    <row r="2" spans="1:9" x14ac:dyDescent="0.2">
      <c r="A2" s="24" t="s">
        <v>31</v>
      </c>
      <c r="B2" s="84">
        <f>'1. key ratios'!B2</f>
        <v>43190</v>
      </c>
    </row>
    <row r="4" spans="1:9" ht="13.5" thickBot="1" x14ac:dyDescent="0.25">
      <c r="A4" s="24" t="s">
        <v>433</v>
      </c>
      <c r="B4" s="450" t="s">
        <v>434</v>
      </c>
    </row>
    <row r="5" spans="1:9" x14ac:dyDescent="0.2">
      <c r="A5" s="418"/>
      <c r="B5" s="451"/>
      <c r="C5" s="452" t="s">
        <v>258</v>
      </c>
      <c r="D5" s="452" t="s">
        <v>259</v>
      </c>
      <c r="E5" s="452" t="s">
        <v>260</v>
      </c>
      <c r="F5" s="452" t="s">
        <v>377</v>
      </c>
      <c r="G5" s="453" t="s">
        <v>378</v>
      </c>
      <c r="H5" s="454" t="s">
        <v>379</v>
      </c>
      <c r="I5" s="455"/>
    </row>
    <row r="6" spans="1:9" ht="15" customHeight="1" x14ac:dyDescent="0.2">
      <c r="A6" s="399"/>
      <c r="B6" s="456"/>
      <c r="C6" s="457" t="s">
        <v>435</v>
      </c>
      <c r="D6" s="458" t="s">
        <v>436</v>
      </c>
      <c r="E6" s="459"/>
      <c r="F6" s="457" t="s">
        <v>437</v>
      </c>
      <c r="G6" s="457" t="s">
        <v>438</v>
      </c>
      <c r="H6" s="460" t="s">
        <v>439</v>
      </c>
      <c r="I6" s="455"/>
    </row>
    <row r="7" spans="1:9" ht="76.5" x14ac:dyDescent="0.2">
      <c r="A7" s="399"/>
      <c r="B7" s="456"/>
      <c r="C7" s="461"/>
      <c r="D7" s="462" t="s">
        <v>440</v>
      </c>
      <c r="E7" s="462" t="s">
        <v>441</v>
      </c>
      <c r="F7" s="461"/>
      <c r="G7" s="461"/>
      <c r="H7" s="463"/>
      <c r="I7" s="455"/>
    </row>
    <row r="8" spans="1:9" x14ac:dyDescent="0.2">
      <c r="A8" s="464">
        <v>1</v>
      </c>
      <c r="B8" s="300" t="s">
        <v>395</v>
      </c>
      <c r="C8" s="465">
        <v>129495580.02</v>
      </c>
      <c r="D8" s="466">
        <v>0</v>
      </c>
      <c r="E8" s="465">
        <v>0</v>
      </c>
      <c r="F8" s="465">
        <f>'11. CRWA'!S8</f>
        <v>67390880.359999999</v>
      </c>
      <c r="G8" s="467">
        <f>'11. CRWA'!S8-'12. CRM'!V7</f>
        <v>67390880.359999999</v>
      </c>
      <c r="H8" s="468">
        <f>IFERROR(G8/(C8+E8),"")</f>
        <v>0.52041066073136855</v>
      </c>
    </row>
    <row r="9" spans="1:9" ht="15" customHeight="1" x14ac:dyDescent="0.2">
      <c r="A9" s="464">
        <v>2</v>
      </c>
      <c r="B9" s="300" t="s">
        <v>396</v>
      </c>
      <c r="C9" s="465">
        <v>0</v>
      </c>
      <c r="D9" s="466">
        <v>0</v>
      </c>
      <c r="E9" s="465">
        <v>0</v>
      </c>
      <c r="F9" s="465">
        <f>'11. CRWA'!S9</f>
        <v>0</v>
      </c>
      <c r="G9" s="467">
        <f>'11. CRWA'!S9-'12. CRM'!V8</f>
        <v>0</v>
      </c>
      <c r="H9" s="468" t="str">
        <f t="shared" ref="H9:H22" si="0">IFERROR(G9/(C9+E9),"")</f>
        <v/>
      </c>
    </row>
    <row r="10" spans="1:9" x14ac:dyDescent="0.2">
      <c r="A10" s="464">
        <v>3</v>
      </c>
      <c r="B10" s="300" t="s">
        <v>397</v>
      </c>
      <c r="C10" s="465">
        <v>0</v>
      </c>
      <c r="D10" s="466">
        <v>0</v>
      </c>
      <c r="E10" s="465">
        <v>0</v>
      </c>
      <c r="F10" s="465">
        <f>'11. CRWA'!S10</f>
        <v>0</v>
      </c>
      <c r="G10" s="467">
        <f>'11. CRWA'!S10-'12. CRM'!V9</f>
        <v>0</v>
      </c>
      <c r="H10" s="468" t="str">
        <f t="shared" si="0"/>
        <v/>
      </c>
    </row>
    <row r="11" spans="1:9" x14ac:dyDescent="0.2">
      <c r="A11" s="464">
        <v>4</v>
      </c>
      <c r="B11" s="300" t="s">
        <v>398</v>
      </c>
      <c r="C11" s="465">
        <v>0</v>
      </c>
      <c r="D11" s="466">
        <v>0</v>
      </c>
      <c r="E11" s="465">
        <v>0</v>
      </c>
      <c r="F11" s="465">
        <f>'11. CRWA'!S11</f>
        <v>0</v>
      </c>
      <c r="G11" s="467">
        <f>'11. CRWA'!S11-'12. CRM'!V10</f>
        <v>0</v>
      </c>
      <c r="H11" s="468" t="str">
        <f t="shared" si="0"/>
        <v/>
      </c>
    </row>
    <row r="12" spans="1:9" x14ac:dyDescent="0.2">
      <c r="A12" s="464">
        <v>5</v>
      </c>
      <c r="B12" s="300" t="s">
        <v>399</v>
      </c>
      <c r="C12" s="465">
        <v>0</v>
      </c>
      <c r="D12" s="466">
        <v>0</v>
      </c>
      <c r="E12" s="465">
        <v>0</v>
      </c>
      <c r="F12" s="465">
        <f>'11. CRWA'!S12</f>
        <v>0</v>
      </c>
      <c r="G12" s="467">
        <f>'11. CRWA'!S12-'12. CRM'!V11</f>
        <v>0</v>
      </c>
      <c r="H12" s="468" t="str">
        <f t="shared" si="0"/>
        <v/>
      </c>
    </row>
    <row r="13" spans="1:9" x14ac:dyDescent="0.2">
      <c r="A13" s="464">
        <v>6</v>
      </c>
      <c r="B13" s="300" t="s">
        <v>400</v>
      </c>
      <c r="C13" s="465">
        <v>26540701.760000002</v>
      </c>
      <c r="D13" s="466">
        <v>0</v>
      </c>
      <c r="E13" s="465">
        <v>0</v>
      </c>
      <c r="F13" s="465">
        <f>'11. CRWA'!S13</f>
        <v>8565719.4240000006</v>
      </c>
      <c r="G13" s="467">
        <f>'11. CRWA'!S13-'12. CRM'!V12</f>
        <v>8565719.4240000006</v>
      </c>
      <c r="H13" s="468">
        <f t="shared" si="0"/>
        <v>0.32273899542888351</v>
      </c>
    </row>
    <row r="14" spans="1:9" x14ac:dyDescent="0.2">
      <c r="A14" s="464">
        <v>7</v>
      </c>
      <c r="B14" s="300" t="s">
        <v>401</v>
      </c>
      <c r="C14" s="465">
        <v>116766322.19</v>
      </c>
      <c r="D14" s="466">
        <v>55503097.710000001</v>
      </c>
      <c r="E14" s="465">
        <v>28334501.125</v>
      </c>
      <c r="F14" s="465">
        <f>'11. CRWA'!S14</f>
        <v>145100823.315</v>
      </c>
      <c r="G14" s="467">
        <f>'11. CRWA'!S14-'12. CRM'!V13</f>
        <v>123451241.40369999</v>
      </c>
      <c r="H14" s="468">
        <f t="shared" si="0"/>
        <v>0.85079628484050129</v>
      </c>
    </row>
    <row r="15" spans="1:9" x14ac:dyDescent="0.2">
      <c r="A15" s="464">
        <v>8</v>
      </c>
      <c r="B15" s="300" t="s">
        <v>402</v>
      </c>
      <c r="C15" s="465">
        <v>186681644.27000016</v>
      </c>
      <c r="D15" s="466">
        <v>11481666.15000001</v>
      </c>
      <c r="E15" s="465">
        <v>5899908.5789999999</v>
      </c>
      <c r="F15" s="465">
        <f>'11. CRWA'!S15</f>
        <v>144436164.6367501</v>
      </c>
      <c r="G15" s="467">
        <f>'11. CRWA'!S15-'12. CRM'!V14</f>
        <v>142295528.02233762</v>
      </c>
      <c r="H15" s="468">
        <f t="shared" si="0"/>
        <v>0.73888451888176987</v>
      </c>
    </row>
    <row r="16" spans="1:9" x14ac:dyDescent="0.2">
      <c r="A16" s="464">
        <v>9</v>
      </c>
      <c r="B16" s="300" t="s">
        <v>403</v>
      </c>
      <c r="C16" s="465">
        <v>0</v>
      </c>
      <c r="D16" s="466">
        <v>0</v>
      </c>
      <c r="E16" s="465">
        <v>0</v>
      </c>
      <c r="F16" s="465">
        <f>'11. CRWA'!S16</f>
        <v>0</v>
      </c>
      <c r="G16" s="467">
        <f>'11. CRWA'!S16-'12. CRM'!V15</f>
        <v>0</v>
      </c>
      <c r="H16" s="468" t="str">
        <f t="shared" si="0"/>
        <v/>
      </c>
    </row>
    <row r="17" spans="1:8" x14ac:dyDescent="0.2">
      <c r="A17" s="464">
        <v>10</v>
      </c>
      <c r="B17" s="300" t="s">
        <v>404</v>
      </c>
      <c r="C17" s="465">
        <v>18421639.270000011</v>
      </c>
      <c r="D17" s="466">
        <v>0</v>
      </c>
      <c r="E17" s="465">
        <v>0</v>
      </c>
      <c r="F17" s="465">
        <f>'11. CRWA'!S17</f>
        <v>19224819.250000011</v>
      </c>
      <c r="G17" s="467">
        <f>'11. CRWA'!S17-'12. CRM'!V16</f>
        <v>19224819.250000011</v>
      </c>
      <c r="H17" s="468">
        <f t="shared" si="0"/>
        <v>1.0435998104309856</v>
      </c>
    </row>
    <row r="18" spans="1:8" x14ac:dyDescent="0.2">
      <c r="A18" s="464">
        <v>11</v>
      </c>
      <c r="B18" s="300" t="s">
        <v>405</v>
      </c>
      <c r="C18" s="465">
        <v>73624008.340000078</v>
      </c>
      <c r="D18" s="466">
        <v>0</v>
      </c>
      <c r="E18" s="465">
        <v>0</v>
      </c>
      <c r="F18" s="465">
        <f>'11. CRWA'!S18</f>
        <v>85361443.520000115</v>
      </c>
      <c r="G18" s="467">
        <f>'11. CRWA'!S18-'12. CRM'!V17</f>
        <v>85361443.520000115</v>
      </c>
      <c r="H18" s="468">
        <f t="shared" si="0"/>
        <v>1.1594240173096235</v>
      </c>
    </row>
    <row r="19" spans="1:8" x14ac:dyDescent="0.2">
      <c r="A19" s="464">
        <v>12</v>
      </c>
      <c r="B19" s="300" t="s">
        <v>406</v>
      </c>
      <c r="C19" s="465">
        <v>0</v>
      </c>
      <c r="D19" s="466">
        <v>0</v>
      </c>
      <c r="E19" s="465">
        <v>0</v>
      </c>
      <c r="F19" s="465">
        <f>'11. CRWA'!S19</f>
        <v>0</v>
      </c>
      <c r="G19" s="467">
        <f>'11. CRWA'!S19-'12. CRM'!V18</f>
        <v>0</v>
      </c>
      <c r="H19" s="468" t="str">
        <f t="shared" si="0"/>
        <v/>
      </c>
    </row>
    <row r="20" spans="1:8" x14ac:dyDescent="0.2">
      <c r="A20" s="464">
        <v>13</v>
      </c>
      <c r="B20" s="300" t="s">
        <v>407</v>
      </c>
      <c r="C20" s="465">
        <v>0</v>
      </c>
      <c r="D20" s="466">
        <v>0</v>
      </c>
      <c r="E20" s="465">
        <v>0</v>
      </c>
      <c r="F20" s="465">
        <f>'11. CRWA'!S20</f>
        <v>0</v>
      </c>
      <c r="G20" s="467">
        <f>'11. CRWA'!S20-'12. CRM'!V19</f>
        <v>0</v>
      </c>
      <c r="H20" s="468" t="str">
        <f t="shared" si="0"/>
        <v/>
      </c>
    </row>
    <row r="21" spans="1:8" x14ac:dyDescent="0.2">
      <c r="A21" s="464">
        <v>14</v>
      </c>
      <c r="B21" s="300" t="s">
        <v>408</v>
      </c>
      <c r="C21" s="465">
        <v>253143153.47000003</v>
      </c>
      <c r="D21" s="466">
        <v>16762246.019999996</v>
      </c>
      <c r="E21" s="465">
        <v>8582027.8230000008</v>
      </c>
      <c r="F21" s="465">
        <f>'11. CRWA'!S21</f>
        <v>225357002.46700004</v>
      </c>
      <c r="G21" s="467">
        <f>'11. CRWA'!S21-'12. CRM'!V20</f>
        <v>213525118.12060004</v>
      </c>
      <c r="H21" s="468">
        <f t="shared" si="0"/>
        <v>0.81583711993520303</v>
      </c>
    </row>
    <row r="22" spans="1:8" ht="13.5" thickBot="1" x14ac:dyDescent="0.25">
      <c r="A22" s="469"/>
      <c r="B22" s="470" t="s">
        <v>81</v>
      </c>
      <c r="C22" s="415">
        <f>SUM(C8:C21)</f>
        <v>804673049.32000029</v>
      </c>
      <c r="D22" s="415">
        <f>SUM(D8:D21)</f>
        <v>83747009.88000001</v>
      </c>
      <c r="E22" s="415">
        <f>SUM(E8:E21)</f>
        <v>42816437.526999995</v>
      </c>
      <c r="F22" s="415">
        <f>SUM(F8:F21)</f>
        <v>695436852.97275019</v>
      </c>
      <c r="G22" s="415">
        <f>SUM(G8:G21)</f>
        <v>659814750.10063767</v>
      </c>
      <c r="H22" s="471">
        <f t="shared" si="0"/>
        <v>0.7785521358564722</v>
      </c>
    </row>
    <row r="24" spans="1:8" x14ac:dyDescent="0.2">
      <c r="C24" s="197"/>
      <c r="D24" s="197"/>
      <c r="E24" s="197"/>
    </row>
    <row r="25" spans="1:8" x14ac:dyDescent="0.2">
      <c r="C25" s="113"/>
      <c r="D25" s="113"/>
      <c r="E25" s="113"/>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28"/>
  <sheetViews>
    <sheetView zoomScale="90" zoomScaleNormal="90" workbookViewId="0">
      <pane xSplit="2" ySplit="6" topLeftCell="C10" activePane="bottomRight" state="frozen"/>
      <selection activeCell="P24" sqref="P24:Q24"/>
      <selection pane="topRight" activeCell="P24" sqref="P24:Q24"/>
      <selection pane="bottomLeft" activeCell="P24" sqref="P24:Q24"/>
      <selection pane="bottomRight" activeCell="G24" sqref="G24"/>
    </sheetView>
  </sheetViews>
  <sheetFormatPr defaultColWidth="9.140625" defaultRowHeight="12.75" x14ac:dyDescent="0.2"/>
  <cols>
    <col min="1" max="1" width="10.5703125" style="24" bestFit="1" customWidth="1"/>
    <col min="2" max="2" width="104.140625" style="24" customWidth="1"/>
    <col min="3" max="3" width="12.7109375" style="24" customWidth="1"/>
    <col min="4" max="4" width="14.5703125" style="24" bestFit="1" customWidth="1"/>
    <col min="5" max="11" width="12.7109375" style="24" customWidth="1"/>
    <col min="12" max="16384" width="9.140625" style="24"/>
  </cols>
  <sheetData>
    <row r="1" spans="1:11" x14ac:dyDescent="0.2">
      <c r="A1" s="24" t="s">
        <v>29</v>
      </c>
    </row>
    <row r="2" spans="1:11" x14ac:dyDescent="0.2">
      <c r="A2" s="24" t="s">
        <v>31</v>
      </c>
      <c r="B2" s="22"/>
      <c r="C2" s="22"/>
      <c r="D2" s="22"/>
    </row>
    <row r="3" spans="1:11" x14ac:dyDescent="0.2">
      <c r="B3" s="22"/>
      <c r="C3" s="22"/>
      <c r="D3" s="22"/>
    </row>
    <row r="4" spans="1:11" ht="13.5" thickBot="1" x14ac:dyDescent="0.25">
      <c r="A4" s="24" t="s">
        <v>442</v>
      </c>
      <c r="B4" s="450" t="s">
        <v>27</v>
      </c>
      <c r="C4" s="22"/>
      <c r="D4" s="22"/>
    </row>
    <row r="5" spans="1:11" ht="30" customHeight="1" x14ac:dyDescent="0.2">
      <c r="A5" s="472"/>
      <c r="B5" s="473"/>
      <c r="C5" s="474" t="s">
        <v>443</v>
      </c>
      <c r="D5" s="474"/>
      <c r="E5" s="474"/>
      <c r="F5" s="474" t="s">
        <v>444</v>
      </c>
      <c r="G5" s="474"/>
      <c r="H5" s="474"/>
      <c r="I5" s="474" t="s">
        <v>445</v>
      </c>
      <c r="J5" s="474"/>
      <c r="K5" s="475"/>
    </row>
    <row r="6" spans="1:11" x14ac:dyDescent="0.2">
      <c r="A6" s="476"/>
      <c r="B6" s="477"/>
      <c r="C6" s="462" t="s">
        <v>79</v>
      </c>
      <c r="D6" s="462" t="s">
        <v>119</v>
      </c>
      <c r="E6" s="462" t="s">
        <v>81</v>
      </c>
      <c r="F6" s="462" t="s">
        <v>79</v>
      </c>
      <c r="G6" s="462" t="s">
        <v>119</v>
      </c>
      <c r="H6" s="462" t="s">
        <v>81</v>
      </c>
      <c r="I6" s="462" t="s">
        <v>79</v>
      </c>
      <c r="J6" s="462" t="s">
        <v>119</v>
      </c>
      <c r="K6" s="478" t="s">
        <v>81</v>
      </c>
    </row>
    <row r="7" spans="1:11" x14ac:dyDescent="0.2">
      <c r="A7" s="479" t="s">
        <v>446</v>
      </c>
      <c r="B7" s="480"/>
      <c r="C7" s="480"/>
      <c r="D7" s="480"/>
      <c r="E7" s="480"/>
      <c r="F7" s="480"/>
      <c r="G7" s="480"/>
      <c r="H7" s="480"/>
      <c r="I7" s="480"/>
      <c r="J7" s="480"/>
      <c r="K7" s="481"/>
    </row>
    <row r="8" spans="1:11" x14ac:dyDescent="0.2">
      <c r="A8" s="482">
        <v>1</v>
      </c>
      <c r="B8" s="483" t="s">
        <v>446</v>
      </c>
      <c r="C8" s="42"/>
      <c r="D8" s="42"/>
      <c r="E8" s="42"/>
      <c r="F8" s="484">
        <v>50611992.398222223</v>
      </c>
      <c r="G8" s="484">
        <v>99897796.388520554</v>
      </c>
      <c r="H8" s="484">
        <v>150509788.78674278</v>
      </c>
      <c r="I8" s="484">
        <v>49527773.61777778</v>
      </c>
      <c r="J8" s="484">
        <v>93719369.697742224</v>
      </c>
      <c r="K8" s="485">
        <v>143247143.31552002</v>
      </c>
    </row>
    <row r="9" spans="1:11" x14ac:dyDescent="0.2">
      <c r="A9" s="479" t="s">
        <v>447</v>
      </c>
      <c r="B9" s="480"/>
      <c r="C9" s="480"/>
      <c r="D9" s="480"/>
      <c r="E9" s="480"/>
      <c r="F9" s="480"/>
      <c r="G9" s="480"/>
      <c r="H9" s="480"/>
      <c r="I9" s="480"/>
      <c r="J9" s="480"/>
      <c r="K9" s="481"/>
    </row>
    <row r="10" spans="1:11" x14ac:dyDescent="0.2">
      <c r="A10" s="160">
        <v>2</v>
      </c>
      <c r="B10" s="486" t="s">
        <v>448</v>
      </c>
      <c r="C10" s="487">
        <v>27964617.853577662</v>
      </c>
      <c r="D10" s="488">
        <v>164560294.75026512</v>
      </c>
      <c r="E10" s="488">
        <f>SUM(C10:D10)</f>
        <v>192524912.60384279</v>
      </c>
      <c r="F10" s="488">
        <v>5648353.0827410109</v>
      </c>
      <c r="G10" s="488">
        <v>31180853.222321138</v>
      </c>
      <c r="H10" s="488">
        <f>SUM(F10:G10)</f>
        <v>36829206.305062145</v>
      </c>
      <c r="I10" s="488">
        <v>1420896.1985675495</v>
      </c>
      <c r="J10" s="488">
        <v>7614143.1853287816</v>
      </c>
      <c r="K10" s="489">
        <f>SUM(I10:J10)</f>
        <v>9035039.3838963304</v>
      </c>
    </row>
    <row r="11" spans="1:11" x14ac:dyDescent="0.2">
      <c r="A11" s="160">
        <v>3</v>
      </c>
      <c r="B11" s="486" t="s">
        <v>449</v>
      </c>
      <c r="C11" s="487">
        <v>207555681.43288893</v>
      </c>
      <c r="D11" s="490">
        <v>233649240.11774892</v>
      </c>
      <c r="E11" s="488">
        <f t="shared" ref="E11:E21" si="0">SUM(C11:D11)</f>
        <v>441204921.55063784</v>
      </c>
      <c r="F11" s="488">
        <v>54952758.840987056</v>
      </c>
      <c r="G11" s="488">
        <v>69523022.206187308</v>
      </c>
      <c r="H11" s="488">
        <f t="shared" ref="H11:H21" si="1">SUM(F11:G11)</f>
        <v>124475781.04717436</v>
      </c>
      <c r="I11" s="488">
        <v>48139862.529770002</v>
      </c>
      <c r="J11" s="488">
        <v>56855172.447442822</v>
      </c>
      <c r="K11" s="489">
        <f t="shared" ref="K11:K16" si="2">SUM(I11:J11)</f>
        <v>104995034.97721282</v>
      </c>
    </row>
    <row r="12" spans="1:11" x14ac:dyDescent="0.2">
      <c r="A12" s="160">
        <v>4</v>
      </c>
      <c r="B12" s="486" t="s">
        <v>450</v>
      </c>
      <c r="C12" s="487">
        <v>26300000</v>
      </c>
      <c r="D12" s="488">
        <v>0</v>
      </c>
      <c r="E12" s="488">
        <f t="shared" si="0"/>
        <v>26300000</v>
      </c>
      <c r="F12" s="488">
        <v>0</v>
      </c>
      <c r="G12" s="488">
        <v>0</v>
      </c>
      <c r="H12" s="488">
        <f t="shared" si="1"/>
        <v>0</v>
      </c>
      <c r="I12" s="488">
        <v>0</v>
      </c>
      <c r="J12" s="488">
        <v>0</v>
      </c>
      <c r="K12" s="489">
        <f t="shared" si="2"/>
        <v>0</v>
      </c>
    </row>
    <row r="13" spans="1:11" x14ac:dyDescent="0.2">
      <c r="A13" s="160">
        <v>5</v>
      </c>
      <c r="B13" s="486" t="s">
        <v>451</v>
      </c>
      <c r="C13" s="487">
        <v>47066649.877111115</v>
      </c>
      <c r="D13" s="488">
        <v>29403326.517151114</v>
      </c>
      <c r="E13" s="488">
        <f t="shared" si="0"/>
        <v>76469976.394262224</v>
      </c>
      <c r="F13" s="488">
        <v>5950605.3759066667</v>
      </c>
      <c r="G13" s="488">
        <v>4466878.7784332726</v>
      </c>
      <c r="H13" s="488">
        <f t="shared" si="1"/>
        <v>10417484.154339939</v>
      </c>
      <c r="I13" s="488">
        <v>2525426.2687333333</v>
      </c>
      <c r="J13" s="488">
        <v>1838212.0360186668</v>
      </c>
      <c r="K13" s="489">
        <f t="shared" si="2"/>
        <v>4363638.3047519997</v>
      </c>
    </row>
    <row r="14" spans="1:11" x14ac:dyDescent="0.2">
      <c r="A14" s="160">
        <v>6</v>
      </c>
      <c r="B14" s="486" t="s">
        <v>452</v>
      </c>
      <c r="C14" s="487">
        <v>4359888.1905555557</v>
      </c>
      <c r="D14" s="488">
        <v>1581331.4707033334</v>
      </c>
      <c r="E14" s="488">
        <f t="shared" si="0"/>
        <v>5941219.6612588894</v>
      </c>
      <c r="F14" s="488">
        <v>0</v>
      </c>
      <c r="G14" s="488">
        <v>0</v>
      </c>
      <c r="H14" s="488">
        <f t="shared" si="1"/>
        <v>0</v>
      </c>
      <c r="I14" s="488">
        <v>0</v>
      </c>
      <c r="J14" s="488">
        <v>0</v>
      </c>
      <c r="K14" s="489">
        <f t="shared" si="2"/>
        <v>0</v>
      </c>
    </row>
    <row r="15" spans="1:11" x14ac:dyDescent="0.2">
      <c r="A15" s="160">
        <v>7</v>
      </c>
      <c r="B15" s="486" t="s">
        <v>453</v>
      </c>
      <c r="C15" s="487">
        <v>2376061.9857777781</v>
      </c>
      <c r="D15" s="488">
        <v>7309361.2917777793</v>
      </c>
      <c r="E15" s="488">
        <f t="shared" si="0"/>
        <v>9685423.277555557</v>
      </c>
      <c r="F15" s="488">
        <v>1026756.7238888886</v>
      </c>
      <c r="G15" s="488">
        <v>5883079.5141433328</v>
      </c>
      <c r="H15" s="488">
        <f t="shared" si="1"/>
        <v>6909836.2380322218</v>
      </c>
      <c r="I15" s="488">
        <v>1026756.7238888886</v>
      </c>
      <c r="J15" s="488">
        <v>5883079.5141433328</v>
      </c>
      <c r="K15" s="489">
        <f t="shared" si="2"/>
        <v>6909836.2380322218</v>
      </c>
    </row>
    <row r="16" spans="1:11" x14ac:dyDescent="0.2">
      <c r="A16" s="160">
        <v>8</v>
      </c>
      <c r="B16" s="491" t="s">
        <v>454</v>
      </c>
      <c r="C16" s="487">
        <f>SUM(C10:C15)</f>
        <v>315622899.3399111</v>
      </c>
      <c r="D16" s="488">
        <f>SUM(D10:D15)</f>
        <v>436503554.14764625</v>
      </c>
      <c r="E16" s="488">
        <f t="shared" si="0"/>
        <v>752126453.48755741</v>
      </c>
      <c r="F16" s="488">
        <f>SUM(F10:F15)</f>
        <v>67578474.023523614</v>
      </c>
      <c r="G16" s="488">
        <f>SUM(G10:G15)</f>
        <v>111053833.72108506</v>
      </c>
      <c r="H16" s="488">
        <f t="shared" si="1"/>
        <v>178632307.74460867</v>
      </c>
      <c r="I16" s="488">
        <f>SUM(I10:I15)</f>
        <v>53112941.720959768</v>
      </c>
      <c r="J16" s="488">
        <f>SUM(J10:J15)</f>
        <v>72190607.182933599</v>
      </c>
      <c r="K16" s="489">
        <f t="shared" si="2"/>
        <v>125303548.90389337</v>
      </c>
    </row>
    <row r="17" spans="1:11" x14ac:dyDescent="0.2">
      <c r="A17" s="479" t="s">
        <v>455</v>
      </c>
      <c r="B17" s="480"/>
      <c r="C17" s="492"/>
      <c r="D17" s="492"/>
      <c r="E17" s="492"/>
      <c r="F17" s="492"/>
      <c r="G17" s="492"/>
      <c r="H17" s="492"/>
      <c r="I17" s="492"/>
      <c r="J17" s="492"/>
      <c r="K17" s="493"/>
    </row>
    <row r="18" spans="1:11" x14ac:dyDescent="0.2">
      <c r="A18" s="160">
        <v>9</v>
      </c>
      <c r="B18" s="486" t="s">
        <v>456</v>
      </c>
      <c r="C18" s="487">
        <v>0</v>
      </c>
      <c r="D18" s="488">
        <v>0</v>
      </c>
      <c r="E18" s="488">
        <f t="shared" si="0"/>
        <v>0</v>
      </c>
      <c r="F18" s="488">
        <v>0</v>
      </c>
      <c r="G18" s="488">
        <v>0</v>
      </c>
      <c r="H18" s="488">
        <f t="shared" si="1"/>
        <v>0</v>
      </c>
      <c r="I18" s="488">
        <v>0</v>
      </c>
      <c r="J18" s="488">
        <v>0</v>
      </c>
      <c r="K18" s="489">
        <f>SUM(I18:J18)</f>
        <v>0</v>
      </c>
    </row>
    <row r="19" spans="1:11" x14ac:dyDescent="0.2">
      <c r="A19" s="160">
        <v>10</v>
      </c>
      <c r="B19" s="486" t="s">
        <v>457</v>
      </c>
      <c r="C19" s="487">
        <v>208648694.5193311</v>
      </c>
      <c r="D19" s="488">
        <v>325700159.02609009</v>
      </c>
      <c r="E19" s="488">
        <f t="shared" si="0"/>
        <v>534348853.54542118</v>
      </c>
      <c r="F19" s="488">
        <v>16970998.693425555</v>
      </c>
      <c r="G19" s="488">
        <v>20444407.388765</v>
      </c>
      <c r="H19" s="488">
        <f t="shared" si="1"/>
        <v>37415406.082190558</v>
      </c>
      <c r="I19" s="488">
        <v>18055217.473869998</v>
      </c>
      <c r="J19" s="488">
        <v>44604840.976585001</v>
      </c>
      <c r="K19" s="489">
        <f>SUM(I19:J19)</f>
        <v>62660058.450454995</v>
      </c>
    </row>
    <row r="20" spans="1:11" x14ac:dyDescent="0.2">
      <c r="A20" s="160">
        <v>11</v>
      </c>
      <c r="B20" s="486" t="s">
        <v>458</v>
      </c>
      <c r="C20" s="487">
        <v>796599.69222222222</v>
      </c>
      <c r="D20" s="488">
        <v>784310.06728666672</v>
      </c>
      <c r="E20" s="488">
        <f t="shared" si="0"/>
        <v>1580909.7595088889</v>
      </c>
      <c r="F20" s="488">
        <v>348779.1535555555</v>
      </c>
      <c r="G20" s="488">
        <v>709650.99062555551</v>
      </c>
      <c r="H20" s="488">
        <f t="shared" si="1"/>
        <v>1058430.1441811109</v>
      </c>
      <c r="I20" s="488">
        <v>348779.1535555555</v>
      </c>
      <c r="J20" s="488">
        <v>709650.99062555551</v>
      </c>
      <c r="K20" s="489">
        <f>SUM(I20:J20)</f>
        <v>1058430.1441811109</v>
      </c>
    </row>
    <row r="21" spans="1:11" ht="13.5" thickBot="1" x14ac:dyDescent="0.25">
      <c r="A21" s="167">
        <v>12</v>
      </c>
      <c r="B21" s="494" t="s">
        <v>459</v>
      </c>
      <c r="C21" s="495">
        <f>SUM(C18:C20)</f>
        <v>209445294.21155331</v>
      </c>
      <c r="D21" s="495">
        <f>SUM(D18:D20)</f>
        <v>326484469.09337676</v>
      </c>
      <c r="E21" s="495">
        <f t="shared" si="0"/>
        <v>535929763.30493009</v>
      </c>
      <c r="F21" s="496">
        <f>SUM(F18:F20)</f>
        <v>17319777.846981112</v>
      </c>
      <c r="G21" s="496">
        <f>SUM(G18:G20)</f>
        <v>21154058.379390556</v>
      </c>
      <c r="H21" s="488">
        <f t="shared" si="1"/>
        <v>38473836.226371668</v>
      </c>
      <c r="I21" s="496">
        <f>SUM(I18:I20)</f>
        <v>18403996.627425555</v>
      </c>
      <c r="J21" s="496">
        <f>SUM(J18:J20)</f>
        <v>45314491.967210554</v>
      </c>
      <c r="K21" s="489">
        <f>SUM(I21:J21)</f>
        <v>63718488.594636112</v>
      </c>
    </row>
    <row r="22" spans="1:11" ht="38.25" customHeight="1" thickBot="1" x14ac:dyDescent="0.25">
      <c r="A22" s="497"/>
      <c r="B22" s="498"/>
      <c r="C22" s="498"/>
      <c r="D22" s="498"/>
      <c r="E22" s="498"/>
      <c r="F22" s="499" t="s">
        <v>460</v>
      </c>
      <c r="G22" s="474"/>
      <c r="H22" s="474"/>
      <c r="I22" s="499" t="s">
        <v>461</v>
      </c>
      <c r="J22" s="474"/>
      <c r="K22" s="475"/>
    </row>
    <row r="23" spans="1:11" x14ac:dyDescent="0.2">
      <c r="A23" s="500">
        <v>13</v>
      </c>
      <c r="B23" s="501" t="s">
        <v>446</v>
      </c>
      <c r="C23" s="502"/>
      <c r="D23" s="502"/>
      <c r="E23" s="502"/>
      <c r="F23" s="503">
        <f t="shared" ref="F23:K23" si="3">F8</f>
        <v>50611992.398222223</v>
      </c>
      <c r="G23" s="503">
        <f t="shared" si="3"/>
        <v>99897796.388520554</v>
      </c>
      <c r="H23" s="503">
        <f t="shared" si="3"/>
        <v>150509788.78674278</v>
      </c>
      <c r="I23" s="503">
        <f t="shared" si="3"/>
        <v>49527773.61777778</v>
      </c>
      <c r="J23" s="503">
        <f t="shared" si="3"/>
        <v>93719369.697742224</v>
      </c>
      <c r="K23" s="504">
        <f t="shared" si="3"/>
        <v>143247143.31552002</v>
      </c>
    </row>
    <row r="24" spans="1:11" ht="13.5" thickBot="1" x14ac:dyDescent="0.25">
      <c r="A24" s="505">
        <v>14</v>
      </c>
      <c r="B24" s="506" t="s">
        <v>462</v>
      </c>
      <c r="C24" s="507"/>
      <c r="D24" s="508"/>
      <c r="E24" s="509"/>
      <c r="F24" s="510">
        <f t="shared" ref="F24:K24" si="4">MAX(F16-F21,F16*0.25)</f>
        <v>50258696.176542506</v>
      </c>
      <c r="G24" s="510">
        <f t="shared" si="4"/>
        <v>89899775.341694504</v>
      </c>
      <c r="H24" s="510">
        <f t="shared" si="4"/>
        <v>140158471.51823699</v>
      </c>
      <c r="I24" s="510">
        <f t="shared" si="4"/>
        <v>34708945.093534216</v>
      </c>
      <c r="J24" s="510">
        <f t="shared" si="4"/>
        <v>26876115.215723045</v>
      </c>
      <c r="K24" s="511">
        <f t="shared" si="4"/>
        <v>61585060.309257254</v>
      </c>
    </row>
    <row r="25" spans="1:11" ht="13.5" thickBot="1" x14ac:dyDescent="0.25">
      <c r="A25" s="512">
        <v>15</v>
      </c>
      <c r="B25" s="513" t="s">
        <v>70</v>
      </c>
      <c r="C25" s="514"/>
      <c r="D25" s="514"/>
      <c r="E25" s="514"/>
      <c r="F25" s="515">
        <f t="shared" ref="F25:K25" si="5">F23/F24</f>
        <v>1.00702955405844</v>
      </c>
      <c r="G25" s="515">
        <f t="shared" si="5"/>
        <v>1.1112129703197275</v>
      </c>
      <c r="H25" s="515">
        <f t="shared" si="5"/>
        <v>1.0738543818035209</v>
      </c>
      <c r="I25" s="516">
        <f t="shared" si="5"/>
        <v>1.4269455174828722</v>
      </c>
      <c r="J25" s="516">
        <f t="shared" si="5"/>
        <v>3.4870876592653759</v>
      </c>
      <c r="K25" s="517">
        <f t="shared" si="5"/>
        <v>2.326004758234971</v>
      </c>
    </row>
    <row r="28" spans="1:11" ht="38.25" x14ac:dyDescent="0.2">
      <c r="B28" s="518" t="s">
        <v>463</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tabSelected="1" zoomScaleNormal="100" workbookViewId="0">
      <pane xSplit="1" ySplit="5" topLeftCell="B6" activePane="bottomRight" state="frozen"/>
      <selection activeCell="P24" sqref="P24:Q24"/>
      <selection pane="topRight" activeCell="P24" sqref="P24:Q24"/>
      <selection pane="bottomLeft" activeCell="P24" sqref="P24:Q24"/>
      <selection pane="bottomRight" activeCell="F29" sqref="F29"/>
    </sheetView>
  </sheetViews>
  <sheetFormatPr defaultColWidth="9.140625" defaultRowHeight="15" x14ac:dyDescent="0.3"/>
  <cols>
    <col min="1" max="1" width="10.5703125" style="350" bestFit="1" customWidth="1"/>
    <col min="2" max="2" width="95" style="350" customWidth="1"/>
    <col min="3" max="3" width="14.7109375" style="350" bestFit="1" customWidth="1"/>
    <col min="4" max="4" width="10" style="350" bestFit="1" customWidth="1"/>
    <col min="5" max="5" width="18.28515625" style="350" bestFit="1" customWidth="1"/>
    <col min="6" max="10" width="4.85546875" style="350" bestFit="1" customWidth="1"/>
    <col min="11" max="11" width="11" style="350" bestFit="1" customWidth="1"/>
    <col min="12" max="13" width="5.7109375" style="350" bestFit="1" customWidth="1"/>
    <col min="14" max="14" width="31" style="350" bestFit="1" customWidth="1"/>
    <col min="15" max="16384" width="9.140625" style="134"/>
  </cols>
  <sheetData>
    <row r="1" spans="1:15" x14ac:dyDescent="0.3">
      <c r="A1" s="350" t="s">
        <v>464</v>
      </c>
      <c r="B1" s="24" t="str">
        <f>'1. key ratios'!B1</f>
        <v>სს ტერაბანკი</v>
      </c>
    </row>
    <row r="2" spans="1:15" ht="14.25" customHeight="1" x14ac:dyDescent="0.3">
      <c r="A2" s="350" t="s">
        <v>31</v>
      </c>
      <c r="B2" s="84">
        <f>'1. key ratios'!B2</f>
        <v>43190</v>
      </c>
    </row>
    <row r="3" spans="1:15" ht="14.25" customHeight="1" x14ac:dyDescent="0.3"/>
    <row r="4" spans="1:15" ht="15.75" thickBot="1" x14ac:dyDescent="0.35">
      <c r="A4" s="24" t="s">
        <v>465</v>
      </c>
      <c r="B4" s="519" t="s">
        <v>28</v>
      </c>
    </row>
    <row r="5" spans="1:15" s="524" customFormat="1" ht="12.75" x14ac:dyDescent="0.2">
      <c r="A5" s="520"/>
      <c r="B5" s="521"/>
      <c r="C5" s="522" t="s">
        <v>258</v>
      </c>
      <c r="D5" s="522" t="s">
        <v>259</v>
      </c>
      <c r="E5" s="522" t="s">
        <v>260</v>
      </c>
      <c r="F5" s="522" t="s">
        <v>377</v>
      </c>
      <c r="G5" s="522" t="s">
        <v>378</v>
      </c>
      <c r="H5" s="522" t="s">
        <v>379</v>
      </c>
      <c r="I5" s="522" t="s">
        <v>380</v>
      </c>
      <c r="J5" s="522" t="s">
        <v>381</v>
      </c>
      <c r="K5" s="522" t="s">
        <v>382</v>
      </c>
      <c r="L5" s="522" t="s">
        <v>383</v>
      </c>
      <c r="M5" s="522" t="s">
        <v>384</v>
      </c>
      <c r="N5" s="523" t="s">
        <v>385</v>
      </c>
    </row>
    <row r="6" spans="1:15" ht="45" x14ac:dyDescent="0.3">
      <c r="A6" s="525"/>
      <c r="B6" s="526"/>
      <c r="C6" s="527" t="s">
        <v>466</v>
      </c>
      <c r="D6" s="528" t="s">
        <v>467</v>
      </c>
      <c r="E6" s="529" t="s">
        <v>468</v>
      </c>
      <c r="F6" s="530">
        <v>0</v>
      </c>
      <c r="G6" s="530">
        <v>0.2</v>
      </c>
      <c r="H6" s="530">
        <v>0.35</v>
      </c>
      <c r="I6" s="530">
        <v>0.5</v>
      </c>
      <c r="J6" s="530">
        <v>0.75</v>
      </c>
      <c r="K6" s="530">
        <v>1</v>
      </c>
      <c r="L6" s="530">
        <v>1.5</v>
      </c>
      <c r="M6" s="530">
        <v>2.5</v>
      </c>
      <c r="N6" s="531" t="s">
        <v>28</v>
      </c>
    </row>
    <row r="7" spans="1:15" x14ac:dyDescent="0.3">
      <c r="A7" s="532">
        <v>1</v>
      </c>
      <c r="B7" s="533" t="s">
        <v>469</v>
      </c>
      <c r="C7" s="534">
        <f>SUM(C8:C13)</f>
        <v>37852963.200000003</v>
      </c>
      <c r="D7" s="535"/>
      <c r="E7" s="536">
        <f>SUM(E8:E12)</f>
        <v>757059.26400000008</v>
      </c>
      <c r="F7" s="537">
        <v>0</v>
      </c>
      <c r="G7" s="537">
        <v>0</v>
      </c>
      <c r="H7" s="537">
        <v>0</v>
      </c>
      <c r="I7" s="537">
        <v>0</v>
      </c>
      <c r="J7" s="537">
        <v>0</v>
      </c>
      <c r="K7" s="537">
        <v>757059.26400000008</v>
      </c>
      <c r="L7" s="537">
        <v>0</v>
      </c>
      <c r="M7" s="537">
        <v>0</v>
      </c>
      <c r="N7" s="538">
        <v>757059.26400000008</v>
      </c>
      <c r="O7" s="539"/>
    </row>
    <row r="8" spans="1:15" x14ac:dyDescent="0.3">
      <c r="A8" s="532">
        <v>1.1000000000000001</v>
      </c>
      <c r="B8" s="540" t="s">
        <v>470</v>
      </c>
      <c r="C8" s="537">
        <v>37852963.200000003</v>
      </c>
      <c r="D8" s="541">
        <v>0.02</v>
      </c>
      <c r="E8" s="536">
        <f>C8*D8</f>
        <v>757059.26400000008</v>
      </c>
      <c r="F8" s="537">
        <v>0</v>
      </c>
      <c r="G8" s="537">
        <v>0</v>
      </c>
      <c r="H8" s="537">
        <v>0</v>
      </c>
      <c r="I8" s="537">
        <v>0</v>
      </c>
      <c r="J8" s="537">
        <v>0</v>
      </c>
      <c r="K8" s="537">
        <v>757059.26400000008</v>
      </c>
      <c r="L8" s="537">
        <v>0</v>
      </c>
      <c r="M8" s="537">
        <v>0</v>
      </c>
      <c r="N8" s="538">
        <v>757059.26400000008</v>
      </c>
      <c r="O8" s="539"/>
    </row>
    <row r="9" spans="1:15" x14ac:dyDescent="0.3">
      <c r="A9" s="532">
        <v>1.2</v>
      </c>
      <c r="B9" s="540" t="s">
        <v>471</v>
      </c>
      <c r="C9" s="537">
        <v>0</v>
      </c>
      <c r="D9" s="541">
        <v>0.05</v>
      </c>
      <c r="E9" s="536">
        <f>C9*D9</f>
        <v>0</v>
      </c>
      <c r="F9" s="537">
        <v>0</v>
      </c>
      <c r="G9" s="537">
        <v>0</v>
      </c>
      <c r="H9" s="537">
        <v>0</v>
      </c>
      <c r="I9" s="537">
        <v>0</v>
      </c>
      <c r="J9" s="537">
        <v>0</v>
      </c>
      <c r="K9" s="537">
        <v>0</v>
      </c>
      <c r="L9" s="537">
        <v>0</v>
      </c>
      <c r="M9" s="537">
        <v>0</v>
      </c>
      <c r="N9" s="538">
        <v>0</v>
      </c>
      <c r="O9" s="539"/>
    </row>
    <row r="10" spans="1:15" x14ac:dyDescent="0.3">
      <c r="A10" s="532">
        <v>1.3</v>
      </c>
      <c r="B10" s="540" t="s">
        <v>472</v>
      </c>
      <c r="C10" s="537">
        <v>0</v>
      </c>
      <c r="D10" s="541">
        <v>0.08</v>
      </c>
      <c r="E10" s="536">
        <f>C10*D10</f>
        <v>0</v>
      </c>
      <c r="F10" s="537">
        <v>0</v>
      </c>
      <c r="G10" s="537">
        <v>0</v>
      </c>
      <c r="H10" s="537">
        <v>0</v>
      </c>
      <c r="I10" s="537">
        <v>0</v>
      </c>
      <c r="J10" s="537">
        <v>0</v>
      </c>
      <c r="K10" s="537">
        <v>0</v>
      </c>
      <c r="L10" s="537">
        <v>0</v>
      </c>
      <c r="M10" s="537">
        <v>0</v>
      </c>
      <c r="N10" s="538">
        <v>0</v>
      </c>
      <c r="O10" s="539"/>
    </row>
    <row r="11" spans="1:15" x14ac:dyDescent="0.3">
      <c r="A11" s="532">
        <v>1.4</v>
      </c>
      <c r="B11" s="540" t="s">
        <v>473</v>
      </c>
      <c r="C11" s="537">
        <v>0</v>
      </c>
      <c r="D11" s="541">
        <v>0.11</v>
      </c>
      <c r="E11" s="536">
        <f>C11*D11</f>
        <v>0</v>
      </c>
      <c r="F11" s="537">
        <v>0</v>
      </c>
      <c r="G11" s="537">
        <v>0</v>
      </c>
      <c r="H11" s="537">
        <v>0</v>
      </c>
      <c r="I11" s="537">
        <v>0</v>
      </c>
      <c r="J11" s="537">
        <v>0</v>
      </c>
      <c r="K11" s="537">
        <v>0</v>
      </c>
      <c r="L11" s="537">
        <v>0</v>
      </c>
      <c r="M11" s="537">
        <v>0</v>
      </c>
      <c r="N11" s="538">
        <v>0</v>
      </c>
      <c r="O11" s="539"/>
    </row>
    <row r="12" spans="1:15" x14ac:dyDescent="0.3">
      <c r="A12" s="532">
        <v>1.5</v>
      </c>
      <c r="B12" s="540" t="s">
        <v>474</v>
      </c>
      <c r="C12" s="537">
        <v>0</v>
      </c>
      <c r="D12" s="541">
        <v>0.14000000000000001</v>
      </c>
      <c r="E12" s="536">
        <f>C12*D12</f>
        <v>0</v>
      </c>
      <c r="F12" s="537">
        <v>0</v>
      </c>
      <c r="G12" s="537">
        <v>0</v>
      </c>
      <c r="H12" s="537">
        <v>0</v>
      </c>
      <c r="I12" s="537">
        <v>0</v>
      </c>
      <c r="J12" s="537">
        <v>0</v>
      </c>
      <c r="K12" s="537">
        <v>0</v>
      </c>
      <c r="L12" s="537">
        <v>0</v>
      </c>
      <c r="M12" s="537">
        <v>0</v>
      </c>
      <c r="N12" s="538">
        <v>0</v>
      </c>
      <c r="O12" s="539"/>
    </row>
    <row r="13" spans="1:15" x14ac:dyDescent="0.3">
      <c r="A13" s="532">
        <v>1.6</v>
      </c>
      <c r="B13" s="542" t="s">
        <v>475</v>
      </c>
      <c r="C13" s="537">
        <v>0</v>
      </c>
      <c r="D13" s="543"/>
      <c r="E13" s="537"/>
      <c r="F13" s="537">
        <v>0</v>
      </c>
      <c r="G13" s="537">
        <v>0</v>
      </c>
      <c r="H13" s="537">
        <v>0</v>
      </c>
      <c r="I13" s="537">
        <v>0</v>
      </c>
      <c r="J13" s="537">
        <v>0</v>
      </c>
      <c r="K13" s="537">
        <v>0</v>
      </c>
      <c r="L13" s="537">
        <v>0</v>
      </c>
      <c r="M13" s="537">
        <v>0</v>
      </c>
      <c r="N13" s="538">
        <v>0</v>
      </c>
      <c r="O13" s="539"/>
    </row>
    <row r="14" spans="1:15" x14ac:dyDescent="0.3">
      <c r="A14" s="532">
        <v>2</v>
      </c>
      <c r="B14" s="544" t="s">
        <v>476</v>
      </c>
      <c r="C14" s="534">
        <f>SUM(C15:C20)</f>
        <v>0</v>
      </c>
      <c r="D14" s="535"/>
      <c r="E14" s="536">
        <f>SUM(E15:E19)</f>
        <v>0</v>
      </c>
      <c r="F14" s="537">
        <v>0</v>
      </c>
      <c r="G14" s="537">
        <v>0</v>
      </c>
      <c r="H14" s="537">
        <v>0</v>
      </c>
      <c r="I14" s="537">
        <v>0</v>
      </c>
      <c r="J14" s="537">
        <v>0</v>
      </c>
      <c r="K14" s="537">
        <v>0</v>
      </c>
      <c r="L14" s="537">
        <v>0</v>
      </c>
      <c r="M14" s="537">
        <v>0</v>
      </c>
      <c r="N14" s="538">
        <v>0</v>
      </c>
      <c r="O14" s="539"/>
    </row>
    <row r="15" spans="1:15" x14ac:dyDescent="0.3">
      <c r="A15" s="532">
        <v>2.1</v>
      </c>
      <c r="B15" s="542" t="s">
        <v>470</v>
      </c>
      <c r="C15" s="537">
        <v>0</v>
      </c>
      <c r="D15" s="541">
        <v>5.0000000000000001E-3</v>
      </c>
      <c r="E15" s="536">
        <f>D15*C15</f>
        <v>0</v>
      </c>
      <c r="F15" s="537">
        <v>0</v>
      </c>
      <c r="G15" s="537">
        <v>0</v>
      </c>
      <c r="H15" s="537">
        <v>0</v>
      </c>
      <c r="I15" s="537">
        <v>0</v>
      </c>
      <c r="J15" s="537">
        <v>0</v>
      </c>
      <c r="K15" s="537">
        <v>0</v>
      </c>
      <c r="L15" s="537">
        <v>0</v>
      </c>
      <c r="M15" s="537">
        <v>0</v>
      </c>
      <c r="N15" s="538">
        <v>0</v>
      </c>
      <c r="O15" s="539"/>
    </row>
    <row r="16" spans="1:15" x14ac:dyDescent="0.3">
      <c r="A16" s="532">
        <v>2.2000000000000002</v>
      </c>
      <c r="B16" s="542" t="s">
        <v>471</v>
      </c>
      <c r="C16" s="537">
        <v>0</v>
      </c>
      <c r="D16" s="541">
        <v>0.01</v>
      </c>
      <c r="E16" s="536">
        <f>D16*C16</f>
        <v>0</v>
      </c>
      <c r="F16" s="537">
        <v>0</v>
      </c>
      <c r="G16" s="537">
        <v>0</v>
      </c>
      <c r="H16" s="537">
        <v>0</v>
      </c>
      <c r="I16" s="537">
        <v>0</v>
      </c>
      <c r="J16" s="537">
        <v>0</v>
      </c>
      <c r="K16" s="537">
        <v>0</v>
      </c>
      <c r="L16" s="537">
        <v>0</v>
      </c>
      <c r="M16" s="537">
        <v>0</v>
      </c>
      <c r="N16" s="538">
        <v>0</v>
      </c>
      <c r="O16" s="539"/>
    </row>
    <row r="17" spans="1:15" x14ac:dyDescent="0.3">
      <c r="A17" s="532">
        <v>2.2999999999999998</v>
      </c>
      <c r="B17" s="542" t="s">
        <v>472</v>
      </c>
      <c r="C17" s="537">
        <v>0</v>
      </c>
      <c r="D17" s="541">
        <v>0.02</v>
      </c>
      <c r="E17" s="536">
        <f>D17*C17</f>
        <v>0</v>
      </c>
      <c r="F17" s="537">
        <v>0</v>
      </c>
      <c r="G17" s="537">
        <v>0</v>
      </c>
      <c r="H17" s="537">
        <v>0</v>
      </c>
      <c r="I17" s="537">
        <v>0</v>
      </c>
      <c r="J17" s="537">
        <v>0</v>
      </c>
      <c r="K17" s="537">
        <v>0</v>
      </c>
      <c r="L17" s="537">
        <v>0</v>
      </c>
      <c r="M17" s="537">
        <v>0</v>
      </c>
      <c r="N17" s="538">
        <v>0</v>
      </c>
      <c r="O17" s="539"/>
    </row>
    <row r="18" spans="1:15" x14ac:dyDescent="0.3">
      <c r="A18" s="532">
        <v>2.4</v>
      </c>
      <c r="B18" s="542" t="s">
        <v>473</v>
      </c>
      <c r="C18" s="537">
        <v>0</v>
      </c>
      <c r="D18" s="541">
        <v>0.03</v>
      </c>
      <c r="E18" s="536">
        <f>D18*C18</f>
        <v>0</v>
      </c>
      <c r="F18" s="537">
        <v>0</v>
      </c>
      <c r="G18" s="537">
        <v>0</v>
      </c>
      <c r="H18" s="537">
        <v>0</v>
      </c>
      <c r="I18" s="537">
        <v>0</v>
      </c>
      <c r="J18" s="537">
        <v>0</v>
      </c>
      <c r="K18" s="537">
        <v>0</v>
      </c>
      <c r="L18" s="537">
        <v>0</v>
      </c>
      <c r="M18" s="537">
        <v>0</v>
      </c>
      <c r="N18" s="538">
        <v>0</v>
      </c>
      <c r="O18" s="539"/>
    </row>
    <row r="19" spans="1:15" x14ac:dyDescent="0.3">
      <c r="A19" s="532">
        <v>2.5</v>
      </c>
      <c r="B19" s="542" t="s">
        <v>474</v>
      </c>
      <c r="C19" s="537">
        <v>0</v>
      </c>
      <c r="D19" s="541">
        <v>0.04</v>
      </c>
      <c r="E19" s="536">
        <f>D19*C19</f>
        <v>0</v>
      </c>
      <c r="F19" s="537">
        <v>0</v>
      </c>
      <c r="G19" s="537">
        <v>0</v>
      </c>
      <c r="H19" s="537">
        <v>0</v>
      </c>
      <c r="I19" s="537">
        <v>0</v>
      </c>
      <c r="J19" s="537">
        <v>0</v>
      </c>
      <c r="K19" s="537">
        <v>0</v>
      </c>
      <c r="L19" s="537">
        <v>0</v>
      </c>
      <c r="M19" s="537">
        <v>0</v>
      </c>
      <c r="N19" s="538">
        <v>0</v>
      </c>
      <c r="O19" s="539"/>
    </row>
    <row r="20" spans="1:15" x14ac:dyDescent="0.3">
      <c r="A20" s="532">
        <v>2.6</v>
      </c>
      <c r="B20" s="542" t="s">
        <v>475</v>
      </c>
      <c r="C20" s="537">
        <v>0</v>
      </c>
      <c r="D20" s="543"/>
      <c r="E20" s="545"/>
      <c r="F20" s="537">
        <v>0</v>
      </c>
      <c r="G20" s="537">
        <v>0</v>
      </c>
      <c r="H20" s="537">
        <v>0</v>
      </c>
      <c r="I20" s="537">
        <v>0</v>
      </c>
      <c r="J20" s="537">
        <v>0</v>
      </c>
      <c r="K20" s="537">
        <v>0</v>
      </c>
      <c r="L20" s="537">
        <v>0</v>
      </c>
      <c r="M20" s="537">
        <v>0</v>
      </c>
      <c r="N20" s="538">
        <v>0</v>
      </c>
      <c r="O20" s="539"/>
    </row>
    <row r="21" spans="1:15" ht="15.75" thickBot="1" x14ac:dyDescent="0.35">
      <c r="A21" s="546">
        <v>3</v>
      </c>
      <c r="B21" s="547" t="s">
        <v>81</v>
      </c>
      <c r="C21" s="548">
        <f>C7+C14</f>
        <v>37852963.200000003</v>
      </c>
      <c r="D21" s="549"/>
      <c r="E21" s="550">
        <f>SUM(E7+E14)</f>
        <v>757059.26400000008</v>
      </c>
      <c r="F21" s="537">
        <v>0</v>
      </c>
      <c r="G21" s="537">
        <v>0</v>
      </c>
      <c r="H21" s="537">
        <v>0</v>
      </c>
      <c r="I21" s="537">
        <v>0</v>
      </c>
      <c r="J21" s="537">
        <v>0</v>
      </c>
      <c r="K21" s="537">
        <v>0</v>
      </c>
      <c r="L21" s="537">
        <v>0</v>
      </c>
      <c r="M21" s="537">
        <v>0</v>
      </c>
      <c r="N21" s="538">
        <v>757059.26400000008</v>
      </c>
      <c r="O21" s="539"/>
    </row>
    <row r="22" spans="1:15" x14ac:dyDescent="0.3">
      <c r="C22" s="551"/>
      <c r="D22" s="551"/>
      <c r="E22" s="552"/>
      <c r="F22" s="552"/>
      <c r="G22" s="552"/>
      <c r="H22" s="552"/>
      <c r="I22" s="552"/>
      <c r="J22" s="552"/>
      <c r="K22" s="552"/>
      <c r="L22" s="552"/>
      <c r="M22" s="552"/>
      <c r="N22" s="551"/>
      <c r="O22" s="539"/>
    </row>
    <row r="23" spans="1:15" x14ac:dyDescent="0.3">
      <c r="C23" s="551"/>
      <c r="D23" s="551"/>
      <c r="E23" s="551"/>
      <c r="F23" s="551"/>
      <c r="G23" s="551"/>
      <c r="H23" s="551"/>
      <c r="I23" s="551"/>
      <c r="J23" s="551"/>
      <c r="K23" s="551"/>
      <c r="L23" s="551"/>
      <c r="M23" s="551"/>
      <c r="N23" s="551"/>
      <c r="O23" s="539"/>
    </row>
    <row r="24" spans="1:15" x14ac:dyDescent="0.3">
      <c r="C24" s="551"/>
      <c r="D24" s="551"/>
      <c r="E24" s="551"/>
      <c r="F24" s="551"/>
      <c r="G24" s="551"/>
      <c r="H24" s="551"/>
      <c r="I24" s="551"/>
      <c r="J24" s="551"/>
      <c r="K24" s="551"/>
      <c r="L24" s="551"/>
      <c r="M24" s="551"/>
      <c r="N24" s="551"/>
      <c r="O24" s="53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H41"/>
  <sheetViews>
    <sheetView showGridLines="0" zoomScaleNormal="100" workbookViewId="0">
      <pane xSplit="1" ySplit="5" topLeftCell="B18" activePane="bottomRight" state="frozen"/>
      <selection activeCell="P24" sqref="P24:Q24"/>
      <selection pane="topRight" activeCell="P24" sqref="P24:Q24"/>
      <selection pane="bottomLeft" activeCell="P24" sqref="P24:Q24"/>
      <selection pane="bottomRight" activeCell="E23" sqref="E23"/>
    </sheetView>
  </sheetViews>
  <sheetFormatPr defaultRowHeight="15.75" x14ac:dyDescent="0.3"/>
  <cols>
    <col min="1" max="1" width="9.5703125" style="81" bestFit="1" customWidth="1"/>
    <col min="2" max="2" width="86" style="26" customWidth="1"/>
    <col min="3" max="3" width="12.7109375" style="26" customWidth="1"/>
    <col min="4" max="4" width="12.7109375" style="24" customWidth="1"/>
    <col min="5" max="5" width="14" style="24" bestFit="1" customWidth="1"/>
    <col min="6" max="6" width="13.7109375" style="24" bestFit="1" customWidth="1"/>
    <col min="7" max="7" width="13.28515625" style="24" bestFit="1" customWidth="1"/>
    <col min="8" max="13" width="6.7109375" customWidth="1"/>
  </cols>
  <sheetData>
    <row r="1" spans="1:8" x14ac:dyDescent="0.3">
      <c r="A1" s="25" t="s">
        <v>29</v>
      </c>
      <c r="B1" s="26" t="s">
        <v>30</v>
      </c>
    </row>
    <row r="2" spans="1:8" x14ac:dyDescent="0.3">
      <c r="A2" s="25" t="s">
        <v>31</v>
      </c>
      <c r="B2" s="27">
        <v>43190</v>
      </c>
      <c r="C2" s="28"/>
      <c r="D2" s="29"/>
      <c r="E2" s="29"/>
      <c r="F2" s="29"/>
      <c r="G2" s="29"/>
      <c r="H2" s="30"/>
    </row>
    <row r="3" spans="1:8" x14ac:dyDescent="0.3">
      <c r="A3" s="25"/>
      <c r="C3" s="28"/>
      <c r="D3" s="29"/>
      <c r="E3" s="29"/>
      <c r="F3" s="29"/>
      <c r="G3" s="29"/>
      <c r="H3" s="30"/>
    </row>
    <row r="4" spans="1:8" ht="16.5" thickBot="1" x14ac:dyDescent="0.35">
      <c r="A4" s="31" t="s">
        <v>32</v>
      </c>
      <c r="B4" s="32" t="s">
        <v>12</v>
      </c>
      <c r="C4" s="33"/>
      <c r="D4" s="34"/>
      <c r="E4" s="34"/>
      <c r="F4" s="34"/>
      <c r="G4" s="34"/>
      <c r="H4" s="30"/>
    </row>
    <row r="5" spans="1:8" ht="15" x14ac:dyDescent="0.25">
      <c r="A5" s="35" t="s">
        <v>33</v>
      </c>
      <c r="B5" s="36"/>
      <c r="C5" s="37" t="s">
        <v>34</v>
      </c>
      <c r="D5" s="38" t="s">
        <v>35</v>
      </c>
      <c r="E5" s="38" t="s">
        <v>36</v>
      </c>
      <c r="F5" s="38" t="s">
        <v>37</v>
      </c>
      <c r="G5" s="39" t="s">
        <v>38</v>
      </c>
    </row>
    <row r="6" spans="1:8" ht="15" x14ac:dyDescent="0.25">
      <c r="A6" s="40"/>
      <c r="B6" s="41" t="s">
        <v>39</v>
      </c>
      <c r="C6" s="42"/>
      <c r="D6" s="42"/>
      <c r="E6" s="42"/>
      <c r="F6" s="42"/>
      <c r="G6" s="43"/>
    </row>
    <row r="7" spans="1:8" ht="15" x14ac:dyDescent="0.25">
      <c r="A7" s="40"/>
      <c r="B7" s="44" t="s">
        <v>40</v>
      </c>
      <c r="C7" s="42"/>
      <c r="D7" s="42"/>
      <c r="E7" s="42"/>
      <c r="F7" s="42"/>
      <c r="G7" s="43"/>
    </row>
    <row r="8" spans="1:8" ht="15" x14ac:dyDescent="0.25">
      <c r="A8" s="45">
        <v>1</v>
      </c>
      <c r="B8" s="46" t="s">
        <v>41</v>
      </c>
      <c r="C8" s="47">
        <v>92825052.120000005</v>
      </c>
      <c r="D8" s="48">
        <v>86418620.990000039</v>
      </c>
      <c r="E8" s="48">
        <v>80276998.800000042</v>
      </c>
      <c r="F8" s="48">
        <v>76989937.570000023</v>
      </c>
      <c r="G8" s="49">
        <v>74795606.299999595</v>
      </c>
    </row>
    <row r="9" spans="1:8" ht="15" x14ac:dyDescent="0.25">
      <c r="A9" s="45">
        <v>2</v>
      </c>
      <c r="B9" s="46" t="s">
        <v>42</v>
      </c>
      <c r="C9" s="47">
        <v>92825052.120000005</v>
      </c>
      <c r="D9" s="48">
        <v>86418620.990000039</v>
      </c>
      <c r="E9" s="48">
        <v>80276998.800000042</v>
      </c>
      <c r="F9" s="48">
        <v>76989937.570000023</v>
      </c>
      <c r="G9" s="49">
        <v>74795606.299999595</v>
      </c>
    </row>
    <row r="10" spans="1:8" ht="15" x14ac:dyDescent="0.25">
      <c r="A10" s="45">
        <v>3</v>
      </c>
      <c r="B10" s="46" t="s">
        <v>20</v>
      </c>
      <c r="C10" s="47">
        <v>132953520.73705798</v>
      </c>
      <c r="D10" s="48">
        <v>122109789.42072555</v>
      </c>
      <c r="E10" s="48">
        <v>116230334.65000011</v>
      </c>
      <c r="F10" s="48">
        <v>112842341.49569386</v>
      </c>
      <c r="G10" s="49">
        <v>110419299.5599997</v>
      </c>
    </row>
    <row r="11" spans="1:8" ht="15" x14ac:dyDescent="0.25">
      <c r="A11" s="40"/>
      <c r="B11" s="41" t="s">
        <v>43</v>
      </c>
      <c r="C11" s="50"/>
      <c r="D11" s="50"/>
      <c r="E11" s="50"/>
      <c r="F11" s="50"/>
      <c r="G11" s="51"/>
    </row>
    <row r="12" spans="1:8" ht="15" customHeight="1" x14ac:dyDescent="0.25">
      <c r="A12" s="45">
        <v>4</v>
      </c>
      <c r="B12" s="46" t="s">
        <v>44</v>
      </c>
      <c r="C12" s="52">
        <v>747728329.12338781</v>
      </c>
      <c r="D12" s="48">
        <v>727269059.01679111</v>
      </c>
      <c r="E12" s="53">
        <v>820727867.01928318</v>
      </c>
      <c r="F12" s="53">
        <v>774395368.41360295</v>
      </c>
      <c r="G12" s="54">
        <v>744854807.92622995</v>
      </c>
    </row>
    <row r="13" spans="1:8" ht="15" x14ac:dyDescent="0.25">
      <c r="A13" s="40"/>
      <c r="B13" s="41" t="s">
        <v>45</v>
      </c>
      <c r="C13" s="42"/>
      <c r="D13" s="42"/>
      <c r="E13" s="42"/>
      <c r="F13" s="42"/>
      <c r="G13" s="43"/>
    </row>
    <row r="14" spans="1:8" s="23" customFormat="1" ht="15" x14ac:dyDescent="0.25">
      <c r="A14" s="45"/>
      <c r="B14" s="44" t="s">
        <v>46</v>
      </c>
      <c r="C14" s="42"/>
      <c r="D14" s="42"/>
      <c r="E14" s="42"/>
      <c r="F14" s="42"/>
      <c r="G14" s="43"/>
    </row>
    <row r="15" spans="1:8" ht="15" x14ac:dyDescent="0.25">
      <c r="A15" s="55">
        <v>5</v>
      </c>
      <c r="B15" s="56" t="s">
        <v>47</v>
      </c>
      <c r="C15" s="57">
        <f>C8/C12</f>
        <v>0.12414275145737096</v>
      </c>
      <c r="D15" s="58">
        <v>0.1188262032030223</v>
      </c>
      <c r="E15" s="58">
        <v>9.7811956954196991E-2</v>
      </c>
      <c r="F15" s="58">
        <v>9.9419418956131794E-2</v>
      </c>
      <c r="G15" s="59">
        <v>0.10041635699209625</v>
      </c>
    </row>
    <row r="16" spans="1:8" ht="15" customHeight="1" x14ac:dyDescent="0.25">
      <c r="A16" s="55">
        <v>6</v>
      </c>
      <c r="B16" s="56" t="s">
        <v>48</v>
      </c>
      <c r="C16" s="57">
        <f>C9/C12</f>
        <v>0.12414275145737096</v>
      </c>
      <c r="D16" s="58">
        <v>0.1188262032030223</v>
      </c>
      <c r="E16" s="58">
        <v>9.7811956954196991E-2</v>
      </c>
      <c r="F16" s="58">
        <v>9.9419418956131794E-2</v>
      </c>
      <c r="G16" s="59">
        <v>0.10041635699209625</v>
      </c>
    </row>
    <row r="17" spans="1:7" ht="15" x14ac:dyDescent="0.25">
      <c r="A17" s="55">
        <v>7</v>
      </c>
      <c r="B17" s="56" t="s">
        <v>49</v>
      </c>
      <c r="C17" s="57">
        <f>C10/C12</f>
        <v>0.17780992849759797</v>
      </c>
      <c r="D17" s="58">
        <v>0.16790180732534959</v>
      </c>
      <c r="E17" s="58">
        <v>0.14161860382799607</v>
      </c>
      <c r="F17" s="58">
        <v>0.14571670505578876</v>
      </c>
      <c r="G17" s="59">
        <v>0.14824271574136846</v>
      </c>
    </row>
    <row r="18" spans="1:7" ht="15" x14ac:dyDescent="0.25">
      <c r="A18" s="40"/>
      <c r="B18" s="41" t="s">
        <v>50</v>
      </c>
      <c r="C18" s="60"/>
      <c r="D18" s="60"/>
      <c r="E18" s="60"/>
      <c r="F18" s="60"/>
      <c r="G18" s="61"/>
    </row>
    <row r="19" spans="1:7" ht="15" customHeight="1" x14ac:dyDescent="0.25">
      <c r="A19" s="62">
        <v>8</v>
      </c>
      <c r="B19" s="63" t="s">
        <v>51</v>
      </c>
      <c r="C19" s="64">
        <v>8.671732191171054E-2</v>
      </c>
      <c r="D19" s="65">
        <v>8.4892746707452449E-2</v>
      </c>
      <c r="E19" s="65">
        <v>8.4367337093536471E-2</v>
      </c>
      <c r="F19" s="65">
        <v>8.3581928966828076E-2</v>
      </c>
      <c r="G19" s="66">
        <v>8.266983911440598E-2</v>
      </c>
    </row>
    <row r="20" spans="1:7" ht="15" x14ac:dyDescent="0.25">
      <c r="A20" s="62">
        <v>9</v>
      </c>
      <c r="B20" s="63" t="s">
        <v>52</v>
      </c>
      <c r="C20" s="64">
        <v>4.0575690364854707E-2</v>
      </c>
      <c r="D20" s="65">
        <v>4.1080132040917809E-2</v>
      </c>
      <c r="E20" s="65">
        <v>4.1014626567217452E-2</v>
      </c>
      <c r="F20" s="65">
        <v>4.1196113379557274E-2</v>
      </c>
      <c r="G20" s="66">
        <v>4.2297634596985725E-2</v>
      </c>
    </row>
    <row r="21" spans="1:7" ht="15" x14ac:dyDescent="0.25">
      <c r="A21" s="62">
        <v>10</v>
      </c>
      <c r="B21" s="63" t="s">
        <v>53</v>
      </c>
      <c r="C21" s="64">
        <v>4.2470864108732423E-2</v>
      </c>
      <c r="D21" s="65">
        <v>2.0091008076554968E-2</v>
      </c>
      <c r="E21" s="65">
        <v>2.7341690073535697E-2</v>
      </c>
      <c r="F21" s="65">
        <v>2.8878472911685538E-2</v>
      </c>
      <c r="G21" s="66">
        <v>1.9789349218024686E-2</v>
      </c>
    </row>
    <row r="22" spans="1:7" ht="15" x14ac:dyDescent="0.25">
      <c r="A22" s="62">
        <v>11</v>
      </c>
      <c r="B22" s="63" t="s">
        <v>54</v>
      </c>
      <c r="C22" s="64">
        <v>4.6141631546855841E-2</v>
      </c>
      <c r="D22" s="65">
        <v>4.381261466653464E-2</v>
      </c>
      <c r="E22" s="65">
        <v>4.3352710526319026E-2</v>
      </c>
      <c r="F22" s="65">
        <v>4.2385815587270802E-2</v>
      </c>
      <c r="G22" s="66">
        <v>4.0372204517420268E-2</v>
      </c>
    </row>
    <row r="23" spans="1:7" ht="15" x14ac:dyDescent="0.25">
      <c r="A23" s="62">
        <v>12</v>
      </c>
      <c r="B23" s="63" t="s">
        <v>55</v>
      </c>
      <c r="C23" s="64">
        <v>3.0768530429161476E-2</v>
      </c>
      <c r="D23" s="65">
        <v>2.2564253094255991E-2</v>
      </c>
      <c r="E23" s="65">
        <v>2.0408431019269015E-2</v>
      </c>
      <c r="F23" s="65">
        <v>2.313427262294393E-2</v>
      </c>
      <c r="G23" s="66">
        <v>3.1943245079547419E-2</v>
      </c>
    </row>
    <row r="24" spans="1:7" ht="15" x14ac:dyDescent="0.25">
      <c r="A24" s="62">
        <v>13</v>
      </c>
      <c r="B24" s="63" t="s">
        <v>56</v>
      </c>
      <c r="C24" s="64">
        <v>0.21010986350153546</v>
      </c>
      <c r="D24" s="65">
        <v>0.15264656626361772</v>
      </c>
      <c r="E24" s="65">
        <v>0.13602644401600769</v>
      </c>
      <c r="F24" s="65">
        <v>0.15366679493746499</v>
      </c>
      <c r="G24" s="66">
        <v>0.21239922454252888</v>
      </c>
    </row>
    <row r="25" spans="1:7" ht="15" x14ac:dyDescent="0.25">
      <c r="A25" s="40"/>
      <c r="B25" s="41" t="s">
        <v>57</v>
      </c>
      <c r="C25" s="60"/>
      <c r="D25" s="60"/>
      <c r="E25" s="60"/>
      <c r="F25" s="60"/>
      <c r="G25" s="61"/>
    </row>
    <row r="26" spans="1:7" ht="15" x14ac:dyDescent="0.25">
      <c r="A26" s="62">
        <v>14</v>
      </c>
      <c r="B26" s="63" t="s">
        <v>58</v>
      </c>
      <c r="C26" s="64">
        <v>8.5745142120549747E-2</v>
      </c>
      <c r="D26" s="65">
        <v>9.7262617647571561E-2</v>
      </c>
      <c r="E26" s="65">
        <v>0.1091019663675519</v>
      </c>
      <c r="F26" s="65">
        <v>0.10739597136539608</v>
      </c>
      <c r="G26" s="66">
        <v>0.11266427797653586</v>
      </c>
    </row>
    <row r="27" spans="1:7" ht="15" customHeight="1" x14ac:dyDescent="0.25">
      <c r="A27" s="62">
        <v>15</v>
      </c>
      <c r="B27" s="63" t="s">
        <v>59</v>
      </c>
      <c r="C27" s="64">
        <f>-'2. RC'!E13/'2. RC'!E12</f>
        <v>6.8102870081933622E-2</v>
      </c>
      <c r="D27" s="65">
        <v>7.2598191808898455E-2</v>
      </c>
      <c r="E27" s="65">
        <v>7.8455755268035554E-2</v>
      </c>
      <c r="F27" s="65">
        <v>7.9771539451083062E-2</v>
      </c>
      <c r="G27" s="66">
        <v>8.3342300094396068E-2</v>
      </c>
    </row>
    <row r="28" spans="1:7" ht="15" x14ac:dyDescent="0.25">
      <c r="A28" s="62">
        <v>16</v>
      </c>
      <c r="B28" s="63" t="s">
        <v>60</v>
      </c>
      <c r="C28" s="64">
        <f>'2. RC'!D12/'2. RC'!E12</f>
        <v>0.58183917833908239</v>
      </c>
      <c r="D28" s="65">
        <v>0.60033070747450434</v>
      </c>
      <c r="E28" s="65">
        <v>0.59185938601929944</v>
      </c>
      <c r="F28" s="65">
        <v>0.59440885081266359</v>
      </c>
      <c r="G28" s="66">
        <v>0.62051160848880715</v>
      </c>
    </row>
    <row r="29" spans="1:7" ht="15" customHeight="1" x14ac:dyDescent="0.25">
      <c r="A29" s="62">
        <v>17</v>
      </c>
      <c r="B29" s="63" t="s">
        <v>61</v>
      </c>
      <c r="C29" s="64">
        <f>'2. RC'!D20/'2. RC'!E20</f>
        <v>0.55064467670105388</v>
      </c>
      <c r="D29" s="65">
        <v>0.56665000812329047</v>
      </c>
      <c r="E29" s="65">
        <v>0.55869863553493837</v>
      </c>
      <c r="F29" s="65">
        <v>0.5563357530136922</v>
      </c>
      <c r="G29" s="66">
        <v>0.58083741303898262</v>
      </c>
    </row>
    <row r="30" spans="1:7" ht="15" x14ac:dyDescent="0.25">
      <c r="A30" s="62">
        <v>18</v>
      </c>
      <c r="B30" s="63" t="s">
        <v>62</v>
      </c>
      <c r="C30" s="64">
        <v>3.5698723025868219E-2</v>
      </c>
      <c r="D30" s="65">
        <v>0.2169869978670782</v>
      </c>
      <c r="E30" s="65">
        <v>6.3938086151056603E-2</v>
      </c>
      <c r="F30" s="65">
        <v>9.8898369682243192E-4</v>
      </c>
      <c r="G30" s="66">
        <v>-6.7967914156280756E-2</v>
      </c>
    </row>
    <row r="31" spans="1:7" ht="15" customHeight="1" x14ac:dyDescent="0.25">
      <c r="A31" s="40"/>
      <c r="B31" s="41" t="s">
        <v>63</v>
      </c>
      <c r="C31" s="60"/>
      <c r="D31" s="60"/>
      <c r="E31" s="60"/>
      <c r="F31" s="60"/>
      <c r="G31" s="61"/>
    </row>
    <row r="32" spans="1:7" ht="15" customHeight="1" x14ac:dyDescent="0.25">
      <c r="A32" s="62">
        <v>19</v>
      </c>
      <c r="B32" s="63" t="s">
        <v>64</v>
      </c>
      <c r="C32" s="64">
        <v>0.18480733631856588</v>
      </c>
      <c r="D32" s="64">
        <v>0.20260758152481739</v>
      </c>
      <c r="E32" s="64">
        <v>0.22836243902034337</v>
      </c>
      <c r="F32" s="64">
        <v>0.22801127678310126</v>
      </c>
      <c r="G32" s="67">
        <v>0.1892198861190354</v>
      </c>
    </row>
    <row r="33" spans="1:7" ht="15" customHeight="1" x14ac:dyDescent="0.25">
      <c r="A33" s="62">
        <v>20</v>
      </c>
      <c r="B33" s="63" t="s">
        <v>65</v>
      </c>
      <c r="C33" s="64">
        <f>'2. RC'!D31/'2. RC'!E31</f>
        <v>0.60297664905160531</v>
      </c>
      <c r="D33" s="64">
        <v>0.61988190364392592</v>
      </c>
      <c r="E33" s="64">
        <v>0.63515488048026492</v>
      </c>
      <c r="F33" s="64">
        <v>0.63566945281139131</v>
      </c>
      <c r="G33" s="67">
        <v>0.63496136663117886</v>
      </c>
    </row>
    <row r="34" spans="1:7" ht="15" x14ac:dyDescent="0.25">
      <c r="A34" s="62">
        <v>21</v>
      </c>
      <c r="B34" s="68" t="s">
        <v>66</v>
      </c>
      <c r="C34" s="64">
        <f>('2. RC'!E23+'2. RC'!E24)/'2. RC'!E20</f>
        <v>0.4263006892164915</v>
      </c>
      <c r="D34" s="64">
        <v>0.44026071596889438</v>
      </c>
      <c r="E34" s="64">
        <v>0.41671081771474339</v>
      </c>
      <c r="F34" s="64">
        <v>0.48095831033221031</v>
      </c>
      <c r="G34" s="67">
        <v>0.40677379176571599</v>
      </c>
    </row>
    <row r="35" spans="1:7" ht="15" x14ac:dyDescent="0.25">
      <c r="A35" s="69"/>
      <c r="B35" s="41" t="s">
        <v>67</v>
      </c>
      <c r="C35" s="42"/>
      <c r="D35" s="42"/>
      <c r="E35" s="42"/>
      <c r="F35" s="42"/>
      <c r="G35" s="43"/>
    </row>
    <row r="36" spans="1:7" ht="15" customHeight="1" x14ac:dyDescent="0.25">
      <c r="A36" s="62">
        <v>22</v>
      </c>
      <c r="B36" s="70" t="s">
        <v>68</v>
      </c>
      <c r="C36" s="71">
        <f>'14. LCR'!H23</f>
        <v>150509788.78674278</v>
      </c>
      <c r="D36" s="68"/>
      <c r="E36" s="68"/>
      <c r="F36" s="68"/>
      <c r="G36" s="72"/>
    </row>
    <row r="37" spans="1:7" ht="15" x14ac:dyDescent="0.25">
      <c r="A37" s="62">
        <v>23</v>
      </c>
      <c r="B37" s="63" t="s">
        <v>69</v>
      </c>
      <c r="C37" s="71">
        <f>'14. LCR'!$H$24</f>
        <v>140158471.51823699</v>
      </c>
      <c r="D37" s="73"/>
      <c r="E37" s="73"/>
      <c r="F37" s="73"/>
      <c r="G37" s="74"/>
    </row>
    <row r="38" spans="1:7" thickBot="1" x14ac:dyDescent="0.3">
      <c r="A38" s="75">
        <v>24</v>
      </c>
      <c r="B38" s="76" t="s">
        <v>70</v>
      </c>
      <c r="C38" s="77">
        <f>C36/C37</f>
        <v>1.0738543818035209</v>
      </c>
      <c r="D38" s="78"/>
      <c r="E38" s="78"/>
      <c r="F38" s="78"/>
      <c r="G38" s="79"/>
    </row>
    <row r="39" spans="1:7" x14ac:dyDescent="0.3">
      <c r="A39" s="80"/>
    </row>
    <row r="40" spans="1:7" ht="39.75" x14ac:dyDescent="0.3">
      <c r="B40" s="82" t="s">
        <v>71</v>
      </c>
    </row>
    <row r="41" spans="1:7" ht="65.25" x14ac:dyDescent="0.3">
      <c r="B41" s="83" t="s">
        <v>72</v>
      </c>
    </row>
  </sheetData>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Normal="100" workbookViewId="0">
      <pane xSplit="1" ySplit="5" topLeftCell="B21" activePane="bottomRight" state="frozen"/>
      <selection activeCell="P24" sqref="P24:Q24"/>
      <selection pane="topRight" activeCell="P24" sqref="P24:Q24"/>
      <selection pane="bottomLeft" activeCell="P24" sqref="P24:Q24"/>
      <selection pane="bottomRight" activeCell="F17" sqref="F17"/>
    </sheetView>
  </sheetViews>
  <sheetFormatPr defaultRowHeight="15" x14ac:dyDescent="0.25"/>
  <cols>
    <col min="1" max="1" width="9.5703125" style="24" bestFit="1" customWidth="1"/>
    <col min="2" max="2" width="55.140625" style="24" bestFit="1" customWidth="1"/>
    <col min="3" max="3" width="14.42578125" style="24" bestFit="1" customWidth="1"/>
    <col min="4" max="4" width="14.7109375" style="24" bestFit="1" customWidth="1"/>
    <col min="5" max="6" width="14.42578125" style="24" bestFit="1" customWidth="1"/>
    <col min="7" max="7" width="14" style="24" bestFit="1" customWidth="1"/>
    <col min="8" max="8" width="14.5703125" style="24" customWidth="1"/>
  </cols>
  <sheetData>
    <row r="1" spans="1:8" ht="15.75" x14ac:dyDescent="0.3">
      <c r="A1" s="25" t="s">
        <v>29</v>
      </c>
      <c r="B1" s="24" t="str">
        <f>'1. key ratios'!B1</f>
        <v>სს ტერაბანკი</v>
      </c>
    </row>
    <row r="2" spans="1:8" ht="15.75" x14ac:dyDescent="0.3">
      <c r="A2" s="25" t="s">
        <v>31</v>
      </c>
      <c r="B2" s="84">
        <f>'1. key ratios'!B2</f>
        <v>43190</v>
      </c>
    </row>
    <row r="3" spans="1:8" ht="15.75" x14ac:dyDescent="0.3">
      <c r="A3" s="25"/>
    </row>
    <row r="4" spans="1:8" ht="16.5" thickBot="1" x14ac:dyDescent="0.35">
      <c r="A4" s="85" t="s">
        <v>73</v>
      </c>
      <c r="B4" s="86" t="s">
        <v>74</v>
      </c>
      <c r="C4" s="85"/>
      <c r="D4" s="87"/>
      <c r="E4" s="87"/>
      <c r="F4" s="85"/>
      <c r="G4" s="87"/>
      <c r="H4" s="88" t="s">
        <v>75</v>
      </c>
    </row>
    <row r="5" spans="1:8" ht="15.75" x14ac:dyDescent="0.3">
      <c r="A5" s="89"/>
      <c r="B5" s="90"/>
      <c r="C5" s="91" t="s">
        <v>76</v>
      </c>
      <c r="D5" s="92"/>
      <c r="E5" s="93"/>
      <c r="F5" s="91" t="s">
        <v>77</v>
      </c>
      <c r="G5" s="92"/>
      <c r="H5" s="94"/>
    </row>
    <row r="6" spans="1:8" ht="15.75" x14ac:dyDescent="0.3">
      <c r="A6" s="95" t="s">
        <v>33</v>
      </c>
      <c r="B6" s="96" t="s">
        <v>78</v>
      </c>
      <c r="C6" s="97" t="s">
        <v>79</v>
      </c>
      <c r="D6" s="97" t="s">
        <v>80</v>
      </c>
      <c r="E6" s="97" t="s">
        <v>81</v>
      </c>
      <c r="F6" s="97" t="s">
        <v>79</v>
      </c>
      <c r="G6" s="97" t="s">
        <v>80</v>
      </c>
      <c r="H6" s="98" t="s">
        <v>81</v>
      </c>
    </row>
    <row r="7" spans="1:8" ht="15.75" x14ac:dyDescent="0.3">
      <c r="A7" s="95">
        <v>1</v>
      </c>
      <c r="B7" s="99" t="s">
        <v>82</v>
      </c>
      <c r="C7" s="100">
        <v>13582471.529999999</v>
      </c>
      <c r="D7" s="100">
        <v>22788197.82</v>
      </c>
      <c r="E7" s="101">
        <f>C7+D7</f>
        <v>36370669.350000001</v>
      </c>
      <c r="F7" s="100">
        <v>11037462.390000001</v>
      </c>
      <c r="G7" s="100">
        <v>15437097.909999998</v>
      </c>
      <c r="H7" s="102">
        <f>F7+G7</f>
        <v>26474560.299999997</v>
      </c>
    </row>
    <row r="8" spans="1:8" ht="15.75" x14ac:dyDescent="0.3">
      <c r="A8" s="95">
        <v>2</v>
      </c>
      <c r="B8" s="99" t="s">
        <v>83</v>
      </c>
      <c r="C8" s="100">
        <v>15792069.23</v>
      </c>
      <c r="D8" s="100">
        <v>67375611.650000006</v>
      </c>
      <c r="E8" s="101">
        <f t="shared" ref="E8:E20" si="0">C8+D8</f>
        <v>83167680.88000001</v>
      </c>
      <c r="F8" s="100">
        <v>11191444.800000001</v>
      </c>
      <c r="G8" s="100">
        <v>84745141.859999999</v>
      </c>
      <c r="H8" s="102">
        <f t="shared" ref="H8:H40" si="1">F8+G8</f>
        <v>95936586.659999996</v>
      </c>
    </row>
    <row r="9" spans="1:8" ht="15.75" x14ac:dyDescent="0.3">
      <c r="A9" s="95">
        <v>3</v>
      </c>
      <c r="B9" s="99" t="s">
        <v>84</v>
      </c>
      <c r="C9" s="100">
        <v>249664.27</v>
      </c>
      <c r="D9" s="100">
        <v>26291037.470000003</v>
      </c>
      <c r="E9" s="101">
        <f t="shared" si="0"/>
        <v>26540701.740000002</v>
      </c>
      <c r="F9" s="100">
        <v>83438.489999999991</v>
      </c>
      <c r="G9" s="100">
        <v>18703332.140000001</v>
      </c>
      <c r="H9" s="102">
        <f t="shared" si="1"/>
        <v>18786770.629999999</v>
      </c>
    </row>
    <row r="10" spans="1:8" ht="15.75" x14ac:dyDescent="0.3">
      <c r="A10" s="95">
        <v>4</v>
      </c>
      <c r="B10" s="99" t="s">
        <v>85</v>
      </c>
      <c r="C10" s="100">
        <v>0</v>
      </c>
      <c r="D10" s="100">
        <v>0</v>
      </c>
      <c r="E10" s="101">
        <f t="shared" si="0"/>
        <v>0</v>
      </c>
      <c r="F10" s="100">
        <v>0</v>
      </c>
      <c r="G10" s="100">
        <v>0</v>
      </c>
      <c r="H10" s="102">
        <f t="shared" si="1"/>
        <v>0</v>
      </c>
    </row>
    <row r="11" spans="1:8" ht="15.75" x14ac:dyDescent="0.3">
      <c r="A11" s="95">
        <v>5</v>
      </c>
      <c r="B11" s="99" t="s">
        <v>86</v>
      </c>
      <c r="C11" s="100">
        <v>45152249.909999996</v>
      </c>
      <c r="D11" s="100">
        <v>0</v>
      </c>
      <c r="E11" s="101">
        <f t="shared" si="0"/>
        <v>45152249.909999996</v>
      </c>
      <c r="F11" s="100">
        <v>35325506.07</v>
      </c>
      <c r="G11" s="100">
        <v>0</v>
      </c>
      <c r="H11" s="102">
        <f t="shared" si="1"/>
        <v>35325506.07</v>
      </c>
    </row>
    <row r="12" spans="1:8" ht="15.75" x14ac:dyDescent="0.3">
      <c r="A12" s="95">
        <v>6.1</v>
      </c>
      <c r="B12" s="103" t="s">
        <v>87</v>
      </c>
      <c r="C12" s="100">
        <v>256039861.6400007</v>
      </c>
      <c r="D12" s="100">
        <v>356260115.7299999</v>
      </c>
      <c r="E12" s="101">
        <f t="shared" si="0"/>
        <v>612299977.3700006</v>
      </c>
      <c r="F12" s="100">
        <v>171820201.18999976</v>
      </c>
      <c r="G12" s="100">
        <v>280947801.82000011</v>
      </c>
      <c r="H12" s="102">
        <f t="shared" si="1"/>
        <v>452768003.00999987</v>
      </c>
    </row>
    <row r="13" spans="1:8" ht="15.75" x14ac:dyDescent="0.3">
      <c r="A13" s="95">
        <v>6.2</v>
      </c>
      <c r="B13" s="103" t="s">
        <v>88</v>
      </c>
      <c r="C13" s="104">
        <v>-17935183.45000026</v>
      </c>
      <c r="D13" s="104">
        <v>-23764202.359999791</v>
      </c>
      <c r="E13" s="105">
        <f t="shared" si="0"/>
        <v>-41699385.810000047</v>
      </c>
      <c r="F13" s="104">
        <v>-16496823.6499997</v>
      </c>
      <c r="G13" s="104">
        <v>-21237903.130000129</v>
      </c>
      <c r="H13" s="102">
        <f t="shared" si="1"/>
        <v>-37734726.77999983</v>
      </c>
    </row>
    <row r="14" spans="1:8" ht="15.75" x14ac:dyDescent="0.3">
      <c r="A14" s="95">
        <v>6</v>
      </c>
      <c r="B14" s="99" t="s">
        <v>89</v>
      </c>
      <c r="C14" s="101">
        <f>C12+C13</f>
        <v>238104678.19000044</v>
      </c>
      <c r="D14" s="101">
        <f>D12+D13</f>
        <v>332495913.37000012</v>
      </c>
      <c r="E14" s="101">
        <f t="shared" si="0"/>
        <v>570600591.56000054</v>
      </c>
      <c r="F14" s="101">
        <f>F12+F13</f>
        <v>155323377.54000005</v>
      </c>
      <c r="G14" s="101">
        <f>G12+G13</f>
        <v>259709898.69</v>
      </c>
      <c r="H14" s="102">
        <f t="shared" si="1"/>
        <v>415033276.23000002</v>
      </c>
    </row>
    <row r="15" spans="1:8" ht="15.75" x14ac:dyDescent="0.3">
      <c r="A15" s="95">
        <v>7</v>
      </c>
      <c r="B15" s="99" t="s">
        <v>90</v>
      </c>
      <c r="C15" s="100">
        <v>2105543.4</v>
      </c>
      <c r="D15" s="100">
        <v>2125550.1799999997</v>
      </c>
      <c r="E15" s="101">
        <f t="shared" si="0"/>
        <v>4231093.58</v>
      </c>
      <c r="F15" s="100">
        <v>1629625.3100000003</v>
      </c>
      <c r="G15" s="100">
        <v>1679733.8299999998</v>
      </c>
      <c r="H15" s="102">
        <f t="shared" si="1"/>
        <v>3309359.14</v>
      </c>
    </row>
    <row r="16" spans="1:8" ht="15.75" x14ac:dyDescent="0.3">
      <c r="A16" s="95">
        <v>8</v>
      </c>
      <c r="B16" s="99" t="s">
        <v>91</v>
      </c>
      <c r="C16" s="100">
        <v>5391923.4099999983</v>
      </c>
      <c r="D16" s="100">
        <v>0</v>
      </c>
      <c r="E16" s="101">
        <f t="shared" si="0"/>
        <v>5391923.4099999983</v>
      </c>
      <c r="F16" s="100">
        <v>10707118.350000001</v>
      </c>
      <c r="G16" s="100">
        <v>0</v>
      </c>
      <c r="H16" s="102">
        <f t="shared" si="1"/>
        <v>10707118.350000001</v>
      </c>
    </row>
    <row r="17" spans="1:8" ht="15.75" x14ac:dyDescent="0.3">
      <c r="A17" s="95">
        <v>9</v>
      </c>
      <c r="B17" s="99" t="s">
        <v>92</v>
      </c>
      <c r="C17" s="100">
        <v>0</v>
      </c>
      <c r="D17" s="100">
        <v>0</v>
      </c>
      <c r="E17" s="101">
        <f t="shared" si="0"/>
        <v>0</v>
      </c>
      <c r="F17" s="100">
        <v>2538</v>
      </c>
      <c r="G17" s="100">
        <v>0</v>
      </c>
      <c r="H17" s="102">
        <f t="shared" si="1"/>
        <v>2538</v>
      </c>
    </row>
    <row r="18" spans="1:8" ht="15.75" x14ac:dyDescent="0.3">
      <c r="A18" s="95">
        <v>10</v>
      </c>
      <c r="B18" s="99" t="s">
        <v>93</v>
      </c>
      <c r="C18" s="100">
        <v>45161892.469999999</v>
      </c>
      <c r="D18" s="100">
        <v>0</v>
      </c>
      <c r="E18" s="101">
        <f t="shared" si="0"/>
        <v>45161892.469999999</v>
      </c>
      <c r="F18" s="100">
        <v>45440409.390000001</v>
      </c>
      <c r="G18" s="100">
        <v>0</v>
      </c>
      <c r="H18" s="102">
        <f t="shared" si="1"/>
        <v>45440409.390000001</v>
      </c>
    </row>
    <row r="19" spans="1:8" ht="15.75" x14ac:dyDescent="0.3">
      <c r="A19" s="95">
        <v>11</v>
      </c>
      <c r="B19" s="99" t="s">
        <v>94</v>
      </c>
      <c r="C19" s="100">
        <v>3929553.8446</v>
      </c>
      <c r="D19" s="100">
        <v>1676118.6499999997</v>
      </c>
      <c r="E19" s="101">
        <f t="shared" si="0"/>
        <v>5605672.4945999999</v>
      </c>
      <c r="F19" s="100">
        <v>4556377.72</v>
      </c>
      <c r="G19" s="100">
        <v>1206767.949999996</v>
      </c>
      <c r="H19" s="102">
        <f t="shared" si="1"/>
        <v>5763145.6699999962</v>
      </c>
    </row>
    <row r="20" spans="1:8" ht="15.75" x14ac:dyDescent="0.3">
      <c r="A20" s="95">
        <v>12</v>
      </c>
      <c r="B20" s="106" t="s">
        <v>95</v>
      </c>
      <c r="C20" s="101">
        <f>SUM(C7:C11)+SUM(C14:C19)</f>
        <v>369470046.25460047</v>
      </c>
      <c r="D20" s="101">
        <f>SUM(D7:D11)+SUM(D14:D19)</f>
        <v>452752429.1400001</v>
      </c>
      <c r="E20" s="101">
        <f t="shared" si="0"/>
        <v>822222475.39460063</v>
      </c>
      <c r="F20" s="101">
        <f>SUM(F7:F11)+SUM(F14:F19)</f>
        <v>275297298.06000006</v>
      </c>
      <c r="G20" s="101">
        <f>SUM(G7:G11)+SUM(G14:G19)</f>
        <v>381481972.38</v>
      </c>
      <c r="H20" s="102">
        <f t="shared" si="1"/>
        <v>656779270.44000006</v>
      </c>
    </row>
    <row r="21" spans="1:8" ht="15.75" x14ac:dyDescent="0.3">
      <c r="A21" s="95"/>
      <c r="B21" s="96" t="s">
        <v>96</v>
      </c>
      <c r="C21" s="107"/>
      <c r="D21" s="107"/>
      <c r="E21" s="107"/>
      <c r="F21" s="107"/>
      <c r="G21" s="107"/>
      <c r="H21" s="108"/>
    </row>
    <row r="22" spans="1:8" ht="15.75" x14ac:dyDescent="0.3">
      <c r="A22" s="95">
        <v>13</v>
      </c>
      <c r="B22" s="99" t="s">
        <v>97</v>
      </c>
      <c r="C22" s="100">
        <v>5124.9399999999996</v>
      </c>
      <c r="D22" s="100">
        <v>7717172.2199999997</v>
      </c>
      <c r="E22" s="101">
        <f>C22+D22</f>
        <v>7722297.1600000001</v>
      </c>
      <c r="F22" s="100">
        <v>6400000</v>
      </c>
      <c r="G22" s="100">
        <v>2599696.66</v>
      </c>
      <c r="H22" s="102">
        <f t="shared" si="1"/>
        <v>8999696.6600000001</v>
      </c>
    </row>
    <row r="23" spans="1:8" ht="15.75" x14ac:dyDescent="0.3">
      <c r="A23" s="95">
        <v>14</v>
      </c>
      <c r="B23" s="99" t="s">
        <v>98</v>
      </c>
      <c r="C23" s="100">
        <v>46060347.169998795</v>
      </c>
      <c r="D23" s="100">
        <v>75239221.310009181</v>
      </c>
      <c r="E23" s="101">
        <f t="shared" ref="E23:E40" si="2">C23+D23</f>
        <v>121299568.48000798</v>
      </c>
      <c r="F23" s="100">
        <v>81143449.519999757</v>
      </c>
      <c r="G23" s="100">
        <v>100845245.32999969</v>
      </c>
      <c r="H23" s="102">
        <f t="shared" si="1"/>
        <v>181988694.84999943</v>
      </c>
    </row>
    <row r="24" spans="1:8" ht="15.75" x14ac:dyDescent="0.3">
      <c r="A24" s="95">
        <v>15</v>
      </c>
      <c r="B24" s="99" t="s">
        <v>99</v>
      </c>
      <c r="C24" s="100">
        <v>98741791.939999998</v>
      </c>
      <c r="D24" s="100">
        <v>130472647.53</v>
      </c>
      <c r="E24" s="101">
        <f t="shared" si="2"/>
        <v>229214439.47</v>
      </c>
      <c r="F24" s="100">
        <v>25022372.840000011</v>
      </c>
      <c r="G24" s="100">
        <v>60149526.499999985</v>
      </c>
      <c r="H24" s="102">
        <f t="shared" si="1"/>
        <v>85171899.340000004</v>
      </c>
    </row>
    <row r="25" spans="1:8" ht="15.75" x14ac:dyDescent="0.3">
      <c r="A25" s="95">
        <v>16</v>
      </c>
      <c r="B25" s="99" t="s">
        <v>100</v>
      </c>
      <c r="C25" s="100">
        <v>65551862.149999999</v>
      </c>
      <c r="D25" s="100">
        <v>155877000.9300001</v>
      </c>
      <c r="E25" s="101">
        <f t="shared" si="2"/>
        <v>221428863.0800001</v>
      </c>
      <c r="F25" s="100">
        <v>44247335.450000003</v>
      </c>
      <c r="G25" s="100">
        <v>140620258.68000013</v>
      </c>
      <c r="H25" s="102">
        <f t="shared" si="1"/>
        <v>184867594.13000011</v>
      </c>
    </row>
    <row r="26" spans="1:8" ht="15.75" x14ac:dyDescent="0.3">
      <c r="A26" s="95">
        <v>17</v>
      </c>
      <c r="B26" s="99" t="s">
        <v>101</v>
      </c>
      <c r="C26" s="100">
        <v>0</v>
      </c>
      <c r="D26" s="100">
        <v>0</v>
      </c>
      <c r="E26" s="101">
        <f t="shared" si="2"/>
        <v>0</v>
      </c>
      <c r="F26" s="100">
        <v>0</v>
      </c>
      <c r="G26" s="100">
        <v>0</v>
      </c>
      <c r="H26" s="102">
        <f t="shared" si="1"/>
        <v>0</v>
      </c>
    </row>
    <row r="27" spans="1:8" ht="15.75" x14ac:dyDescent="0.3">
      <c r="A27" s="95">
        <v>18</v>
      </c>
      <c r="B27" s="99" t="s">
        <v>102</v>
      </c>
      <c r="C27" s="100">
        <v>61055000</v>
      </c>
      <c r="D27" s="100">
        <v>6627528</v>
      </c>
      <c r="E27" s="101">
        <f t="shared" si="2"/>
        <v>67682528</v>
      </c>
      <c r="F27" s="100">
        <v>40600000</v>
      </c>
      <c r="G27" s="100">
        <v>7335600</v>
      </c>
      <c r="H27" s="102">
        <f t="shared" si="1"/>
        <v>47935600</v>
      </c>
    </row>
    <row r="28" spans="1:8" ht="15.75" x14ac:dyDescent="0.3">
      <c r="A28" s="95">
        <v>19</v>
      </c>
      <c r="B28" s="99" t="s">
        <v>103</v>
      </c>
      <c r="C28" s="100">
        <v>2266193.2199999997</v>
      </c>
      <c r="D28" s="100">
        <v>1333522.8999999999</v>
      </c>
      <c r="E28" s="101">
        <f t="shared" si="2"/>
        <v>3599716.1199999996</v>
      </c>
      <c r="F28" s="100">
        <v>575758.99000000011</v>
      </c>
      <c r="G28" s="100">
        <v>2342219.9400000004</v>
      </c>
      <c r="H28" s="102">
        <f t="shared" si="1"/>
        <v>2917978.9300000006</v>
      </c>
    </row>
    <row r="29" spans="1:8" ht="15.75" x14ac:dyDescent="0.3">
      <c r="A29" s="95">
        <v>20</v>
      </c>
      <c r="B29" s="99" t="s">
        <v>104</v>
      </c>
      <c r="C29" s="100">
        <v>4723024.71</v>
      </c>
      <c r="D29" s="100">
        <v>10062521.619999999</v>
      </c>
      <c r="E29" s="101">
        <f t="shared" si="2"/>
        <v>14785546.329999998</v>
      </c>
      <c r="F29" s="100">
        <v>3809782.2199999997</v>
      </c>
      <c r="G29" s="100">
        <v>6067086.9600000018</v>
      </c>
      <c r="H29" s="102">
        <f t="shared" si="1"/>
        <v>9876869.1800000016</v>
      </c>
    </row>
    <row r="30" spans="1:8" ht="15.75" x14ac:dyDescent="0.3">
      <c r="A30" s="95">
        <v>21</v>
      </c>
      <c r="B30" s="99" t="s">
        <v>105</v>
      </c>
      <c r="C30" s="100">
        <v>0</v>
      </c>
      <c r="D30" s="100">
        <v>35493665.600000001</v>
      </c>
      <c r="E30" s="101">
        <f t="shared" si="2"/>
        <v>35493665.600000001</v>
      </c>
      <c r="F30" s="100">
        <v>0</v>
      </c>
      <c r="G30" s="100">
        <v>31056302.329999998</v>
      </c>
      <c r="H30" s="102">
        <f t="shared" si="1"/>
        <v>31056302.329999998</v>
      </c>
    </row>
    <row r="31" spans="1:8" ht="15.75" x14ac:dyDescent="0.3">
      <c r="A31" s="95">
        <v>22</v>
      </c>
      <c r="B31" s="106" t="s">
        <v>106</v>
      </c>
      <c r="C31" s="101">
        <f>SUM(C22:C30)</f>
        <v>278403344.1299988</v>
      </c>
      <c r="D31" s="101">
        <f>SUM(D22:D30)</f>
        <v>422823280.11000931</v>
      </c>
      <c r="E31" s="101">
        <f>C31+D31</f>
        <v>701226624.24000812</v>
      </c>
      <c r="F31" s="101">
        <f>SUM(F22:F30)</f>
        <v>201798699.01999977</v>
      </c>
      <c r="G31" s="101">
        <f>SUM(G22:G30)</f>
        <v>351015936.39999974</v>
      </c>
      <c r="H31" s="102">
        <f t="shared" si="1"/>
        <v>552814635.41999948</v>
      </c>
    </row>
    <row r="32" spans="1:8" ht="15.75" x14ac:dyDescent="0.3">
      <c r="A32" s="95"/>
      <c r="B32" s="96" t="s">
        <v>107</v>
      </c>
      <c r="C32" s="107"/>
      <c r="D32" s="107"/>
      <c r="E32" s="100"/>
      <c r="F32" s="107"/>
      <c r="G32" s="107"/>
      <c r="H32" s="108"/>
    </row>
    <row r="33" spans="1:8" ht="15.75" x14ac:dyDescent="0.3">
      <c r="A33" s="95">
        <v>23</v>
      </c>
      <c r="B33" s="99" t="s">
        <v>108</v>
      </c>
      <c r="C33" s="100">
        <v>121372000</v>
      </c>
      <c r="D33" s="107"/>
      <c r="E33" s="101">
        <f t="shared" si="2"/>
        <v>121372000</v>
      </c>
      <c r="F33" s="100">
        <v>121372000</v>
      </c>
      <c r="G33" s="107"/>
      <c r="H33" s="102">
        <f t="shared" si="1"/>
        <v>121372000</v>
      </c>
    </row>
    <row r="34" spans="1:8" ht="15.75" x14ac:dyDescent="0.3">
      <c r="A34" s="95">
        <v>24</v>
      </c>
      <c r="B34" s="99" t="s">
        <v>109</v>
      </c>
      <c r="C34" s="100">
        <v>0</v>
      </c>
      <c r="D34" s="107"/>
      <c r="E34" s="101">
        <f t="shared" si="2"/>
        <v>0</v>
      </c>
      <c r="F34" s="100">
        <v>0</v>
      </c>
      <c r="G34" s="107"/>
      <c r="H34" s="102">
        <f t="shared" si="1"/>
        <v>0</v>
      </c>
    </row>
    <row r="35" spans="1:8" ht="15.75" x14ac:dyDescent="0.3">
      <c r="A35" s="95">
        <v>25</v>
      </c>
      <c r="B35" s="103" t="s">
        <v>110</v>
      </c>
      <c r="C35" s="100">
        <v>0</v>
      </c>
      <c r="D35" s="107"/>
      <c r="E35" s="101">
        <f t="shared" si="2"/>
        <v>0</v>
      </c>
      <c r="F35" s="100">
        <v>0</v>
      </c>
      <c r="G35" s="107"/>
      <c r="H35" s="102">
        <f t="shared" si="1"/>
        <v>0</v>
      </c>
    </row>
    <row r="36" spans="1:8" ht="15.75" x14ac:dyDescent="0.3">
      <c r="A36" s="95">
        <v>26</v>
      </c>
      <c r="B36" s="99" t="s">
        <v>111</v>
      </c>
      <c r="C36" s="100">
        <v>0</v>
      </c>
      <c r="D36" s="107"/>
      <c r="E36" s="101">
        <f t="shared" si="2"/>
        <v>0</v>
      </c>
      <c r="F36" s="100">
        <v>0</v>
      </c>
      <c r="G36" s="107"/>
      <c r="H36" s="102">
        <f t="shared" si="1"/>
        <v>0</v>
      </c>
    </row>
    <row r="37" spans="1:8" ht="15.75" x14ac:dyDescent="0.3">
      <c r="A37" s="95">
        <v>27</v>
      </c>
      <c r="B37" s="99" t="s">
        <v>112</v>
      </c>
      <c r="C37" s="100">
        <v>0</v>
      </c>
      <c r="D37" s="107"/>
      <c r="E37" s="101">
        <f t="shared" si="2"/>
        <v>0</v>
      </c>
      <c r="F37" s="100">
        <v>0</v>
      </c>
      <c r="G37" s="107"/>
      <c r="H37" s="102">
        <f t="shared" si="1"/>
        <v>0</v>
      </c>
    </row>
    <row r="38" spans="1:8" ht="15.75" x14ac:dyDescent="0.3">
      <c r="A38" s="95">
        <v>28</v>
      </c>
      <c r="B38" s="99" t="s">
        <v>113</v>
      </c>
      <c r="C38" s="100">
        <v>-376149.87999999151</v>
      </c>
      <c r="D38" s="107"/>
      <c r="E38" s="101">
        <f t="shared" si="2"/>
        <v>-376149.87999999151</v>
      </c>
      <c r="F38" s="100">
        <v>-17407366.710000426</v>
      </c>
      <c r="G38" s="107"/>
      <c r="H38" s="102">
        <f t="shared" si="1"/>
        <v>-17407366.710000426</v>
      </c>
    </row>
    <row r="39" spans="1:8" ht="15.75" x14ac:dyDescent="0.3">
      <c r="A39" s="95">
        <v>29</v>
      </c>
      <c r="B39" s="99" t="s">
        <v>114</v>
      </c>
      <c r="C39" s="100">
        <v>0</v>
      </c>
      <c r="D39" s="107"/>
      <c r="E39" s="101">
        <f t="shared" si="2"/>
        <v>0</v>
      </c>
      <c r="F39" s="100">
        <v>0</v>
      </c>
      <c r="G39" s="107"/>
      <c r="H39" s="102">
        <f t="shared" si="1"/>
        <v>0</v>
      </c>
    </row>
    <row r="40" spans="1:8" ht="15.75" x14ac:dyDescent="0.3">
      <c r="A40" s="95">
        <v>30</v>
      </c>
      <c r="B40" s="106" t="s">
        <v>115</v>
      </c>
      <c r="C40" s="100">
        <v>120995850.12</v>
      </c>
      <c r="D40" s="107"/>
      <c r="E40" s="101">
        <f t="shared" si="2"/>
        <v>120995850.12</v>
      </c>
      <c r="F40" s="100">
        <v>103964633.28999957</v>
      </c>
      <c r="G40" s="107"/>
      <c r="H40" s="102">
        <f t="shared" si="1"/>
        <v>103964633.28999957</v>
      </c>
    </row>
    <row r="41" spans="1:8" ht="16.5" thickBot="1" x14ac:dyDescent="0.35">
      <c r="A41" s="109">
        <v>31</v>
      </c>
      <c r="B41" s="110" t="s">
        <v>116</v>
      </c>
      <c r="C41" s="111">
        <f>C31+C40</f>
        <v>399399194.24999881</v>
      </c>
      <c r="D41" s="111">
        <f>D31+D40</f>
        <v>422823280.11000931</v>
      </c>
      <c r="E41" s="111">
        <f>C41+D41</f>
        <v>822222474.36000812</v>
      </c>
      <c r="F41" s="111">
        <f>F31+F40</f>
        <v>305763332.30999935</v>
      </c>
      <c r="G41" s="111">
        <f>G31+G40</f>
        <v>351015936.39999974</v>
      </c>
      <c r="H41" s="112">
        <f>F41+G41</f>
        <v>656779268.70999908</v>
      </c>
    </row>
    <row r="42" spans="1:8" x14ac:dyDescent="0.25">
      <c r="C42" s="113"/>
      <c r="D42" s="113"/>
      <c r="E42" s="113"/>
      <c r="F42" s="113"/>
      <c r="G42" s="113"/>
      <c r="H42" s="113"/>
    </row>
    <row r="43" spans="1:8" x14ac:dyDescent="0.25">
      <c r="B43" s="114"/>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46" activePane="bottomRight" state="frozen"/>
      <selection activeCell="P24" sqref="P24:Q24"/>
      <selection pane="topRight" activeCell="P24" sqref="P24:Q24"/>
      <selection pane="bottomLeft" activeCell="P24" sqref="P24:Q24"/>
      <selection pane="bottomRight" activeCell="C14" sqref="C14"/>
    </sheetView>
  </sheetViews>
  <sheetFormatPr defaultColWidth="9.140625" defaultRowHeight="15" x14ac:dyDescent="0.25"/>
  <cols>
    <col min="1" max="1" width="9.5703125" style="24" bestFit="1" customWidth="1"/>
    <col min="2" max="2" width="89.140625" style="24" customWidth="1"/>
    <col min="3" max="8" width="12.7109375" style="24" customWidth="1"/>
    <col min="9" max="9" width="8.85546875" customWidth="1"/>
    <col min="10" max="10" width="12.5703125" style="134" bestFit="1" customWidth="1"/>
    <col min="11" max="16384" width="9.140625" style="134"/>
  </cols>
  <sheetData>
    <row r="1" spans="1:8" ht="15.75" x14ac:dyDescent="0.3">
      <c r="A1" s="25" t="s">
        <v>29</v>
      </c>
      <c r="B1" s="24" t="str">
        <f>'1. key ratios'!B1</f>
        <v>სს ტერაბანკი</v>
      </c>
      <c r="C1" s="26"/>
      <c r="F1" s="26"/>
    </row>
    <row r="2" spans="1:8" ht="15.75" x14ac:dyDescent="0.3">
      <c r="A2" s="25" t="s">
        <v>31</v>
      </c>
      <c r="B2" s="84">
        <f>'1. key ratios'!B2</f>
        <v>43190</v>
      </c>
      <c r="C2" s="28"/>
      <c r="D2" s="29"/>
      <c r="E2" s="29"/>
      <c r="F2" s="28"/>
      <c r="G2" s="29"/>
      <c r="H2" s="29"/>
    </row>
    <row r="3" spans="1:8" ht="15.75" x14ac:dyDescent="0.3">
      <c r="A3" s="25"/>
      <c r="B3" s="26"/>
      <c r="C3" s="28"/>
      <c r="D3" s="29"/>
      <c r="E3" s="29"/>
      <c r="F3" s="28"/>
      <c r="G3" s="29"/>
      <c r="H3" s="29"/>
    </row>
    <row r="4" spans="1:8" ht="16.5" thickBot="1" x14ac:dyDescent="0.35">
      <c r="A4" s="115" t="s">
        <v>117</v>
      </c>
      <c r="B4" s="116" t="s">
        <v>118</v>
      </c>
      <c r="C4" s="117"/>
      <c r="D4" s="117"/>
      <c r="E4" s="117"/>
      <c r="F4" s="117"/>
      <c r="G4" s="117"/>
      <c r="H4" s="118" t="s">
        <v>75</v>
      </c>
    </row>
    <row r="5" spans="1:8" ht="15.75" x14ac:dyDescent="0.3">
      <c r="A5" s="119"/>
      <c r="B5" s="120"/>
      <c r="C5" s="91" t="s">
        <v>76</v>
      </c>
      <c r="D5" s="92"/>
      <c r="E5" s="93"/>
      <c r="F5" s="91" t="s">
        <v>77</v>
      </c>
      <c r="G5" s="92"/>
      <c r="H5" s="94"/>
    </row>
    <row r="6" spans="1:8" x14ac:dyDescent="0.25">
      <c r="A6" s="121" t="s">
        <v>33</v>
      </c>
      <c r="B6" s="122"/>
      <c r="C6" s="123" t="s">
        <v>79</v>
      </c>
      <c r="D6" s="123" t="s">
        <v>119</v>
      </c>
      <c r="E6" s="123" t="s">
        <v>81</v>
      </c>
      <c r="F6" s="123" t="s">
        <v>79</v>
      </c>
      <c r="G6" s="123" t="s">
        <v>119</v>
      </c>
      <c r="H6" s="124" t="s">
        <v>81</v>
      </c>
    </row>
    <row r="7" spans="1:8" x14ac:dyDescent="0.25">
      <c r="A7" s="125"/>
      <c r="B7" s="126" t="s">
        <v>120</v>
      </c>
      <c r="C7" s="127"/>
      <c r="D7" s="127"/>
      <c r="E7" s="127"/>
      <c r="F7" s="127"/>
      <c r="G7" s="127"/>
      <c r="H7" s="128"/>
    </row>
    <row r="8" spans="1:8" ht="15.75" x14ac:dyDescent="0.3">
      <c r="A8" s="125">
        <v>1</v>
      </c>
      <c r="B8" s="129" t="s">
        <v>121</v>
      </c>
      <c r="C8" s="130">
        <v>137392.87</v>
      </c>
      <c r="D8" s="131">
        <v>120893.99</v>
      </c>
      <c r="E8" s="101">
        <f>C8+D8</f>
        <v>258286.86</v>
      </c>
      <c r="F8" s="130">
        <v>190623.29</v>
      </c>
      <c r="G8" s="131">
        <v>-1049.3999999999999</v>
      </c>
      <c r="H8" s="102">
        <f>F8+G8</f>
        <v>189573.89</v>
      </c>
    </row>
    <row r="9" spans="1:8" ht="15.75" x14ac:dyDescent="0.3">
      <c r="A9" s="125">
        <v>2</v>
      </c>
      <c r="B9" s="129" t="s">
        <v>122</v>
      </c>
      <c r="C9" s="132">
        <f>SUM(C10:C18)</f>
        <v>7533687.6300000008</v>
      </c>
      <c r="D9" s="132">
        <f>SUM(D10:D18)</f>
        <v>7698516.4400000004</v>
      </c>
      <c r="E9" s="101">
        <f>C9+D9</f>
        <v>15232204.07</v>
      </c>
      <c r="F9" s="132">
        <f>SUM(F10:F18)</f>
        <v>5006950.4700000007</v>
      </c>
      <c r="G9" s="132">
        <f>SUM(G10:G18)</f>
        <v>7260617.7000000002</v>
      </c>
      <c r="H9" s="102">
        <f t="shared" ref="H9:H67" si="0">F9+G9</f>
        <v>12267568.170000002</v>
      </c>
    </row>
    <row r="10" spans="1:8" ht="15.75" x14ac:dyDescent="0.3">
      <c r="A10" s="125">
        <v>2.1</v>
      </c>
      <c r="B10" s="133" t="s">
        <v>123</v>
      </c>
      <c r="C10" s="130">
        <v>0</v>
      </c>
      <c r="D10" s="130">
        <v>0</v>
      </c>
      <c r="E10" s="101">
        <f t="shared" ref="E10:E67" si="1">C10+D10</f>
        <v>0</v>
      </c>
      <c r="F10" s="130">
        <v>0</v>
      </c>
      <c r="G10" s="130">
        <v>0</v>
      </c>
      <c r="H10" s="102">
        <f t="shared" si="0"/>
        <v>0</v>
      </c>
    </row>
    <row r="11" spans="1:8" ht="15.75" x14ac:dyDescent="0.3">
      <c r="A11" s="125">
        <v>2.2000000000000002</v>
      </c>
      <c r="B11" s="133" t="s">
        <v>124</v>
      </c>
      <c r="C11" s="130">
        <v>1586331.15</v>
      </c>
      <c r="D11" s="130">
        <v>3080869.8200000003</v>
      </c>
      <c r="E11" s="101">
        <f t="shared" si="1"/>
        <v>4667200.9700000007</v>
      </c>
      <c r="F11" s="130">
        <v>1052520.6300000004</v>
      </c>
      <c r="G11" s="130">
        <v>2523993.7200000002</v>
      </c>
      <c r="H11" s="102">
        <f t="shared" si="0"/>
        <v>3576514.3500000006</v>
      </c>
    </row>
    <row r="12" spans="1:8" ht="15.75" x14ac:dyDescent="0.3">
      <c r="A12" s="125">
        <v>2.2999999999999998</v>
      </c>
      <c r="B12" s="133" t="s">
        <v>125</v>
      </c>
      <c r="C12" s="130">
        <v>0</v>
      </c>
      <c r="D12" s="130">
        <v>63333.43</v>
      </c>
      <c r="E12" s="101">
        <f t="shared" si="1"/>
        <v>63333.43</v>
      </c>
      <c r="F12" s="130">
        <v>11348.48</v>
      </c>
      <c r="G12" s="130">
        <v>0</v>
      </c>
      <c r="H12" s="102">
        <f t="shared" si="0"/>
        <v>11348.48</v>
      </c>
    </row>
    <row r="13" spans="1:8" ht="15.75" x14ac:dyDescent="0.3">
      <c r="A13" s="125">
        <v>2.4</v>
      </c>
      <c r="B13" s="133" t="s">
        <v>126</v>
      </c>
      <c r="C13" s="130">
        <v>214602.63</v>
      </c>
      <c r="D13" s="130">
        <v>86796.39</v>
      </c>
      <c r="E13" s="101">
        <f t="shared" si="1"/>
        <v>301399.02</v>
      </c>
      <c r="F13" s="130">
        <v>171654.91000000003</v>
      </c>
      <c r="G13" s="130">
        <v>206885.46999999997</v>
      </c>
      <c r="H13" s="102">
        <f t="shared" si="0"/>
        <v>378540.38</v>
      </c>
    </row>
    <row r="14" spans="1:8" ht="15.75" x14ac:dyDescent="0.3">
      <c r="A14" s="125">
        <v>2.5</v>
      </c>
      <c r="B14" s="133" t="s">
        <v>127</v>
      </c>
      <c r="C14" s="130">
        <v>165590.94</v>
      </c>
      <c r="D14" s="130">
        <v>894706.96000000008</v>
      </c>
      <c r="E14" s="101">
        <f t="shared" si="1"/>
        <v>1060297.9000000001</v>
      </c>
      <c r="F14" s="130">
        <v>188078.30000000002</v>
      </c>
      <c r="G14" s="130">
        <v>774908.31</v>
      </c>
      <c r="H14" s="102">
        <f t="shared" si="0"/>
        <v>962986.6100000001</v>
      </c>
    </row>
    <row r="15" spans="1:8" ht="15.75" x14ac:dyDescent="0.3">
      <c r="A15" s="125">
        <v>2.6</v>
      </c>
      <c r="B15" s="133" t="s">
        <v>128</v>
      </c>
      <c r="C15" s="130">
        <v>-36.159999999999997</v>
      </c>
      <c r="D15" s="130">
        <v>5285.72</v>
      </c>
      <c r="E15" s="101">
        <f t="shared" si="1"/>
        <v>5249.56</v>
      </c>
      <c r="F15" s="130">
        <v>0</v>
      </c>
      <c r="G15" s="130">
        <v>0</v>
      </c>
      <c r="H15" s="102">
        <f t="shared" si="0"/>
        <v>0</v>
      </c>
    </row>
    <row r="16" spans="1:8" ht="15.75" x14ac:dyDescent="0.3">
      <c r="A16" s="125">
        <v>2.7</v>
      </c>
      <c r="B16" s="133" t="s">
        <v>129</v>
      </c>
      <c r="C16" s="130">
        <v>1042.3899999999999</v>
      </c>
      <c r="D16" s="130">
        <v>36907.160000000003</v>
      </c>
      <c r="E16" s="101">
        <f t="shared" si="1"/>
        <v>37949.550000000003</v>
      </c>
      <c r="F16" s="130">
        <v>904</v>
      </c>
      <c r="G16" s="130">
        <v>4561.6900000000005</v>
      </c>
      <c r="H16" s="102">
        <f t="shared" si="0"/>
        <v>5465.6900000000005</v>
      </c>
    </row>
    <row r="17" spans="1:10" ht="15.75" x14ac:dyDescent="0.3">
      <c r="A17" s="125">
        <v>2.8</v>
      </c>
      <c r="B17" s="133" t="s">
        <v>130</v>
      </c>
      <c r="C17" s="130">
        <v>4015649.12</v>
      </c>
      <c r="D17" s="130">
        <v>2551236.0699999998</v>
      </c>
      <c r="E17" s="101">
        <f t="shared" si="1"/>
        <v>6566885.1899999995</v>
      </c>
      <c r="F17" s="130">
        <v>2654540.58</v>
      </c>
      <c r="G17" s="130">
        <v>1780464.96</v>
      </c>
      <c r="H17" s="102">
        <f t="shared" si="0"/>
        <v>4435005.54</v>
      </c>
    </row>
    <row r="18" spans="1:10" ht="15.75" x14ac:dyDescent="0.3">
      <c r="A18" s="125">
        <v>2.9</v>
      </c>
      <c r="B18" s="133" t="s">
        <v>131</v>
      </c>
      <c r="C18" s="130">
        <v>1550507.56</v>
      </c>
      <c r="D18" s="130">
        <v>979380.8899999999</v>
      </c>
      <c r="E18" s="101">
        <f t="shared" si="1"/>
        <v>2529888.4500000002</v>
      </c>
      <c r="F18" s="130">
        <v>927903.57000000018</v>
      </c>
      <c r="G18" s="130">
        <v>1969803.5499999998</v>
      </c>
      <c r="H18" s="102">
        <f t="shared" si="0"/>
        <v>2897707.12</v>
      </c>
    </row>
    <row r="19" spans="1:10" ht="15.75" x14ac:dyDescent="0.3">
      <c r="A19" s="125">
        <v>3</v>
      </c>
      <c r="B19" s="129" t="s">
        <v>132</v>
      </c>
      <c r="C19" s="130">
        <v>296720.53000000003</v>
      </c>
      <c r="D19" s="130">
        <v>228690.85</v>
      </c>
      <c r="E19" s="101">
        <f t="shared" si="1"/>
        <v>525411.38</v>
      </c>
      <c r="F19" s="130">
        <v>301688.26999999996</v>
      </c>
      <c r="G19" s="130">
        <v>273055.82999999996</v>
      </c>
      <c r="H19" s="102">
        <f t="shared" si="0"/>
        <v>574744.09999999986</v>
      </c>
    </row>
    <row r="20" spans="1:10" ht="15.75" x14ac:dyDescent="0.3">
      <c r="A20" s="125">
        <v>4</v>
      </c>
      <c r="B20" s="129" t="s">
        <v>133</v>
      </c>
      <c r="C20" s="130">
        <v>1050561.49</v>
      </c>
      <c r="D20" s="130">
        <v>0</v>
      </c>
      <c r="E20" s="101">
        <f t="shared" si="1"/>
        <v>1050561.49</v>
      </c>
      <c r="F20" s="130">
        <v>795313.68</v>
      </c>
      <c r="G20" s="130">
        <v>0</v>
      </c>
      <c r="H20" s="102">
        <f t="shared" si="0"/>
        <v>795313.68</v>
      </c>
    </row>
    <row r="21" spans="1:10" ht="15.75" x14ac:dyDescent="0.3">
      <c r="A21" s="125">
        <v>5</v>
      </c>
      <c r="B21" s="129" t="s">
        <v>134</v>
      </c>
      <c r="C21" s="130">
        <v>310215.11</v>
      </c>
      <c r="D21" s="130">
        <v>118218.07</v>
      </c>
      <c r="E21" s="101">
        <f t="shared" si="1"/>
        <v>428433.18</v>
      </c>
      <c r="F21" s="130">
        <v>197048.68999999997</v>
      </c>
      <c r="G21" s="130">
        <v>47733.850000000006</v>
      </c>
      <c r="H21" s="102">
        <f>F21+G21</f>
        <v>244782.53999999998</v>
      </c>
    </row>
    <row r="22" spans="1:10" ht="15.75" x14ac:dyDescent="0.3">
      <c r="A22" s="125">
        <v>6</v>
      </c>
      <c r="B22" s="135" t="s">
        <v>135</v>
      </c>
      <c r="C22" s="132">
        <f>C8+C9+C19+C20+C21</f>
        <v>9328577.6300000008</v>
      </c>
      <c r="D22" s="132">
        <f>D8+D9+D19+D20+D21</f>
        <v>8166319.3500000006</v>
      </c>
      <c r="E22" s="101">
        <f>C22+D22</f>
        <v>17494896.98</v>
      </c>
      <c r="F22" s="132">
        <f>F8+F9+F19+F20+F21</f>
        <v>6491624.4000000004</v>
      </c>
      <c r="G22" s="132">
        <f>G8+G9+G19+G20+G21</f>
        <v>7580357.9799999995</v>
      </c>
      <c r="H22" s="102">
        <f>F22+G22</f>
        <v>14071982.379999999</v>
      </c>
      <c r="J22" s="136"/>
    </row>
    <row r="23" spans="1:10" ht="15.75" x14ac:dyDescent="0.3">
      <c r="A23" s="125"/>
      <c r="B23" s="126" t="s">
        <v>136</v>
      </c>
      <c r="C23" s="130"/>
      <c r="D23" s="130"/>
      <c r="E23" s="100"/>
      <c r="F23" s="130"/>
      <c r="G23" s="130"/>
      <c r="H23" s="108"/>
    </row>
    <row r="24" spans="1:10" ht="15.75" x14ac:dyDescent="0.3">
      <c r="A24" s="125">
        <v>7</v>
      </c>
      <c r="B24" s="129" t="s">
        <v>137</v>
      </c>
      <c r="C24" s="130">
        <v>1551156.29</v>
      </c>
      <c r="D24" s="130">
        <v>841168.08000000007</v>
      </c>
      <c r="E24" s="101">
        <f t="shared" si="1"/>
        <v>2392324.37</v>
      </c>
      <c r="F24" s="130">
        <v>1836659.2800000003</v>
      </c>
      <c r="G24" s="130">
        <v>1085472.6099999999</v>
      </c>
      <c r="H24" s="102">
        <f t="shared" si="0"/>
        <v>2922131.89</v>
      </c>
    </row>
    <row r="25" spans="1:10" ht="15.75" x14ac:dyDescent="0.3">
      <c r="A25" s="125">
        <v>8</v>
      </c>
      <c r="B25" s="129" t="s">
        <v>138</v>
      </c>
      <c r="C25" s="130">
        <v>2010471.8</v>
      </c>
      <c r="D25" s="130">
        <v>1550661.1600000001</v>
      </c>
      <c r="E25" s="101">
        <f t="shared" si="1"/>
        <v>3561132.96</v>
      </c>
      <c r="F25" s="130">
        <v>1161981.1400000001</v>
      </c>
      <c r="G25" s="130">
        <v>1903320.96</v>
      </c>
      <c r="H25" s="102">
        <f t="shared" si="0"/>
        <v>3065302.1</v>
      </c>
    </row>
    <row r="26" spans="1:10" ht="15.75" x14ac:dyDescent="0.3">
      <c r="A26" s="125">
        <v>9</v>
      </c>
      <c r="B26" s="129" t="s">
        <v>139</v>
      </c>
      <c r="C26" s="130">
        <v>113447.96</v>
      </c>
      <c r="D26" s="130">
        <v>32709.72</v>
      </c>
      <c r="E26" s="101">
        <f t="shared" si="1"/>
        <v>146157.68</v>
      </c>
      <c r="F26" s="130">
        <v>33128.76</v>
      </c>
      <c r="G26" s="130">
        <v>237.72</v>
      </c>
      <c r="H26" s="102">
        <f t="shared" si="0"/>
        <v>33366.480000000003</v>
      </c>
      <c r="J26" s="137"/>
    </row>
    <row r="27" spans="1:10" ht="15.75" x14ac:dyDescent="0.3">
      <c r="A27" s="125">
        <v>10</v>
      </c>
      <c r="B27" s="129" t="s">
        <v>140</v>
      </c>
      <c r="C27" s="130">
        <v>0</v>
      </c>
      <c r="D27" s="130">
        <v>0</v>
      </c>
      <c r="E27" s="101">
        <f t="shared" si="1"/>
        <v>0</v>
      </c>
      <c r="F27" s="130">
        <v>0</v>
      </c>
      <c r="G27" s="130">
        <v>0</v>
      </c>
      <c r="H27" s="102">
        <f t="shared" si="0"/>
        <v>0</v>
      </c>
    </row>
    <row r="28" spans="1:10" ht="15.75" x14ac:dyDescent="0.3">
      <c r="A28" s="125">
        <v>11</v>
      </c>
      <c r="B28" s="129" t="s">
        <v>141</v>
      </c>
      <c r="C28" s="130">
        <v>1394102.94</v>
      </c>
      <c r="D28" s="130">
        <v>692276.58</v>
      </c>
      <c r="E28" s="101">
        <f t="shared" si="1"/>
        <v>2086379.52</v>
      </c>
      <c r="F28" s="130">
        <v>337619.83</v>
      </c>
      <c r="G28" s="130">
        <v>841443.34</v>
      </c>
      <c r="H28" s="102">
        <f t="shared" si="0"/>
        <v>1179063.17</v>
      </c>
    </row>
    <row r="29" spans="1:10" ht="15.75" x14ac:dyDescent="0.3">
      <c r="A29" s="125">
        <v>12</v>
      </c>
      <c r="B29" s="129" t="s">
        <v>142</v>
      </c>
      <c r="C29" s="130">
        <v>0</v>
      </c>
      <c r="D29" s="130">
        <v>0</v>
      </c>
      <c r="E29" s="101">
        <f t="shared" si="1"/>
        <v>0</v>
      </c>
      <c r="F29" s="130">
        <v>0</v>
      </c>
      <c r="G29" s="130">
        <v>0</v>
      </c>
      <c r="H29" s="102">
        <f t="shared" si="0"/>
        <v>0</v>
      </c>
    </row>
    <row r="30" spans="1:10" ht="15.75" x14ac:dyDescent="0.3">
      <c r="A30" s="125">
        <v>13</v>
      </c>
      <c r="B30" s="138" t="s">
        <v>143</v>
      </c>
      <c r="C30" s="132">
        <f>SUM(C24:C29)</f>
        <v>5069178.99</v>
      </c>
      <c r="D30" s="132">
        <f>SUM(D24:D29)</f>
        <v>3116815.5400000005</v>
      </c>
      <c r="E30" s="101">
        <f t="shared" si="1"/>
        <v>8185994.5300000012</v>
      </c>
      <c r="F30" s="132">
        <f>SUM(F24:F29)</f>
        <v>3369389.0100000002</v>
      </c>
      <c r="G30" s="132">
        <f>SUM(G24:G29)</f>
        <v>3830474.63</v>
      </c>
      <c r="H30" s="102">
        <f t="shared" si="0"/>
        <v>7199863.6400000006</v>
      </c>
    </row>
    <row r="31" spans="1:10" ht="15.75" x14ac:dyDescent="0.3">
      <c r="A31" s="125">
        <v>14</v>
      </c>
      <c r="B31" s="138" t="s">
        <v>144</v>
      </c>
      <c r="C31" s="132">
        <f>C22-C30</f>
        <v>4259398.6400000006</v>
      </c>
      <c r="D31" s="132">
        <f>D22-D30</f>
        <v>5049503.8100000005</v>
      </c>
      <c r="E31" s="101">
        <f t="shared" si="1"/>
        <v>9308902.4500000011</v>
      </c>
      <c r="F31" s="132">
        <f>F22-F30</f>
        <v>3122235.39</v>
      </c>
      <c r="G31" s="132">
        <f>G22-G30</f>
        <v>3749883.3499999996</v>
      </c>
      <c r="H31" s="102">
        <f t="shared" si="0"/>
        <v>6872118.7400000002</v>
      </c>
    </row>
    <row r="32" spans="1:10" x14ac:dyDescent="0.25">
      <c r="A32" s="125"/>
      <c r="B32" s="126"/>
      <c r="C32" s="139"/>
      <c r="D32" s="139"/>
      <c r="E32" s="139"/>
      <c r="F32" s="139"/>
      <c r="G32" s="139"/>
      <c r="H32" s="140"/>
    </row>
    <row r="33" spans="1:8" ht="15.75" x14ac:dyDescent="0.3">
      <c r="A33" s="125"/>
      <c r="B33" s="126" t="s">
        <v>145</v>
      </c>
      <c r="C33" s="130"/>
      <c r="D33" s="130"/>
      <c r="E33" s="100"/>
      <c r="F33" s="130"/>
      <c r="G33" s="130"/>
      <c r="H33" s="108"/>
    </row>
    <row r="34" spans="1:8" ht="15.75" x14ac:dyDescent="0.3">
      <c r="A34" s="125">
        <v>15</v>
      </c>
      <c r="B34" s="141" t="s">
        <v>146</v>
      </c>
      <c r="C34" s="132">
        <f>C35-C36</f>
        <v>860203.58000000031</v>
      </c>
      <c r="D34" s="132">
        <f>D35-D36</f>
        <v>338162.18000000017</v>
      </c>
      <c r="E34" s="101">
        <f t="shared" si="1"/>
        <v>1198365.7600000005</v>
      </c>
      <c r="F34" s="132">
        <f>F35-F36</f>
        <v>673482.1599999998</v>
      </c>
      <c r="G34" s="132">
        <f>G35-G36</f>
        <v>254245.90000000002</v>
      </c>
      <c r="H34" s="102">
        <f t="shared" si="0"/>
        <v>927728.05999999982</v>
      </c>
    </row>
    <row r="35" spans="1:8" ht="15.75" x14ac:dyDescent="0.3">
      <c r="A35" s="125">
        <v>15.1</v>
      </c>
      <c r="B35" s="133" t="s">
        <v>147</v>
      </c>
      <c r="C35" s="130">
        <v>1272010.0500000003</v>
      </c>
      <c r="D35" s="130">
        <v>856381.89000000013</v>
      </c>
      <c r="E35" s="101">
        <f t="shared" si="1"/>
        <v>2128391.9400000004</v>
      </c>
      <c r="F35" s="130">
        <v>1061889.1299999999</v>
      </c>
      <c r="G35" s="130">
        <v>921637.46</v>
      </c>
      <c r="H35" s="102">
        <f t="shared" si="0"/>
        <v>1983526.5899999999</v>
      </c>
    </row>
    <row r="36" spans="1:8" ht="15.75" x14ac:dyDescent="0.3">
      <c r="A36" s="125">
        <v>15.2</v>
      </c>
      <c r="B36" s="133" t="s">
        <v>148</v>
      </c>
      <c r="C36" s="130">
        <v>411806.47000000003</v>
      </c>
      <c r="D36" s="130">
        <v>518219.70999999996</v>
      </c>
      <c r="E36" s="101">
        <f t="shared" si="1"/>
        <v>930026.17999999993</v>
      </c>
      <c r="F36" s="130">
        <v>388406.97000000009</v>
      </c>
      <c r="G36" s="130">
        <v>667391.55999999994</v>
      </c>
      <c r="H36" s="102">
        <f t="shared" si="0"/>
        <v>1055798.53</v>
      </c>
    </row>
    <row r="37" spans="1:8" ht="15.75" x14ac:dyDescent="0.3">
      <c r="A37" s="125">
        <v>16</v>
      </c>
      <c r="B37" s="129" t="s">
        <v>149</v>
      </c>
      <c r="C37" s="130">
        <v>0</v>
      </c>
      <c r="D37" s="130">
        <v>0</v>
      </c>
      <c r="E37" s="101">
        <f t="shared" si="1"/>
        <v>0</v>
      </c>
      <c r="F37" s="130">
        <v>0</v>
      </c>
      <c r="G37" s="130">
        <v>0</v>
      </c>
      <c r="H37" s="102">
        <f t="shared" si="0"/>
        <v>0</v>
      </c>
    </row>
    <row r="38" spans="1:8" ht="15.75" x14ac:dyDescent="0.3">
      <c r="A38" s="125">
        <v>17</v>
      </c>
      <c r="B38" s="129" t="s">
        <v>150</v>
      </c>
      <c r="C38" s="130">
        <v>0</v>
      </c>
      <c r="D38" s="130">
        <v>0</v>
      </c>
      <c r="E38" s="101">
        <f t="shared" si="1"/>
        <v>0</v>
      </c>
      <c r="F38" s="130">
        <v>0</v>
      </c>
      <c r="G38" s="130">
        <v>0</v>
      </c>
      <c r="H38" s="102">
        <f t="shared" si="0"/>
        <v>0</v>
      </c>
    </row>
    <row r="39" spans="1:8" ht="15.75" x14ac:dyDescent="0.3">
      <c r="A39" s="125">
        <v>18</v>
      </c>
      <c r="B39" s="129" t="s">
        <v>151</v>
      </c>
      <c r="C39" s="130">
        <v>0</v>
      </c>
      <c r="D39" s="130">
        <v>0</v>
      </c>
      <c r="E39" s="101">
        <f t="shared" si="1"/>
        <v>0</v>
      </c>
      <c r="F39" s="130">
        <v>0</v>
      </c>
      <c r="G39" s="130">
        <v>0</v>
      </c>
      <c r="H39" s="102">
        <f t="shared" si="0"/>
        <v>0</v>
      </c>
    </row>
    <row r="40" spans="1:8" ht="15.75" x14ac:dyDescent="0.3">
      <c r="A40" s="125">
        <v>19</v>
      </c>
      <c r="B40" s="129" t="s">
        <v>152</v>
      </c>
      <c r="C40" s="130">
        <v>2980854.96</v>
      </c>
      <c r="D40" s="130">
        <v>0</v>
      </c>
      <c r="E40" s="101">
        <f t="shared" si="1"/>
        <v>2980854.96</v>
      </c>
      <c r="F40" s="130">
        <v>978576.92000000039</v>
      </c>
      <c r="G40" s="130">
        <v>0</v>
      </c>
      <c r="H40" s="102">
        <f t="shared" si="0"/>
        <v>978576.92000000039</v>
      </c>
    </row>
    <row r="41" spans="1:8" ht="15.75" x14ac:dyDescent="0.3">
      <c r="A41" s="125">
        <v>20</v>
      </c>
      <c r="B41" s="129" t="s">
        <v>153</v>
      </c>
      <c r="C41" s="130">
        <v>-2630401.7199999997</v>
      </c>
      <c r="D41" s="130">
        <v>0</v>
      </c>
      <c r="E41" s="101">
        <f t="shared" si="1"/>
        <v>-2630401.7199999997</v>
      </c>
      <c r="F41" s="130">
        <v>-1083716.6400000006</v>
      </c>
      <c r="G41" s="130">
        <v>0</v>
      </c>
      <c r="H41" s="102">
        <f t="shared" si="0"/>
        <v>-1083716.6400000006</v>
      </c>
    </row>
    <row r="42" spans="1:8" ht="15.75" x14ac:dyDescent="0.3">
      <c r="A42" s="125">
        <v>21</v>
      </c>
      <c r="B42" s="129" t="s">
        <v>154</v>
      </c>
      <c r="C42" s="130">
        <v>19396.09</v>
      </c>
      <c r="D42" s="130">
        <v>0</v>
      </c>
      <c r="E42" s="101">
        <f t="shared" si="1"/>
        <v>19396.09</v>
      </c>
      <c r="F42" s="130">
        <v>276</v>
      </c>
      <c r="G42" s="130">
        <v>0</v>
      </c>
      <c r="H42" s="102">
        <f t="shared" si="0"/>
        <v>276</v>
      </c>
    </row>
    <row r="43" spans="1:8" ht="15.75" x14ac:dyDescent="0.3">
      <c r="A43" s="125">
        <v>22</v>
      </c>
      <c r="B43" s="129" t="s">
        <v>155</v>
      </c>
      <c r="C43" s="130">
        <v>11300</v>
      </c>
      <c r="D43" s="130">
        <v>183233.88</v>
      </c>
      <c r="E43" s="101">
        <f t="shared" si="1"/>
        <v>194533.88</v>
      </c>
      <c r="F43" s="130">
        <v>2750</v>
      </c>
      <c r="G43" s="130">
        <v>140543.17000000001</v>
      </c>
      <c r="H43" s="102">
        <f t="shared" si="0"/>
        <v>143293.17000000001</v>
      </c>
    </row>
    <row r="44" spans="1:8" ht="15.75" x14ac:dyDescent="0.3">
      <c r="A44" s="125">
        <v>23</v>
      </c>
      <c r="B44" s="129" t="s">
        <v>156</v>
      </c>
      <c r="C44" s="130">
        <v>83628.92</v>
      </c>
      <c r="D44" s="130">
        <v>76155.88</v>
      </c>
      <c r="E44" s="101">
        <f t="shared" si="1"/>
        <v>159784.79999999999</v>
      </c>
      <c r="F44" s="130">
        <v>3758.57</v>
      </c>
      <c r="G44" s="130">
        <v>215.77999958515167</v>
      </c>
      <c r="H44" s="102">
        <f t="shared" si="0"/>
        <v>3974.3499995851516</v>
      </c>
    </row>
    <row r="45" spans="1:8" ht="15.75" x14ac:dyDescent="0.3">
      <c r="A45" s="125">
        <v>24</v>
      </c>
      <c r="B45" s="138" t="s">
        <v>157</v>
      </c>
      <c r="C45" s="132">
        <f>C34+C37+C38+C39+C40+C41+C42+C43+C44</f>
        <v>1324981.8300000003</v>
      </c>
      <c r="D45" s="132">
        <f>D34+D37+D38+D39+D40+D41+D42+D43+D44</f>
        <v>597551.94000000018</v>
      </c>
      <c r="E45" s="101">
        <f t="shared" si="1"/>
        <v>1922533.7700000005</v>
      </c>
      <c r="F45" s="132">
        <f>F34+F37+F38+F39+F40+F41+F42+F43+F44</f>
        <v>575127.00999999943</v>
      </c>
      <c r="G45" s="132">
        <f>G34+G37+G38+G39+G40+G41+G42+G43+G44</f>
        <v>395004.84999958519</v>
      </c>
      <c r="H45" s="102">
        <f t="shared" si="0"/>
        <v>970131.85999958462</v>
      </c>
    </row>
    <row r="46" spans="1:8" x14ac:dyDescent="0.25">
      <c r="A46" s="125"/>
      <c r="B46" s="126" t="s">
        <v>158</v>
      </c>
      <c r="C46" s="130"/>
      <c r="D46" s="130"/>
      <c r="E46" s="130"/>
      <c r="F46" s="130"/>
      <c r="G46" s="130"/>
      <c r="H46" s="142"/>
    </row>
    <row r="47" spans="1:8" ht="15.75" x14ac:dyDescent="0.3">
      <c r="A47" s="125">
        <v>25</v>
      </c>
      <c r="B47" s="129" t="s">
        <v>159</v>
      </c>
      <c r="C47" s="130">
        <v>170266.18</v>
      </c>
      <c r="D47" s="130">
        <v>126175.84999999999</v>
      </c>
      <c r="E47" s="101">
        <f t="shared" si="1"/>
        <v>296442.02999999997</v>
      </c>
      <c r="F47" s="130">
        <v>111230.19</v>
      </c>
      <c r="G47" s="130">
        <v>84486.66</v>
      </c>
      <c r="H47" s="102">
        <f t="shared" si="0"/>
        <v>195716.85</v>
      </c>
    </row>
    <row r="48" spans="1:8" ht="15.75" x14ac:dyDescent="0.3">
      <c r="A48" s="125">
        <v>26</v>
      </c>
      <c r="B48" s="129" t="s">
        <v>160</v>
      </c>
      <c r="C48" s="130">
        <v>243355.58</v>
      </c>
      <c r="D48" s="130">
        <v>0</v>
      </c>
      <c r="E48" s="101">
        <f t="shared" si="1"/>
        <v>243355.58</v>
      </c>
      <c r="F48" s="130">
        <v>343289.91000000003</v>
      </c>
      <c r="G48" s="130">
        <v>4352.29</v>
      </c>
      <c r="H48" s="102">
        <f t="shared" si="0"/>
        <v>347642.2</v>
      </c>
    </row>
    <row r="49" spans="1:9" ht="15.75" x14ac:dyDescent="0.3">
      <c r="A49" s="125">
        <v>27</v>
      </c>
      <c r="B49" s="129" t="s">
        <v>161</v>
      </c>
      <c r="C49" s="130">
        <v>2497774.6399999997</v>
      </c>
      <c r="D49" s="130">
        <v>0</v>
      </c>
      <c r="E49" s="101">
        <f t="shared" si="1"/>
        <v>2497774.6399999997</v>
      </c>
      <c r="F49" s="130">
        <v>2504786.0900000003</v>
      </c>
      <c r="G49" s="130">
        <v>0</v>
      </c>
      <c r="H49" s="102">
        <f t="shared" si="0"/>
        <v>2504786.0900000003</v>
      </c>
    </row>
    <row r="50" spans="1:9" ht="15.75" x14ac:dyDescent="0.3">
      <c r="A50" s="125">
        <v>28</v>
      </c>
      <c r="B50" s="129" t="s">
        <v>162</v>
      </c>
      <c r="C50" s="130">
        <v>0</v>
      </c>
      <c r="D50" s="130">
        <v>0</v>
      </c>
      <c r="E50" s="101">
        <f t="shared" si="1"/>
        <v>0</v>
      </c>
      <c r="F50" s="130">
        <v>1233.5</v>
      </c>
      <c r="G50" s="130">
        <v>0</v>
      </c>
      <c r="H50" s="102">
        <f t="shared" si="0"/>
        <v>1233.5</v>
      </c>
    </row>
    <row r="51" spans="1:9" ht="15.75" x14ac:dyDescent="0.3">
      <c r="A51" s="125">
        <v>29</v>
      </c>
      <c r="B51" s="129" t="s">
        <v>163</v>
      </c>
      <c r="C51" s="130">
        <v>930970.88</v>
      </c>
      <c r="D51" s="130">
        <v>0</v>
      </c>
      <c r="E51" s="101">
        <f t="shared" si="1"/>
        <v>930970.88</v>
      </c>
      <c r="F51" s="130">
        <v>1077269.49</v>
      </c>
      <c r="G51" s="130">
        <v>0</v>
      </c>
      <c r="H51" s="102">
        <f t="shared" si="0"/>
        <v>1077269.49</v>
      </c>
    </row>
    <row r="52" spans="1:9" ht="15.75" x14ac:dyDescent="0.3">
      <c r="A52" s="125">
        <v>30</v>
      </c>
      <c r="B52" s="129" t="s">
        <v>164</v>
      </c>
      <c r="C52" s="130">
        <v>1305303.08</v>
      </c>
      <c r="D52" s="130">
        <v>256.86</v>
      </c>
      <c r="E52" s="101">
        <f t="shared" si="1"/>
        <v>1305559.9400000002</v>
      </c>
      <c r="F52" s="130">
        <v>1421750.4700000002</v>
      </c>
      <c r="G52" s="130">
        <v>8768.2000000000007</v>
      </c>
      <c r="H52" s="102">
        <f t="shared" si="0"/>
        <v>1430518.6700000002</v>
      </c>
    </row>
    <row r="53" spans="1:9" ht="15.75" x14ac:dyDescent="0.3">
      <c r="A53" s="125">
        <v>31</v>
      </c>
      <c r="B53" s="138" t="s">
        <v>165</v>
      </c>
      <c r="C53" s="132">
        <f>C47+C48+C49+C50+C51+C52</f>
        <v>5147670.3599999994</v>
      </c>
      <c r="D53" s="132">
        <f>D47+D48+D49+D50+D51+D52</f>
        <v>126432.70999999999</v>
      </c>
      <c r="E53" s="101">
        <f t="shared" si="1"/>
        <v>5274103.0699999994</v>
      </c>
      <c r="F53" s="132">
        <f>F47+F48+F49+F50+F51+F52</f>
        <v>5459559.6500000004</v>
      </c>
      <c r="G53" s="132">
        <f>G47+G48+G49+G50+G51+G52</f>
        <v>97607.15</v>
      </c>
      <c r="H53" s="102">
        <f t="shared" si="0"/>
        <v>5557166.8000000007</v>
      </c>
    </row>
    <row r="54" spans="1:9" ht="15.75" x14ac:dyDescent="0.3">
      <c r="A54" s="125">
        <v>32</v>
      </c>
      <c r="B54" s="138" t="s">
        <v>166</v>
      </c>
      <c r="C54" s="132">
        <f>C45-C53</f>
        <v>-3822688.5299999993</v>
      </c>
      <c r="D54" s="132">
        <f>D45-D53</f>
        <v>471119.23000000021</v>
      </c>
      <c r="E54" s="101">
        <f t="shared" si="1"/>
        <v>-3351569.2999999989</v>
      </c>
      <c r="F54" s="132">
        <f>F45-F53</f>
        <v>-4884432.6400000006</v>
      </c>
      <c r="G54" s="132">
        <f>G45-G53</f>
        <v>297397.69999958517</v>
      </c>
      <c r="H54" s="102">
        <f t="shared" si="0"/>
        <v>-4587034.9400004158</v>
      </c>
    </row>
    <row r="55" spans="1:9" x14ac:dyDescent="0.25">
      <c r="A55" s="125"/>
      <c r="B55" s="126"/>
      <c r="C55" s="139"/>
      <c r="D55" s="139"/>
      <c r="E55" s="139"/>
      <c r="F55" s="139"/>
      <c r="G55" s="139"/>
      <c r="H55" s="140"/>
    </row>
    <row r="56" spans="1:9" ht="15.75" x14ac:dyDescent="0.3">
      <c r="A56" s="125">
        <v>33</v>
      </c>
      <c r="B56" s="138" t="s">
        <v>167</v>
      </c>
      <c r="C56" s="132">
        <f>C31+C54</f>
        <v>436710.11000000127</v>
      </c>
      <c r="D56" s="132">
        <f>D31+D54</f>
        <v>5520623.040000001</v>
      </c>
      <c r="E56" s="101">
        <f t="shared" si="1"/>
        <v>5957333.1500000022</v>
      </c>
      <c r="F56" s="132">
        <f>F31+F54</f>
        <v>-1762197.2500000005</v>
      </c>
      <c r="G56" s="132">
        <f>G31+G54</f>
        <v>4047281.0499995849</v>
      </c>
      <c r="H56" s="102">
        <f t="shared" si="0"/>
        <v>2285083.7999995844</v>
      </c>
    </row>
    <row r="57" spans="1:9" x14ac:dyDescent="0.25">
      <c r="A57" s="125"/>
      <c r="B57" s="126"/>
      <c r="C57" s="130"/>
      <c r="D57" s="139"/>
      <c r="E57" s="139"/>
      <c r="F57" s="130"/>
      <c r="G57" s="139"/>
      <c r="H57" s="140"/>
    </row>
    <row r="58" spans="1:9" ht="15.75" x14ac:dyDescent="0.3">
      <c r="A58" s="125">
        <v>34</v>
      </c>
      <c r="B58" s="129" t="s">
        <v>168</v>
      </c>
      <c r="C58" s="130">
        <v>-1002016.73</v>
      </c>
      <c r="D58" s="130" t="s">
        <v>477</v>
      </c>
      <c r="E58" s="101">
        <f>C58</f>
        <v>-1002016.73</v>
      </c>
      <c r="F58" s="130">
        <v>-3932222.33</v>
      </c>
      <c r="G58" s="130" t="s">
        <v>477</v>
      </c>
      <c r="H58" s="102">
        <f>F58</f>
        <v>-3932222.33</v>
      </c>
    </row>
    <row r="59" spans="1:9" s="144" customFormat="1" ht="15.75" x14ac:dyDescent="0.3">
      <c r="A59" s="125">
        <v>35</v>
      </c>
      <c r="B59" s="141" t="s">
        <v>169</v>
      </c>
      <c r="C59" s="130">
        <v>0</v>
      </c>
      <c r="D59" s="130" t="s">
        <v>477</v>
      </c>
      <c r="E59" s="101">
        <f>C59</f>
        <v>0</v>
      </c>
      <c r="F59" s="130">
        <v>0</v>
      </c>
      <c r="G59" s="130" t="s">
        <v>477</v>
      </c>
      <c r="H59" s="102">
        <f>F59</f>
        <v>0</v>
      </c>
      <c r="I59" s="143"/>
    </row>
    <row r="60" spans="1:9" ht="15.75" x14ac:dyDescent="0.3">
      <c r="A60" s="125">
        <v>36</v>
      </c>
      <c r="B60" s="129" t="s">
        <v>170</v>
      </c>
      <c r="C60" s="130">
        <v>751913.37</v>
      </c>
      <c r="D60" s="130" t="s">
        <v>477</v>
      </c>
      <c r="E60" s="101">
        <f>C60</f>
        <v>751913.37</v>
      </c>
      <c r="F60" s="130">
        <v>779956.95</v>
      </c>
      <c r="G60" s="130" t="s">
        <v>477</v>
      </c>
      <c r="H60" s="102">
        <f>F60</f>
        <v>779956.95</v>
      </c>
    </row>
    <row r="61" spans="1:9" ht="15.75" x14ac:dyDescent="0.3">
      <c r="A61" s="125">
        <v>37</v>
      </c>
      <c r="B61" s="138" t="s">
        <v>171</v>
      </c>
      <c r="C61" s="132">
        <f>C58+C59+C60</f>
        <v>-250103.36</v>
      </c>
      <c r="D61" s="132">
        <v>0</v>
      </c>
      <c r="E61" s="101">
        <f t="shared" si="1"/>
        <v>-250103.36</v>
      </c>
      <c r="F61" s="132">
        <f>F58+F59+F60</f>
        <v>-3152265.38</v>
      </c>
      <c r="G61" s="132">
        <v>0</v>
      </c>
      <c r="H61" s="102">
        <f t="shared" si="0"/>
        <v>-3152265.38</v>
      </c>
    </row>
    <row r="62" spans="1:9" x14ac:dyDescent="0.25">
      <c r="A62" s="125"/>
      <c r="B62" s="145"/>
      <c r="C62" s="130"/>
      <c r="D62" s="130"/>
      <c r="E62" s="130"/>
      <c r="F62" s="130"/>
      <c r="G62" s="130"/>
      <c r="H62" s="142"/>
    </row>
    <row r="63" spans="1:9" ht="15.75" x14ac:dyDescent="0.3">
      <c r="A63" s="125">
        <v>38</v>
      </c>
      <c r="B63" s="146" t="s">
        <v>172</v>
      </c>
      <c r="C63" s="132">
        <f>C56-C61</f>
        <v>686813.47000000125</v>
      </c>
      <c r="D63" s="132">
        <f>D56-D61</f>
        <v>5520623.040000001</v>
      </c>
      <c r="E63" s="101">
        <f t="shared" si="1"/>
        <v>6207436.5100000026</v>
      </c>
      <c r="F63" s="132">
        <f>F56-F61</f>
        <v>1390068.1299999994</v>
      </c>
      <c r="G63" s="132">
        <f>G56-G61</f>
        <v>4047281.0499995849</v>
      </c>
      <c r="H63" s="102">
        <f t="shared" si="0"/>
        <v>5437349.1799995843</v>
      </c>
    </row>
    <row r="64" spans="1:9" ht="15.75" x14ac:dyDescent="0.3">
      <c r="A64" s="121">
        <v>39</v>
      </c>
      <c r="B64" s="129" t="s">
        <v>173</v>
      </c>
      <c r="C64" s="130">
        <v>0</v>
      </c>
      <c r="D64" s="130">
        <v>0</v>
      </c>
      <c r="E64" s="101">
        <f t="shared" si="1"/>
        <v>0</v>
      </c>
      <c r="F64" s="130">
        <v>0</v>
      </c>
      <c r="G64" s="130">
        <v>0</v>
      </c>
      <c r="H64" s="102">
        <f t="shared" si="0"/>
        <v>0</v>
      </c>
    </row>
    <row r="65" spans="1:8" ht="15.75" x14ac:dyDescent="0.3">
      <c r="A65" s="125">
        <v>40</v>
      </c>
      <c r="B65" s="138" t="s">
        <v>174</v>
      </c>
      <c r="C65" s="132">
        <f>C63-C64</f>
        <v>686813.47000000125</v>
      </c>
      <c r="D65" s="132">
        <f>D63-D64</f>
        <v>5520623.040000001</v>
      </c>
      <c r="E65" s="101">
        <f t="shared" si="1"/>
        <v>6207436.5100000026</v>
      </c>
      <c r="F65" s="132">
        <f>F63-F64</f>
        <v>1390068.1299999994</v>
      </c>
      <c r="G65" s="132">
        <f>G63-G64</f>
        <v>4047281.0499995849</v>
      </c>
      <c r="H65" s="102">
        <f t="shared" si="0"/>
        <v>5437349.1799995843</v>
      </c>
    </row>
    <row r="66" spans="1:8" ht="15.75" x14ac:dyDescent="0.3">
      <c r="A66" s="121">
        <v>41</v>
      </c>
      <c r="B66" s="129" t="s">
        <v>175</v>
      </c>
      <c r="C66" s="130">
        <v>0</v>
      </c>
      <c r="D66" s="130">
        <v>0</v>
      </c>
      <c r="E66" s="101">
        <f t="shared" si="1"/>
        <v>0</v>
      </c>
      <c r="F66" s="130">
        <v>0</v>
      </c>
      <c r="G66" s="130">
        <v>0</v>
      </c>
      <c r="H66" s="102">
        <f t="shared" si="0"/>
        <v>0</v>
      </c>
    </row>
    <row r="67" spans="1:8" ht="16.5" thickBot="1" x14ac:dyDescent="0.35">
      <c r="A67" s="147">
        <v>42</v>
      </c>
      <c r="B67" s="148" t="s">
        <v>176</v>
      </c>
      <c r="C67" s="149">
        <f>C65+C66</f>
        <v>686813.47000000125</v>
      </c>
      <c r="D67" s="149">
        <f>D65+D66</f>
        <v>5520623.040000001</v>
      </c>
      <c r="E67" s="111">
        <f t="shared" si="1"/>
        <v>6207436.5100000026</v>
      </c>
      <c r="F67" s="149">
        <f>F65+F66</f>
        <v>1390068.1299999994</v>
      </c>
      <c r="G67" s="149">
        <f>G65+G66</f>
        <v>4047281.0499995849</v>
      </c>
      <c r="H67" s="112">
        <f t="shared" si="0"/>
        <v>5437349.1799995843</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J54"/>
  <sheetViews>
    <sheetView topLeftCell="A19" zoomScaleNormal="100" workbookViewId="0">
      <selection activeCell="C46" sqref="C46"/>
    </sheetView>
  </sheetViews>
  <sheetFormatPr defaultRowHeight="15" x14ac:dyDescent="0.25"/>
  <cols>
    <col min="1" max="1" width="9.5703125" bestFit="1" customWidth="1"/>
    <col min="2" max="2" width="72.28515625" customWidth="1"/>
    <col min="3" max="3" width="14" style="171" bestFit="1" customWidth="1"/>
    <col min="4" max="4" width="14.140625" style="171" customWidth="1"/>
    <col min="5" max="5" width="14.85546875" style="171" customWidth="1"/>
    <col min="6" max="6" width="12.7109375" style="171" customWidth="1"/>
    <col min="7" max="7" width="13.5703125" style="171" bestFit="1" customWidth="1"/>
    <col min="8" max="8" width="12.7109375" style="171" customWidth="1"/>
    <col min="9" max="9" width="14.85546875" style="171" customWidth="1"/>
    <col min="10" max="10" width="9.140625" style="171"/>
  </cols>
  <sheetData>
    <row r="1" spans="1:10" x14ac:dyDescent="0.25">
      <c r="A1" s="24" t="s">
        <v>29</v>
      </c>
      <c r="B1" s="24" t="str">
        <f>'1. key ratios'!B1</f>
        <v>სს ტერაბანკი</v>
      </c>
      <c r="C1"/>
      <c r="D1"/>
      <c r="E1"/>
      <c r="F1"/>
      <c r="G1"/>
      <c r="H1"/>
      <c r="I1"/>
      <c r="J1"/>
    </row>
    <row r="2" spans="1:10" x14ac:dyDescent="0.25">
      <c r="A2" s="24" t="s">
        <v>31</v>
      </c>
      <c r="B2" s="84">
        <f>'1. key ratios'!B2</f>
        <v>43190</v>
      </c>
      <c r="C2"/>
      <c r="D2"/>
      <c r="E2"/>
      <c r="F2"/>
      <c r="G2"/>
      <c r="H2"/>
      <c r="I2"/>
      <c r="J2"/>
    </row>
    <row r="3" spans="1:10" x14ac:dyDescent="0.25">
      <c r="A3" s="24"/>
      <c r="C3"/>
      <c r="D3"/>
      <c r="E3"/>
      <c r="F3" s="150"/>
      <c r="G3"/>
      <c r="H3"/>
      <c r="I3"/>
      <c r="J3"/>
    </row>
    <row r="4" spans="1:10" ht="16.5" thickBot="1" x14ac:dyDescent="0.35">
      <c r="A4" s="24" t="s">
        <v>177</v>
      </c>
      <c r="B4" s="24"/>
      <c r="C4" s="151"/>
      <c r="D4" s="151"/>
      <c r="E4" s="151"/>
      <c r="F4" s="152"/>
      <c r="G4" s="152"/>
      <c r="H4" s="153" t="s">
        <v>75</v>
      </c>
      <c r="I4"/>
      <c r="J4"/>
    </row>
    <row r="5" spans="1:10" ht="15.75" x14ac:dyDescent="0.3">
      <c r="A5" s="154" t="s">
        <v>33</v>
      </c>
      <c r="B5" s="155" t="s">
        <v>178</v>
      </c>
      <c r="C5" s="156" t="s">
        <v>76</v>
      </c>
      <c r="D5" s="156"/>
      <c r="E5" s="156"/>
      <c r="F5" s="156" t="s">
        <v>77</v>
      </c>
      <c r="G5" s="156"/>
      <c r="H5" s="157"/>
      <c r="I5"/>
      <c r="J5"/>
    </row>
    <row r="6" spans="1:10" x14ac:dyDescent="0.25">
      <c r="A6" s="158"/>
      <c r="B6" s="159"/>
      <c r="C6" s="97" t="s">
        <v>79</v>
      </c>
      <c r="D6" s="97" t="s">
        <v>80</v>
      </c>
      <c r="E6" s="97" t="s">
        <v>81</v>
      </c>
      <c r="F6" s="97" t="s">
        <v>79</v>
      </c>
      <c r="G6" s="97" t="s">
        <v>80</v>
      </c>
      <c r="H6" s="98" t="s">
        <v>81</v>
      </c>
      <c r="I6"/>
      <c r="J6"/>
    </row>
    <row r="7" spans="1:10" s="23" customFormat="1" ht="15.75" x14ac:dyDescent="0.3">
      <c r="A7" s="160">
        <v>1</v>
      </c>
      <c r="B7" s="161" t="s">
        <v>179</v>
      </c>
      <c r="C7" s="100">
        <f>SUM(C8:C11)</f>
        <v>54855728.640000001</v>
      </c>
      <c r="D7" s="100">
        <f>SUM(D8:D11)</f>
        <v>31650737.780000001</v>
      </c>
      <c r="E7" s="101">
        <f>C7+D7</f>
        <v>86506466.420000002</v>
      </c>
      <c r="F7" s="100"/>
      <c r="G7" s="100"/>
      <c r="H7" s="102">
        <f t="shared" ref="H7:H53" si="0">F7+G7</f>
        <v>0</v>
      </c>
      <c r="I7" s="162"/>
      <c r="J7" s="162"/>
    </row>
    <row r="8" spans="1:10" s="23" customFormat="1" ht="15.75" x14ac:dyDescent="0.3">
      <c r="A8" s="160">
        <v>1.1000000000000001</v>
      </c>
      <c r="B8" s="163" t="s">
        <v>180</v>
      </c>
      <c r="C8" s="100">
        <v>43784160.259999998</v>
      </c>
      <c r="D8" s="100">
        <v>24853265.5</v>
      </c>
      <c r="E8" s="101">
        <f t="shared" ref="E8:E53" si="1">C8+D8</f>
        <v>68637425.75999999</v>
      </c>
      <c r="F8" s="100"/>
      <c r="G8" s="100"/>
      <c r="H8" s="102">
        <f t="shared" si="0"/>
        <v>0</v>
      </c>
      <c r="I8" s="162"/>
      <c r="J8" s="162"/>
    </row>
    <row r="9" spans="1:10" s="23" customFormat="1" ht="15.75" x14ac:dyDescent="0.3">
      <c r="A9" s="160">
        <v>1.2</v>
      </c>
      <c r="B9" s="163" t="s">
        <v>181</v>
      </c>
      <c r="C9" s="100">
        <v>1954000</v>
      </c>
      <c r="D9" s="100">
        <v>805456.54</v>
      </c>
      <c r="E9" s="101">
        <f t="shared" si="1"/>
        <v>2759456.54</v>
      </c>
      <c r="F9" s="100"/>
      <c r="G9" s="100"/>
      <c r="H9" s="102">
        <f t="shared" si="0"/>
        <v>0</v>
      </c>
      <c r="I9" s="162"/>
      <c r="J9" s="162"/>
    </row>
    <row r="10" spans="1:10" s="23" customFormat="1" ht="15.75" x14ac:dyDescent="0.3">
      <c r="A10" s="160">
        <v>1.3</v>
      </c>
      <c r="B10" s="163" t="s">
        <v>182</v>
      </c>
      <c r="C10" s="100">
        <v>9117568.3800000045</v>
      </c>
      <c r="D10" s="100">
        <v>5992015.7400000002</v>
      </c>
      <c r="E10" s="101">
        <f t="shared" si="1"/>
        <v>15109584.120000005</v>
      </c>
      <c r="F10" s="100"/>
      <c r="G10" s="100"/>
      <c r="H10" s="102">
        <f t="shared" si="0"/>
        <v>0</v>
      </c>
      <c r="I10" s="162"/>
      <c r="J10" s="162"/>
    </row>
    <row r="11" spans="1:10" s="23" customFormat="1" ht="15.75" x14ac:dyDescent="0.3">
      <c r="A11" s="160">
        <v>1.4</v>
      </c>
      <c r="B11" s="163" t="s">
        <v>183</v>
      </c>
      <c r="C11" s="100">
        <v>0</v>
      </c>
      <c r="D11" s="100">
        <v>0</v>
      </c>
      <c r="E11" s="101">
        <f t="shared" si="1"/>
        <v>0</v>
      </c>
      <c r="F11" s="100"/>
      <c r="G11" s="100"/>
      <c r="H11" s="102">
        <f t="shared" si="0"/>
        <v>0</v>
      </c>
      <c r="I11" s="162"/>
      <c r="J11" s="162"/>
    </row>
    <row r="12" spans="1:10" s="23" customFormat="1" ht="29.25" customHeight="1" x14ac:dyDescent="0.3">
      <c r="A12" s="160">
        <v>2</v>
      </c>
      <c r="B12" s="161" t="s">
        <v>184</v>
      </c>
      <c r="C12" s="100">
        <v>0</v>
      </c>
      <c r="D12" s="100">
        <v>0</v>
      </c>
      <c r="E12" s="101">
        <f t="shared" si="1"/>
        <v>0</v>
      </c>
      <c r="F12" s="100"/>
      <c r="G12" s="100"/>
      <c r="H12" s="102">
        <f t="shared" si="0"/>
        <v>0</v>
      </c>
      <c r="I12" s="162"/>
      <c r="J12" s="162"/>
    </row>
    <row r="13" spans="1:10" s="23" customFormat="1" ht="25.5" x14ac:dyDescent="0.3">
      <c r="A13" s="160">
        <v>3</v>
      </c>
      <c r="B13" s="161" t="s">
        <v>185</v>
      </c>
      <c r="C13" s="100">
        <v>31670000</v>
      </c>
      <c r="D13" s="100">
        <v>0</v>
      </c>
      <c r="E13" s="101">
        <f t="shared" si="1"/>
        <v>31670000</v>
      </c>
      <c r="F13" s="100"/>
      <c r="G13" s="100"/>
      <c r="H13" s="102">
        <f t="shared" si="0"/>
        <v>0</v>
      </c>
      <c r="I13" s="162"/>
      <c r="J13" s="162"/>
    </row>
    <row r="14" spans="1:10" s="23" customFormat="1" ht="15.75" x14ac:dyDescent="0.3">
      <c r="A14" s="160">
        <v>3.1</v>
      </c>
      <c r="B14" s="163" t="s">
        <v>186</v>
      </c>
      <c r="C14" s="100">
        <f>C13</f>
        <v>31670000</v>
      </c>
      <c r="D14" s="100">
        <f>D13</f>
        <v>0</v>
      </c>
      <c r="E14" s="101">
        <f t="shared" si="1"/>
        <v>31670000</v>
      </c>
      <c r="F14" s="100"/>
      <c r="G14" s="100"/>
      <c r="H14" s="102">
        <f t="shared" si="0"/>
        <v>0</v>
      </c>
      <c r="I14" s="162"/>
      <c r="J14" s="162"/>
    </row>
    <row r="15" spans="1:10" s="23" customFormat="1" ht="15.75" x14ac:dyDescent="0.3">
      <c r="A15" s="160">
        <v>3.2</v>
      </c>
      <c r="B15" s="163" t="s">
        <v>187</v>
      </c>
      <c r="C15" s="100"/>
      <c r="D15" s="100"/>
      <c r="E15" s="101">
        <f t="shared" si="1"/>
        <v>0</v>
      </c>
      <c r="F15" s="100"/>
      <c r="G15" s="100"/>
      <c r="H15" s="102">
        <f t="shared" si="0"/>
        <v>0</v>
      </c>
      <c r="I15" s="162"/>
      <c r="J15" s="162"/>
    </row>
    <row r="16" spans="1:10" s="23" customFormat="1" ht="15.75" x14ac:dyDescent="0.3">
      <c r="A16" s="160">
        <v>4</v>
      </c>
      <c r="B16" s="161" t="s">
        <v>188</v>
      </c>
      <c r="C16" s="100">
        <v>174986966.26000056</v>
      </c>
      <c r="D16" s="100">
        <v>290510459.49000072</v>
      </c>
      <c r="E16" s="101">
        <f t="shared" si="1"/>
        <v>465497425.75000131</v>
      </c>
      <c r="F16" s="100"/>
      <c r="G16" s="100"/>
      <c r="H16" s="102">
        <f t="shared" si="0"/>
        <v>0</v>
      </c>
      <c r="J16" s="162"/>
    </row>
    <row r="17" spans="1:10" s="23" customFormat="1" ht="15.75" x14ac:dyDescent="0.3">
      <c r="A17" s="160">
        <v>4.0999999999999996</v>
      </c>
      <c r="B17" s="163" t="s">
        <v>189</v>
      </c>
      <c r="C17" s="100">
        <v>174986966.26000056</v>
      </c>
      <c r="D17" s="100">
        <v>290510459.49000072</v>
      </c>
      <c r="E17" s="101">
        <f t="shared" si="1"/>
        <v>465497425.75000131</v>
      </c>
      <c r="F17" s="100"/>
      <c r="G17" s="100"/>
      <c r="H17" s="102">
        <f t="shared" si="0"/>
        <v>0</v>
      </c>
      <c r="J17" s="162"/>
    </row>
    <row r="18" spans="1:10" s="23" customFormat="1" ht="15.75" x14ac:dyDescent="0.3">
      <c r="A18" s="160">
        <v>4.2</v>
      </c>
      <c r="B18" s="163" t="s">
        <v>190</v>
      </c>
      <c r="C18" s="100">
        <v>0</v>
      </c>
      <c r="D18" s="100">
        <v>0</v>
      </c>
      <c r="E18" s="101">
        <f t="shared" si="1"/>
        <v>0</v>
      </c>
      <c r="F18" s="100"/>
      <c r="G18" s="100"/>
      <c r="H18" s="102">
        <f t="shared" si="0"/>
        <v>0</v>
      </c>
      <c r="I18" s="162"/>
      <c r="J18" s="162"/>
    </row>
    <row r="19" spans="1:10" s="23" customFormat="1" ht="25.5" x14ac:dyDescent="0.3">
      <c r="A19" s="160">
        <v>5</v>
      </c>
      <c r="B19" s="161" t="s">
        <v>191</v>
      </c>
      <c r="C19" s="100">
        <v>473376717.27000004</v>
      </c>
      <c r="D19" s="100">
        <v>628158908.84000003</v>
      </c>
      <c r="E19" s="101">
        <f t="shared" si="1"/>
        <v>1101535626.1100001</v>
      </c>
      <c r="F19" s="100"/>
      <c r="G19" s="100"/>
      <c r="H19" s="102">
        <f t="shared" si="0"/>
        <v>0</v>
      </c>
      <c r="I19" s="162"/>
      <c r="J19" s="162"/>
    </row>
    <row r="20" spans="1:10" s="23" customFormat="1" ht="15.75" x14ac:dyDescent="0.3">
      <c r="A20" s="160">
        <v>5.0999999999999996</v>
      </c>
      <c r="B20" s="163" t="s">
        <v>192</v>
      </c>
      <c r="C20" s="100">
        <v>32373959.699999988</v>
      </c>
      <c r="D20" s="100">
        <v>29634951.02</v>
      </c>
      <c r="E20" s="101">
        <f t="shared" si="1"/>
        <v>62008910.719999984</v>
      </c>
      <c r="F20" s="100"/>
      <c r="G20" s="100"/>
      <c r="H20" s="102">
        <f t="shared" si="0"/>
        <v>0</v>
      </c>
      <c r="I20" s="162"/>
      <c r="J20" s="162"/>
    </row>
    <row r="21" spans="1:10" s="23" customFormat="1" ht="15.75" x14ac:dyDescent="0.3">
      <c r="A21" s="160">
        <v>5.2</v>
      </c>
      <c r="B21" s="163" t="s">
        <v>193</v>
      </c>
      <c r="C21" s="100">
        <v>67585800.459999993</v>
      </c>
      <c r="D21" s="100">
        <v>44207804.20000001</v>
      </c>
      <c r="E21" s="101">
        <f t="shared" si="1"/>
        <v>111793604.66</v>
      </c>
      <c r="F21" s="100"/>
      <c r="G21" s="100"/>
      <c r="H21" s="102">
        <f t="shared" si="0"/>
        <v>0</v>
      </c>
      <c r="I21" s="162"/>
      <c r="J21" s="162"/>
    </row>
    <row r="22" spans="1:10" s="23" customFormat="1" ht="15.75" x14ac:dyDescent="0.3">
      <c r="A22" s="160">
        <v>5.3</v>
      </c>
      <c r="B22" s="163" t="s">
        <v>194</v>
      </c>
      <c r="C22" s="100">
        <v>322517939.84000009</v>
      </c>
      <c r="D22" s="100">
        <v>506445380.15999997</v>
      </c>
      <c r="E22" s="101">
        <f t="shared" si="1"/>
        <v>828963320</v>
      </c>
      <c r="F22" s="100"/>
      <c r="G22" s="100"/>
      <c r="H22" s="102">
        <f t="shared" si="0"/>
        <v>0</v>
      </c>
      <c r="I22" s="162"/>
      <c r="J22" s="162"/>
    </row>
    <row r="23" spans="1:10" s="23" customFormat="1" ht="15.75" x14ac:dyDescent="0.3">
      <c r="A23" s="160" t="s">
        <v>195</v>
      </c>
      <c r="B23" s="164" t="s">
        <v>196</v>
      </c>
      <c r="C23" s="100">
        <v>208629442.60000008</v>
      </c>
      <c r="D23" s="100">
        <v>247217297.58999997</v>
      </c>
      <c r="E23" s="101">
        <f t="shared" si="1"/>
        <v>455846740.19000006</v>
      </c>
      <c r="F23" s="100"/>
      <c r="G23" s="100"/>
      <c r="H23" s="102">
        <f t="shared" si="0"/>
        <v>0</v>
      </c>
      <c r="I23" s="162"/>
      <c r="J23" s="162"/>
    </row>
    <row r="24" spans="1:10" s="23" customFormat="1" ht="15.75" x14ac:dyDescent="0.3">
      <c r="A24" s="160" t="s">
        <v>197</v>
      </c>
      <c r="B24" s="164" t="s">
        <v>198</v>
      </c>
      <c r="C24" s="100">
        <v>70378940.610000074</v>
      </c>
      <c r="D24" s="100">
        <v>206269381.63</v>
      </c>
      <c r="E24" s="101">
        <f t="shared" si="1"/>
        <v>276648322.24000007</v>
      </c>
      <c r="F24" s="100"/>
      <c r="G24" s="100"/>
      <c r="H24" s="102">
        <f t="shared" si="0"/>
        <v>0</v>
      </c>
      <c r="I24" s="162"/>
      <c r="J24" s="162"/>
    </row>
    <row r="25" spans="1:10" s="23" customFormat="1" ht="15.75" x14ac:dyDescent="0.3">
      <c r="A25" s="160" t="s">
        <v>199</v>
      </c>
      <c r="B25" s="165" t="s">
        <v>200</v>
      </c>
      <c r="C25" s="100">
        <v>7688255.0099999988</v>
      </c>
      <c r="D25" s="100">
        <v>9807568.4900000021</v>
      </c>
      <c r="E25" s="101">
        <f t="shared" si="1"/>
        <v>17495823.5</v>
      </c>
      <c r="F25" s="100"/>
      <c r="G25" s="100"/>
      <c r="H25" s="102">
        <f t="shared" si="0"/>
        <v>0</v>
      </c>
      <c r="I25" s="162"/>
      <c r="J25" s="162"/>
    </row>
    <row r="26" spans="1:10" s="23" customFormat="1" ht="15.75" x14ac:dyDescent="0.3">
      <c r="A26" s="160" t="s">
        <v>201</v>
      </c>
      <c r="B26" s="164" t="s">
        <v>202</v>
      </c>
      <c r="C26" s="100">
        <v>21675115.339999996</v>
      </c>
      <c r="D26" s="100">
        <v>33389661.929999989</v>
      </c>
      <c r="E26" s="101">
        <f t="shared" si="1"/>
        <v>55064777.269999981</v>
      </c>
      <c r="F26" s="100"/>
      <c r="G26" s="100"/>
      <c r="H26" s="102">
        <f t="shared" si="0"/>
        <v>0</v>
      </c>
      <c r="I26" s="162"/>
      <c r="J26" s="162"/>
    </row>
    <row r="27" spans="1:10" s="23" customFormat="1" ht="15.75" x14ac:dyDescent="0.3">
      <c r="A27" s="160" t="s">
        <v>203</v>
      </c>
      <c r="B27" s="164" t="s">
        <v>204</v>
      </c>
      <c r="C27" s="100">
        <v>14146186.279999994</v>
      </c>
      <c r="D27" s="100">
        <v>9761470.5199999996</v>
      </c>
      <c r="E27" s="101">
        <f t="shared" si="1"/>
        <v>23907656.799999993</v>
      </c>
      <c r="F27" s="100"/>
      <c r="G27" s="100"/>
      <c r="H27" s="102">
        <f t="shared" si="0"/>
        <v>0</v>
      </c>
      <c r="I27" s="162"/>
      <c r="J27" s="162"/>
    </row>
    <row r="28" spans="1:10" s="23" customFormat="1" ht="15.75" x14ac:dyDescent="0.3">
      <c r="A28" s="160">
        <v>5.4</v>
      </c>
      <c r="B28" s="163" t="s">
        <v>205</v>
      </c>
      <c r="C28" s="100">
        <v>6281260.7200000007</v>
      </c>
      <c r="D28" s="100">
        <v>16847058.789999988</v>
      </c>
      <c r="E28" s="101">
        <f t="shared" si="1"/>
        <v>23128319.50999999</v>
      </c>
      <c r="F28" s="100"/>
      <c r="G28" s="100"/>
      <c r="H28" s="102">
        <f t="shared" si="0"/>
        <v>0</v>
      </c>
      <c r="I28" s="162"/>
      <c r="J28" s="162"/>
    </row>
    <row r="29" spans="1:10" s="23" customFormat="1" ht="15.75" x14ac:dyDescent="0.3">
      <c r="A29" s="160">
        <v>5.5</v>
      </c>
      <c r="B29" s="163" t="s">
        <v>206</v>
      </c>
      <c r="C29" s="100">
        <v>0</v>
      </c>
      <c r="D29" s="100">
        <v>0</v>
      </c>
      <c r="E29" s="101">
        <f t="shared" si="1"/>
        <v>0</v>
      </c>
      <c r="F29" s="100"/>
      <c r="G29" s="100"/>
      <c r="H29" s="102">
        <f t="shared" si="0"/>
        <v>0</v>
      </c>
      <c r="I29" s="162"/>
      <c r="J29" s="162"/>
    </row>
    <row r="30" spans="1:10" s="23" customFormat="1" ht="15.75" x14ac:dyDescent="0.3">
      <c r="A30" s="160">
        <v>5.6</v>
      </c>
      <c r="B30" s="163" t="s">
        <v>207</v>
      </c>
      <c r="C30" s="100">
        <v>0</v>
      </c>
      <c r="D30" s="100">
        <v>0</v>
      </c>
      <c r="E30" s="101">
        <f t="shared" si="1"/>
        <v>0</v>
      </c>
      <c r="F30" s="100"/>
      <c r="G30" s="100"/>
      <c r="H30" s="102">
        <f t="shared" si="0"/>
        <v>0</v>
      </c>
      <c r="I30" s="162"/>
      <c r="J30" s="162"/>
    </row>
    <row r="31" spans="1:10" s="23" customFormat="1" ht="15.75" x14ac:dyDescent="0.3">
      <c r="A31" s="160">
        <v>5.7</v>
      </c>
      <c r="B31" s="163" t="s">
        <v>208</v>
      </c>
      <c r="C31" s="100">
        <v>44617756.54999999</v>
      </c>
      <c r="D31" s="100">
        <v>31023714.670000002</v>
      </c>
      <c r="E31" s="101">
        <f t="shared" si="1"/>
        <v>75641471.219999999</v>
      </c>
      <c r="F31" s="100"/>
      <c r="G31" s="100"/>
      <c r="H31" s="102">
        <f t="shared" si="0"/>
        <v>0</v>
      </c>
      <c r="I31" s="162"/>
      <c r="J31" s="162"/>
    </row>
    <row r="32" spans="1:10" s="23" customFormat="1" ht="15.75" x14ac:dyDescent="0.3">
      <c r="A32" s="160">
        <v>6</v>
      </c>
      <c r="B32" s="161" t="s">
        <v>209</v>
      </c>
      <c r="C32" s="100">
        <f>SUM(C33:C39)</f>
        <v>39549500.799999997</v>
      </c>
      <c r="D32" s="100">
        <f>SUM(D33:D39)</f>
        <v>37852963.200000003</v>
      </c>
      <c r="E32" s="101">
        <f t="shared" si="1"/>
        <v>77402464</v>
      </c>
      <c r="F32" s="100"/>
      <c r="G32" s="100"/>
      <c r="H32" s="102">
        <f t="shared" si="0"/>
        <v>0</v>
      </c>
      <c r="I32" s="162"/>
      <c r="J32" s="162"/>
    </row>
    <row r="33" spans="1:10" s="23" customFormat="1" ht="25.5" x14ac:dyDescent="0.3">
      <c r="A33" s="160">
        <v>6.1</v>
      </c>
      <c r="B33" s="163" t="s">
        <v>210</v>
      </c>
      <c r="C33" s="100">
        <v>39549500.799999997</v>
      </c>
      <c r="D33" s="100">
        <v>0</v>
      </c>
      <c r="E33" s="101">
        <f t="shared" si="1"/>
        <v>39549500.799999997</v>
      </c>
      <c r="F33" s="100"/>
      <c r="G33" s="100"/>
      <c r="H33" s="102">
        <f t="shared" si="0"/>
        <v>0</v>
      </c>
      <c r="I33" s="162"/>
      <c r="J33" s="162"/>
    </row>
    <row r="34" spans="1:10" s="23" customFormat="1" ht="25.5" x14ac:dyDescent="0.3">
      <c r="A34" s="160">
        <v>6.2</v>
      </c>
      <c r="B34" s="163" t="s">
        <v>211</v>
      </c>
      <c r="C34" s="100">
        <v>0</v>
      </c>
      <c r="D34" s="100">
        <v>37852963.200000003</v>
      </c>
      <c r="E34" s="101">
        <f t="shared" si="1"/>
        <v>37852963.200000003</v>
      </c>
      <c r="F34" s="100"/>
      <c r="G34" s="100"/>
      <c r="H34" s="102">
        <f t="shared" si="0"/>
        <v>0</v>
      </c>
      <c r="I34" s="162"/>
      <c r="J34" s="162"/>
    </row>
    <row r="35" spans="1:10" s="23" customFormat="1" ht="25.5" x14ac:dyDescent="0.3">
      <c r="A35" s="160">
        <v>6.3</v>
      </c>
      <c r="B35" s="163" t="s">
        <v>212</v>
      </c>
      <c r="C35" s="100">
        <v>0</v>
      </c>
      <c r="D35" s="100">
        <v>0</v>
      </c>
      <c r="E35" s="101">
        <f t="shared" si="1"/>
        <v>0</v>
      </c>
      <c r="F35" s="100"/>
      <c r="G35" s="100"/>
      <c r="H35" s="102">
        <f t="shared" si="0"/>
        <v>0</v>
      </c>
      <c r="I35" s="162"/>
      <c r="J35" s="162"/>
    </row>
    <row r="36" spans="1:10" s="23" customFormat="1" ht="15.75" x14ac:dyDescent="0.3">
      <c r="A36" s="160">
        <v>6.4</v>
      </c>
      <c r="B36" s="163" t="s">
        <v>213</v>
      </c>
      <c r="C36" s="100"/>
      <c r="D36" s="100"/>
      <c r="E36" s="101">
        <f t="shared" si="1"/>
        <v>0</v>
      </c>
      <c r="F36" s="100"/>
      <c r="G36" s="100"/>
      <c r="H36" s="102">
        <f t="shared" si="0"/>
        <v>0</v>
      </c>
      <c r="I36" s="162"/>
      <c r="J36" s="162"/>
    </row>
    <row r="37" spans="1:10" s="23" customFormat="1" ht="15.75" x14ac:dyDescent="0.3">
      <c r="A37" s="160">
        <v>6.5</v>
      </c>
      <c r="B37" s="163" t="s">
        <v>214</v>
      </c>
      <c r="C37" s="100"/>
      <c r="D37" s="100"/>
      <c r="E37" s="101">
        <f t="shared" si="1"/>
        <v>0</v>
      </c>
      <c r="F37" s="100"/>
      <c r="G37" s="100"/>
      <c r="H37" s="102">
        <f t="shared" si="0"/>
        <v>0</v>
      </c>
      <c r="I37" s="162"/>
      <c r="J37" s="162"/>
    </row>
    <row r="38" spans="1:10" s="23" customFormat="1" ht="25.5" x14ac:dyDescent="0.3">
      <c r="A38" s="160">
        <v>6.6</v>
      </c>
      <c r="B38" s="163" t="s">
        <v>215</v>
      </c>
      <c r="C38" s="100"/>
      <c r="D38" s="100"/>
      <c r="E38" s="101">
        <f t="shared" si="1"/>
        <v>0</v>
      </c>
      <c r="F38" s="100"/>
      <c r="G38" s="100"/>
      <c r="H38" s="102">
        <f t="shared" si="0"/>
        <v>0</v>
      </c>
      <c r="I38" s="162"/>
      <c r="J38" s="162"/>
    </row>
    <row r="39" spans="1:10" s="23" customFormat="1" ht="25.5" x14ac:dyDescent="0.3">
      <c r="A39" s="160">
        <v>6.7</v>
      </c>
      <c r="B39" s="163" t="s">
        <v>216</v>
      </c>
      <c r="C39" s="100"/>
      <c r="D39" s="100"/>
      <c r="E39" s="101">
        <f t="shared" si="1"/>
        <v>0</v>
      </c>
      <c r="F39" s="100"/>
      <c r="G39" s="100"/>
      <c r="H39" s="102">
        <f t="shared" si="0"/>
        <v>0</v>
      </c>
      <c r="I39" s="162"/>
      <c r="J39" s="162"/>
    </row>
    <row r="40" spans="1:10" s="23" customFormat="1" ht="15.75" x14ac:dyDescent="0.3">
      <c r="A40" s="160">
        <v>7</v>
      </c>
      <c r="B40" s="161" t="s">
        <v>217</v>
      </c>
      <c r="C40" s="100"/>
      <c r="D40" s="100"/>
      <c r="E40" s="101">
        <f>C40+D40</f>
        <v>0</v>
      </c>
      <c r="F40" s="100"/>
      <c r="G40" s="100"/>
      <c r="H40" s="102">
        <f t="shared" si="0"/>
        <v>0</v>
      </c>
      <c r="I40" s="162"/>
      <c r="J40" s="162"/>
    </row>
    <row r="41" spans="1:10" s="23" customFormat="1" ht="25.5" x14ac:dyDescent="0.3">
      <c r="A41" s="160">
        <v>7.1</v>
      </c>
      <c r="B41" s="163" t="s">
        <v>218</v>
      </c>
      <c r="C41" s="100">
        <v>380745.33999999968</v>
      </c>
      <c r="D41" s="100">
        <v>46734.46</v>
      </c>
      <c r="E41" s="101">
        <f t="shared" si="1"/>
        <v>427479.7999999997</v>
      </c>
      <c r="F41" s="100"/>
      <c r="G41" s="100"/>
      <c r="H41" s="102">
        <f t="shared" si="0"/>
        <v>0</v>
      </c>
      <c r="I41" s="162"/>
      <c r="J41" s="162"/>
    </row>
    <row r="42" spans="1:10" s="23" customFormat="1" ht="25.5" x14ac:dyDescent="0.3">
      <c r="A42" s="160">
        <v>7.2</v>
      </c>
      <c r="B42" s="163" t="s">
        <v>219</v>
      </c>
      <c r="C42" s="100">
        <v>1728289.609999998</v>
      </c>
      <c r="D42" s="100">
        <v>7322148.2471000003</v>
      </c>
      <c r="E42" s="101">
        <f t="shared" si="1"/>
        <v>9050437.8570999987</v>
      </c>
      <c r="F42" s="100"/>
      <c r="G42" s="100"/>
      <c r="H42" s="102">
        <f t="shared" si="0"/>
        <v>0</v>
      </c>
      <c r="I42" s="166"/>
      <c r="J42" s="162"/>
    </row>
    <row r="43" spans="1:10" s="23" customFormat="1" ht="25.5" x14ac:dyDescent="0.3">
      <c r="A43" s="160">
        <v>7.3</v>
      </c>
      <c r="B43" s="163" t="s">
        <v>220</v>
      </c>
      <c r="C43" s="100">
        <v>6076040.2031999948</v>
      </c>
      <c r="D43" s="100">
        <v>6287475.6812000033</v>
      </c>
      <c r="E43" s="101">
        <f t="shared" si="1"/>
        <v>12363515.884399999</v>
      </c>
      <c r="F43" s="100"/>
      <c r="G43" s="100"/>
      <c r="H43" s="102">
        <f t="shared" si="0"/>
        <v>0</v>
      </c>
      <c r="I43" s="162"/>
      <c r="J43" s="162"/>
    </row>
    <row r="44" spans="1:10" s="23" customFormat="1" ht="25.5" x14ac:dyDescent="0.3">
      <c r="A44" s="160">
        <v>7.4</v>
      </c>
      <c r="B44" s="163" t="s">
        <v>221</v>
      </c>
      <c r="C44" s="100">
        <v>46921876.509999953</v>
      </c>
      <c r="D44" s="100">
        <v>56892178.705999956</v>
      </c>
      <c r="E44" s="101">
        <f t="shared" si="1"/>
        <v>103814055.2159999</v>
      </c>
      <c r="F44" s="100"/>
      <c r="G44" s="100"/>
      <c r="H44" s="102">
        <f t="shared" si="0"/>
        <v>0</v>
      </c>
      <c r="I44" s="166"/>
      <c r="J44" s="162"/>
    </row>
    <row r="45" spans="1:10" s="23" customFormat="1" ht="15.75" x14ac:dyDescent="0.3">
      <c r="A45" s="160">
        <v>8</v>
      </c>
      <c r="B45" s="161" t="s">
        <v>222</v>
      </c>
      <c r="C45" s="100"/>
      <c r="D45" s="100"/>
      <c r="E45" s="101">
        <f t="shared" si="1"/>
        <v>0</v>
      </c>
      <c r="F45" s="100"/>
      <c r="G45" s="100"/>
      <c r="H45" s="102">
        <f t="shared" si="0"/>
        <v>0</v>
      </c>
      <c r="I45" s="162"/>
      <c r="J45" s="162"/>
    </row>
    <row r="46" spans="1:10" s="23" customFormat="1" ht="15.75" x14ac:dyDescent="0.3">
      <c r="A46" s="160">
        <v>8.1</v>
      </c>
      <c r="B46" s="163" t="s">
        <v>223</v>
      </c>
      <c r="C46" s="100"/>
      <c r="D46" s="100"/>
      <c r="E46" s="101">
        <f t="shared" si="1"/>
        <v>0</v>
      </c>
      <c r="F46" s="100"/>
      <c r="G46" s="100"/>
      <c r="H46" s="102">
        <f t="shared" si="0"/>
        <v>0</v>
      </c>
      <c r="I46" s="162"/>
      <c r="J46" s="162"/>
    </row>
    <row r="47" spans="1:10" s="23" customFormat="1" ht="15.75" x14ac:dyDescent="0.3">
      <c r="A47" s="160">
        <v>8.1999999999999993</v>
      </c>
      <c r="B47" s="163" t="s">
        <v>224</v>
      </c>
      <c r="C47" s="100"/>
      <c r="D47" s="100"/>
      <c r="E47" s="101">
        <f t="shared" si="1"/>
        <v>0</v>
      </c>
      <c r="F47" s="100"/>
      <c r="G47" s="100"/>
      <c r="H47" s="102">
        <f t="shared" si="0"/>
        <v>0</v>
      </c>
      <c r="I47" s="162"/>
      <c r="J47" s="162"/>
    </row>
    <row r="48" spans="1:10" s="23" customFormat="1" ht="15.75" x14ac:dyDescent="0.3">
      <c r="A48" s="160">
        <v>8.3000000000000007</v>
      </c>
      <c r="B48" s="163" t="s">
        <v>225</v>
      </c>
      <c r="C48" s="100"/>
      <c r="D48" s="100"/>
      <c r="E48" s="101">
        <f t="shared" si="1"/>
        <v>0</v>
      </c>
      <c r="F48" s="100"/>
      <c r="G48" s="100"/>
      <c r="H48" s="102">
        <f t="shared" si="0"/>
        <v>0</v>
      </c>
      <c r="I48" s="162"/>
      <c r="J48" s="162"/>
    </row>
    <row r="49" spans="1:10" s="23" customFormat="1" ht="15.75" x14ac:dyDescent="0.3">
      <c r="A49" s="160">
        <v>8.4</v>
      </c>
      <c r="B49" s="163" t="s">
        <v>226</v>
      </c>
      <c r="C49" s="100"/>
      <c r="D49" s="100"/>
      <c r="E49" s="101">
        <f t="shared" si="1"/>
        <v>0</v>
      </c>
      <c r="F49" s="100"/>
      <c r="G49" s="100"/>
      <c r="H49" s="102">
        <f t="shared" si="0"/>
        <v>0</v>
      </c>
      <c r="I49" s="162"/>
      <c r="J49" s="162"/>
    </row>
    <row r="50" spans="1:10" s="23" customFormat="1" ht="15.75" x14ac:dyDescent="0.3">
      <c r="A50" s="160">
        <v>8.5</v>
      </c>
      <c r="B50" s="163" t="s">
        <v>227</v>
      </c>
      <c r="C50" s="100"/>
      <c r="D50" s="100"/>
      <c r="E50" s="101">
        <f t="shared" si="1"/>
        <v>0</v>
      </c>
      <c r="F50" s="100"/>
      <c r="G50" s="100"/>
      <c r="H50" s="102">
        <f t="shared" si="0"/>
        <v>0</v>
      </c>
      <c r="I50" s="162"/>
      <c r="J50" s="162"/>
    </row>
    <row r="51" spans="1:10" s="23" customFormat="1" ht="15.75" x14ac:dyDescent="0.3">
      <c r="A51" s="160">
        <v>8.6</v>
      </c>
      <c r="B51" s="163" t="s">
        <v>228</v>
      </c>
      <c r="C51" s="100"/>
      <c r="D51" s="100"/>
      <c r="E51" s="101">
        <f t="shared" si="1"/>
        <v>0</v>
      </c>
      <c r="F51" s="100"/>
      <c r="G51" s="100"/>
      <c r="H51" s="102">
        <f t="shared" si="0"/>
        <v>0</v>
      </c>
      <c r="I51" s="162"/>
      <c r="J51" s="162"/>
    </row>
    <row r="52" spans="1:10" s="23" customFormat="1" ht="15.75" x14ac:dyDescent="0.3">
      <c r="A52" s="160">
        <v>8.6999999999999993</v>
      </c>
      <c r="B52" s="163" t="s">
        <v>229</v>
      </c>
      <c r="C52" s="100"/>
      <c r="D52" s="100"/>
      <c r="E52" s="101">
        <f t="shared" si="1"/>
        <v>0</v>
      </c>
      <c r="F52" s="100"/>
      <c r="G52" s="100"/>
      <c r="H52" s="102">
        <f t="shared" si="0"/>
        <v>0</v>
      </c>
      <c r="I52" s="162"/>
      <c r="J52" s="162"/>
    </row>
    <row r="53" spans="1:10" s="23" customFormat="1" ht="26.25" thickBot="1" x14ac:dyDescent="0.35">
      <c r="A53" s="167">
        <v>9</v>
      </c>
      <c r="B53" s="168" t="s">
        <v>230</v>
      </c>
      <c r="C53" s="169"/>
      <c r="D53" s="169"/>
      <c r="E53" s="111">
        <f t="shared" si="1"/>
        <v>0</v>
      </c>
      <c r="F53" s="169"/>
      <c r="G53" s="169"/>
      <c r="H53" s="112">
        <f t="shared" si="0"/>
        <v>0</v>
      </c>
      <c r="I53" s="162"/>
      <c r="J53" s="162"/>
    </row>
    <row r="54" spans="1:10" x14ac:dyDescent="0.25">
      <c r="B54" s="170"/>
    </row>
  </sheetData>
  <mergeCells count="4">
    <mergeCell ref="A5:A6"/>
    <mergeCell ref="B5:B6"/>
    <mergeCell ref="C5:E5"/>
    <mergeCell ref="F5:H5"/>
  </mergeCell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5" activePane="bottomRight" state="frozen"/>
      <selection activeCell="P24" sqref="P24:Q24"/>
      <selection pane="topRight" activeCell="P24" sqref="P24:Q24"/>
      <selection pane="bottomLeft" activeCell="P24" sqref="P24:Q24"/>
      <selection pane="bottomRight" activeCell="B15" sqref="B15"/>
    </sheetView>
  </sheetViews>
  <sheetFormatPr defaultColWidth="9.140625" defaultRowHeight="12.75" x14ac:dyDescent="0.2"/>
  <cols>
    <col min="1" max="1" width="9.5703125" style="24" bestFit="1" customWidth="1"/>
    <col min="2" max="2" width="93.5703125" style="24" customWidth="1"/>
    <col min="3" max="4" width="12.7109375" style="24" customWidth="1"/>
    <col min="5" max="11" width="9.7109375" style="134" customWidth="1"/>
    <col min="12" max="16384" width="9.140625" style="134"/>
  </cols>
  <sheetData>
    <row r="1" spans="1:8" ht="15" x14ac:dyDescent="0.3">
      <c r="A1" s="25" t="s">
        <v>29</v>
      </c>
      <c r="B1" s="24" t="str">
        <f>'1. key ratios'!B1</f>
        <v>სს ტერაბანკი</v>
      </c>
      <c r="C1" s="26"/>
    </row>
    <row r="2" spans="1:8" ht="15" x14ac:dyDescent="0.3">
      <c r="A2" s="25" t="s">
        <v>31</v>
      </c>
      <c r="B2" s="84">
        <f>'1. key ratios'!B2</f>
        <v>43190</v>
      </c>
      <c r="C2" s="28"/>
      <c r="D2" s="29"/>
      <c r="E2" s="172"/>
      <c r="F2" s="172"/>
      <c r="G2" s="172"/>
      <c r="H2" s="172"/>
    </row>
    <row r="3" spans="1:8" ht="15" x14ac:dyDescent="0.3">
      <c r="A3" s="25"/>
      <c r="B3" s="26"/>
      <c r="C3" s="28"/>
      <c r="D3" s="29"/>
      <c r="E3" s="172"/>
      <c r="F3" s="172"/>
      <c r="G3" s="172"/>
      <c r="H3" s="172"/>
    </row>
    <row r="4" spans="1:8" ht="15" customHeight="1" thickBot="1" x14ac:dyDescent="0.35">
      <c r="A4" s="173" t="s">
        <v>231</v>
      </c>
      <c r="B4" s="174" t="s">
        <v>16</v>
      </c>
      <c r="C4" s="173"/>
      <c r="D4" s="175" t="s">
        <v>75</v>
      </c>
    </row>
    <row r="5" spans="1:8" ht="15" customHeight="1" x14ac:dyDescent="0.2">
      <c r="A5" s="176" t="s">
        <v>33</v>
      </c>
      <c r="B5" s="177"/>
      <c r="C5" s="178" t="s">
        <v>34</v>
      </c>
      <c r="D5" s="179" t="s">
        <v>35</v>
      </c>
    </row>
    <row r="6" spans="1:8" ht="15" customHeight="1" x14ac:dyDescent="0.2">
      <c r="A6" s="180">
        <v>1</v>
      </c>
      <c r="B6" s="181" t="s">
        <v>232</v>
      </c>
      <c r="C6" s="182">
        <f>C7+C9+C10</f>
        <v>660571809.36463785</v>
      </c>
      <c r="D6" s="183">
        <f>D7+D9+D10</f>
        <v>636263683.25804102</v>
      </c>
    </row>
    <row r="7" spans="1:8" ht="15" customHeight="1" x14ac:dyDescent="0.2">
      <c r="A7" s="180">
        <v>1.1000000000000001</v>
      </c>
      <c r="B7" s="184" t="s">
        <v>233</v>
      </c>
      <c r="C7" s="185">
        <v>631954680.25600028</v>
      </c>
      <c r="D7" s="185">
        <v>609220696.77669597</v>
      </c>
    </row>
    <row r="8" spans="1:8" ht="25.5" x14ac:dyDescent="0.2">
      <c r="A8" s="180" t="s">
        <v>234</v>
      </c>
      <c r="B8" s="186" t="s">
        <v>235</v>
      </c>
      <c r="C8" s="187">
        <v>0</v>
      </c>
      <c r="D8" s="187">
        <v>0</v>
      </c>
    </row>
    <row r="9" spans="1:8" ht="15" customHeight="1" x14ac:dyDescent="0.2">
      <c r="A9" s="180">
        <v>1.2</v>
      </c>
      <c r="B9" s="184" t="s">
        <v>236</v>
      </c>
      <c r="C9" s="185">
        <v>27860069.844637498</v>
      </c>
      <c r="D9" s="185">
        <v>26392707.189345006</v>
      </c>
    </row>
    <row r="10" spans="1:8" ht="15" customHeight="1" x14ac:dyDescent="0.2">
      <c r="A10" s="180">
        <v>1.4</v>
      </c>
      <c r="B10" s="188" t="s">
        <v>28</v>
      </c>
      <c r="C10" s="187">
        <v>757059.26400000008</v>
      </c>
      <c r="D10" s="187">
        <v>650279.29200000002</v>
      </c>
    </row>
    <row r="11" spans="1:8" ht="15" customHeight="1" x14ac:dyDescent="0.2">
      <c r="A11" s="180">
        <v>2</v>
      </c>
      <c r="B11" s="181" t="s">
        <v>237</v>
      </c>
      <c r="C11" s="185">
        <v>16396331.090000063</v>
      </c>
      <c r="D11" s="185">
        <v>20245187.090000018</v>
      </c>
    </row>
    <row r="12" spans="1:8" ht="15" customHeight="1" x14ac:dyDescent="0.2">
      <c r="A12" s="180">
        <v>3</v>
      </c>
      <c r="B12" s="181" t="s">
        <v>238</v>
      </c>
      <c r="C12" s="187">
        <v>70760188.668749988</v>
      </c>
      <c r="D12" s="187">
        <v>70760188.668749988</v>
      </c>
    </row>
    <row r="13" spans="1:8" ht="15" customHeight="1" thickBot="1" x14ac:dyDescent="0.25">
      <c r="A13" s="189">
        <v>4</v>
      </c>
      <c r="B13" s="190" t="s">
        <v>239</v>
      </c>
      <c r="C13" s="191">
        <f>C6+C11+C12</f>
        <v>747728329.12338781</v>
      </c>
      <c r="D13" s="192">
        <v>727269059.01679111</v>
      </c>
    </row>
    <row r="14" spans="1:8" ht="15" customHeight="1" x14ac:dyDescent="0.2">
      <c r="A14" s="193"/>
      <c r="B14" s="194"/>
      <c r="C14" s="195"/>
      <c r="D14" s="195"/>
    </row>
    <row r="15" spans="1:8" x14ac:dyDescent="0.2">
      <c r="B15" s="196"/>
      <c r="C15" s="197"/>
    </row>
    <row r="16" spans="1:8" x14ac:dyDescent="0.2">
      <c r="B16" s="196"/>
      <c r="C16" s="197"/>
    </row>
    <row r="17" spans="2:3" x14ac:dyDescent="0.2">
      <c r="B17" s="196"/>
      <c r="C17" s="197"/>
    </row>
    <row r="18" spans="2:3" x14ac:dyDescent="0.2">
      <c r="B18" s="196"/>
      <c r="C18" s="197"/>
    </row>
    <row r="19" spans="2:3" x14ac:dyDescent="0.2">
      <c r="B19" s="196"/>
    </row>
    <row r="20" spans="2:3" x14ac:dyDescent="0.2">
      <c r="B20" s="196"/>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0"/>
  <sheetViews>
    <sheetView zoomScaleNormal="100" workbookViewId="0">
      <pane xSplit="1" ySplit="4" topLeftCell="B9" activePane="bottomRight" state="frozen"/>
      <selection activeCell="P24" sqref="P24:Q24"/>
      <selection pane="topRight" activeCell="P24" sqref="P24:Q24"/>
      <selection pane="bottomLeft" activeCell="P24" sqref="P24:Q24"/>
      <selection pane="bottomRight" activeCell="A5" sqref="A5:C29"/>
    </sheetView>
  </sheetViews>
  <sheetFormatPr defaultRowHeight="15" x14ac:dyDescent="0.25"/>
  <cols>
    <col min="1" max="1" width="9.5703125" style="24" bestFit="1" customWidth="1"/>
    <col min="2" max="2" width="89.28515625" style="24" customWidth="1"/>
    <col min="3" max="3" width="9.140625" style="24"/>
  </cols>
  <sheetData>
    <row r="1" spans="1:3" x14ac:dyDescent="0.25">
      <c r="A1" s="24" t="s">
        <v>29</v>
      </c>
      <c r="B1" s="24" t="str">
        <f>'1. key ratios'!B1</f>
        <v>სს ტერაბანკი</v>
      </c>
    </row>
    <row r="2" spans="1:3" x14ac:dyDescent="0.25">
      <c r="A2" s="24" t="s">
        <v>31</v>
      </c>
      <c r="B2" s="84">
        <f>'1. key ratios'!B2</f>
        <v>43190</v>
      </c>
    </row>
    <row r="4" spans="1:3" ht="16.5" customHeight="1" thickBot="1" x14ac:dyDescent="0.35">
      <c r="A4" s="198" t="s">
        <v>240</v>
      </c>
      <c r="B4" s="199" t="s">
        <v>17</v>
      </c>
      <c r="C4" s="200"/>
    </row>
    <row r="5" spans="1:3" ht="15.75" x14ac:dyDescent="0.3">
      <c r="A5" s="201"/>
      <c r="B5" s="202" t="s">
        <v>241</v>
      </c>
      <c r="C5" s="203"/>
    </row>
    <row r="6" spans="1:3" x14ac:dyDescent="0.25">
      <c r="A6" s="204">
        <v>1</v>
      </c>
      <c r="B6" s="205" t="s">
        <v>242</v>
      </c>
      <c r="C6" s="206"/>
    </row>
    <row r="7" spans="1:3" x14ac:dyDescent="0.25">
      <c r="A7" s="204">
        <v>2</v>
      </c>
      <c r="B7" s="205" t="s">
        <v>243</v>
      </c>
      <c r="C7" s="206"/>
    </row>
    <row r="8" spans="1:3" x14ac:dyDescent="0.25">
      <c r="A8" s="204">
        <v>3</v>
      </c>
      <c r="B8" s="205" t="s">
        <v>244</v>
      </c>
      <c r="C8" s="206"/>
    </row>
    <row r="9" spans="1:3" x14ac:dyDescent="0.25">
      <c r="A9" s="204">
        <v>4</v>
      </c>
      <c r="B9" s="205" t="s">
        <v>245</v>
      </c>
      <c r="C9" s="206"/>
    </row>
    <row r="10" spans="1:3" x14ac:dyDescent="0.25">
      <c r="A10" s="204"/>
      <c r="B10" s="207"/>
      <c r="C10" s="208"/>
    </row>
    <row r="11" spans="1:3" ht="15.75" x14ac:dyDescent="0.3">
      <c r="A11" s="204"/>
      <c r="B11" s="209" t="s">
        <v>246</v>
      </c>
      <c r="C11" s="210"/>
    </row>
    <row r="12" spans="1:3" ht="15.75" x14ac:dyDescent="0.3">
      <c r="A12" s="204">
        <v>1</v>
      </c>
      <c r="B12" s="211" t="s">
        <v>6</v>
      </c>
      <c r="C12" s="212"/>
    </row>
    <row r="13" spans="1:3" ht="15.75" x14ac:dyDescent="0.3">
      <c r="A13" s="204">
        <v>2</v>
      </c>
      <c r="B13" s="211" t="s">
        <v>247</v>
      </c>
      <c r="C13" s="212"/>
    </row>
    <row r="14" spans="1:3" ht="15.75" x14ac:dyDescent="0.3">
      <c r="A14" s="204">
        <v>3</v>
      </c>
      <c r="B14" s="211" t="s">
        <v>248</v>
      </c>
      <c r="C14" s="212"/>
    </row>
    <row r="15" spans="1:3" ht="15.75" x14ac:dyDescent="0.3">
      <c r="A15" s="204">
        <v>4</v>
      </c>
      <c r="B15" s="211" t="s">
        <v>249</v>
      </c>
      <c r="C15" s="212"/>
    </row>
    <row r="16" spans="1:3" ht="15.75" x14ac:dyDescent="0.3">
      <c r="A16" s="204">
        <v>5</v>
      </c>
      <c r="B16" s="211" t="s">
        <v>250</v>
      </c>
      <c r="C16" s="212"/>
    </row>
    <row r="17" spans="1:3" ht="15.75" customHeight="1" x14ac:dyDescent="0.3">
      <c r="A17" s="204"/>
      <c r="B17" s="211"/>
      <c r="C17" s="213"/>
    </row>
    <row r="18" spans="1:3" ht="30" customHeight="1" x14ac:dyDescent="0.25">
      <c r="A18" s="204"/>
      <c r="B18" s="214" t="s">
        <v>251</v>
      </c>
      <c r="C18" s="215"/>
    </row>
    <row r="19" spans="1:3" x14ac:dyDescent="0.25">
      <c r="A19" s="204">
        <v>1</v>
      </c>
      <c r="B19" s="205" t="s">
        <v>4</v>
      </c>
      <c r="C19" s="216">
        <v>0.45</v>
      </c>
    </row>
    <row r="20" spans="1:3" x14ac:dyDescent="0.25">
      <c r="A20" s="204">
        <v>2</v>
      </c>
      <c r="B20" s="205" t="s">
        <v>252</v>
      </c>
      <c r="C20" s="216">
        <v>0.2</v>
      </c>
    </row>
    <row r="21" spans="1:3" x14ac:dyDescent="0.25">
      <c r="A21" s="204">
        <v>3</v>
      </c>
      <c r="B21" s="205" t="s">
        <v>253</v>
      </c>
      <c r="C21" s="216">
        <v>0.15</v>
      </c>
    </row>
    <row r="22" spans="1:3" x14ac:dyDescent="0.25">
      <c r="A22" s="204">
        <v>4</v>
      </c>
      <c r="B22" s="205" t="s">
        <v>254</v>
      </c>
      <c r="C22" s="216">
        <v>0.15</v>
      </c>
    </row>
    <row r="23" spans="1:3" x14ac:dyDescent="0.25">
      <c r="A23" s="204">
        <v>5</v>
      </c>
      <c r="B23" s="205" t="s">
        <v>255</v>
      </c>
      <c r="C23" s="216">
        <v>0.05</v>
      </c>
    </row>
    <row r="24" spans="1:3" ht="15.75" customHeight="1" x14ac:dyDescent="0.25">
      <c r="A24" s="204"/>
      <c r="B24" s="205"/>
      <c r="C24" s="206"/>
    </row>
    <row r="25" spans="1:3" ht="29.25" customHeight="1" x14ac:dyDescent="0.25">
      <c r="A25" s="204"/>
      <c r="B25" s="214" t="s">
        <v>256</v>
      </c>
      <c r="C25" s="215"/>
    </row>
    <row r="26" spans="1:3" x14ac:dyDescent="0.25">
      <c r="A26" s="204">
        <v>1</v>
      </c>
      <c r="B26" s="205" t="s">
        <v>4</v>
      </c>
      <c r="C26" s="216">
        <v>0.45</v>
      </c>
    </row>
    <row r="27" spans="1:3" x14ac:dyDescent="0.25">
      <c r="A27" s="217">
        <v>2</v>
      </c>
      <c r="B27" s="218" t="s">
        <v>252</v>
      </c>
      <c r="C27" s="219">
        <v>0.2</v>
      </c>
    </row>
    <row r="28" spans="1:3" x14ac:dyDescent="0.25">
      <c r="A28" s="217">
        <v>3</v>
      </c>
      <c r="B28" s="218" t="s">
        <v>253</v>
      </c>
      <c r="C28" s="219">
        <v>0.15</v>
      </c>
    </row>
    <row r="29" spans="1:3" x14ac:dyDescent="0.25">
      <c r="A29" s="217">
        <v>4</v>
      </c>
      <c r="B29" s="218" t="s">
        <v>254</v>
      </c>
      <c r="C29" s="219">
        <v>0.15</v>
      </c>
    </row>
    <row r="30" spans="1:3" ht="16.5" thickBot="1" x14ac:dyDescent="0.35">
      <c r="A30" s="220"/>
      <c r="B30" s="221"/>
      <c r="C30" s="222"/>
    </row>
  </sheetData>
  <mergeCells count="5">
    <mergeCell ref="B5:C5"/>
    <mergeCell ref="B10:C10"/>
    <mergeCell ref="B11:C11"/>
    <mergeCell ref="B18:C18"/>
    <mergeCell ref="B25:C25"/>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topLeftCell="A7" zoomScaleNormal="100" workbookViewId="0">
      <selection activeCell="B23" sqref="B23:F29"/>
    </sheetView>
  </sheetViews>
  <sheetFormatPr defaultRowHeight="15" x14ac:dyDescent="0.25"/>
  <cols>
    <col min="1" max="1" width="9.5703125" style="24" bestFit="1" customWidth="1"/>
    <col min="2" max="2" width="47.5703125" style="24" customWidth="1"/>
    <col min="3" max="3" width="28" style="24" customWidth="1"/>
    <col min="4" max="4" width="22.42578125" style="24" customWidth="1"/>
    <col min="5" max="5" width="18.85546875" style="24" customWidth="1"/>
    <col min="6" max="6" width="11.140625" bestFit="1" customWidth="1"/>
    <col min="7" max="7" width="16" bestFit="1" customWidth="1"/>
    <col min="11" max="11" width="12" bestFit="1" customWidth="1"/>
  </cols>
  <sheetData>
    <row r="1" spans="1:10" ht="15.75" x14ac:dyDescent="0.3">
      <c r="A1" s="25" t="s">
        <v>29</v>
      </c>
      <c r="B1" s="24" t="str">
        <f>'1. key ratios'!B1</f>
        <v>სს ტერაბანკი</v>
      </c>
    </row>
    <row r="2" spans="1:10" s="223" customFormat="1" ht="15.75" customHeight="1" x14ac:dyDescent="0.3">
      <c r="A2" s="223" t="s">
        <v>31</v>
      </c>
      <c r="B2" s="84">
        <f>'1. key ratios'!B2</f>
        <v>43190</v>
      </c>
    </row>
    <row r="3" spans="1:10" s="223" customFormat="1" ht="15.75" customHeight="1" x14ac:dyDescent="0.3"/>
    <row r="4" spans="1:10" s="223" customFormat="1" ht="15.75" customHeight="1" thickBot="1" x14ac:dyDescent="0.35">
      <c r="A4" s="224" t="s">
        <v>257</v>
      </c>
      <c r="B4" s="225" t="s">
        <v>18</v>
      </c>
      <c r="C4" s="226"/>
      <c r="D4" s="226"/>
      <c r="E4" s="226"/>
    </row>
    <row r="5" spans="1:10" s="231" customFormat="1" ht="17.45" customHeight="1" x14ac:dyDescent="0.25">
      <c r="A5" s="227"/>
      <c r="B5" s="228"/>
      <c r="C5" s="229" t="s">
        <v>258</v>
      </c>
      <c r="D5" s="229" t="s">
        <v>259</v>
      </c>
      <c r="E5" s="230" t="s">
        <v>260</v>
      </c>
    </row>
    <row r="6" spans="1:10" s="236" customFormat="1" ht="14.45" customHeight="1" x14ac:dyDescent="0.25">
      <c r="A6" s="232"/>
      <c r="B6" s="233" t="s">
        <v>261</v>
      </c>
      <c r="C6" s="233" t="s">
        <v>262</v>
      </c>
      <c r="D6" s="234" t="s">
        <v>263</v>
      </c>
      <c r="E6" s="235"/>
      <c r="G6"/>
    </row>
    <row r="7" spans="1:10" s="236" customFormat="1" ht="99.6" customHeight="1" x14ac:dyDescent="0.25">
      <c r="A7" s="232"/>
      <c r="B7" s="233"/>
      <c r="C7" s="233"/>
      <c r="D7" s="237" t="s">
        <v>264</v>
      </c>
      <c r="E7" s="238" t="s">
        <v>265</v>
      </c>
      <c r="G7"/>
    </row>
    <row r="8" spans="1:10" x14ac:dyDescent="0.25">
      <c r="A8" s="232"/>
      <c r="B8" s="239" t="s">
        <v>82</v>
      </c>
      <c r="C8" s="240">
        <f>'2. RC'!E7</f>
        <v>36370669.350000001</v>
      </c>
      <c r="D8" s="241"/>
      <c r="E8" s="242">
        <f>C8-D8</f>
        <v>36370669.350000001</v>
      </c>
      <c r="J8" s="243"/>
    </row>
    <row r="9" spans="1:10" x14ac:dyDescent="0.25">
      <c r="A9" s="232"/>
      <c r="B9" s="239" t="s">
        <v>83</v>
      </c>
      <c r="C9" s="240">
        <f>'2. RC'!E8</f>
        <v>83167680.88000001</v>
      </c>
      <c r="D9" s="241"/>
      <c r="E9" s="242">
        <f t="shared" ref="E9:E20" si="0">C9-D9</f>
        <v>83167680.88000001</v>
      </c>
      <c r="J9" s="243"/>
    </row>
    <row r="10" spans="1:10" x14ac:dyDescent="0.25">
      <c r="A10" s="232"/>
      <c r="B10" s="239" t="s">
        <v>266</v>
      </c>
      <c r="C10" s="240">
        <f>'2. RC'!E9</f>
        <v>26540701.740000002</v>
      </c>
      <c r="D10" s="241"/>
      <c r="E10" s="242">
        <f t="shared" si="0"/>
        <v>26540701.740000002</v>
      </c>
      <c r="J10" s="243"/>
    </row>
    <row r="11" spans="1:10" ht="25.5" x14ac:dyDescent="0.25">
      <c r="A11" s="232"/>
      <c r="B11" s="239" t="s">
        <v>85</v>
      </c>
      <c r="C11" s="240">
        <f>'2. RC'!E10</f>
        <v>0</v>
      </c>
      <c r="D11" s="241"/>
      <c r="E11" s="242">
        <f t="shared" si="0"/>
        <v>0</v>
      </c>
      <c r="J11" s="243"/>
    </row>
    <row r="12" spans="1:10" x14ac:dyDescent="0.25">
      <c r="A12" s="232"/>
      <c r="B12" s="239" t="s">
        <v>86</v>
      </c>
      <c r="C12" s="240">
        <f>'2. RC'!E11</f>
        <v>45152249.909999996</v>
      </c>
      <c r="D12" s="241"/>
      <c r="E12" s="242">
        <f t="shared" si="0"/>
        <v>45152249.909999996</v>
      </c>
      <c r="J12" s="243"/>
    </row>
    <row r="13" spans="1:10" x14ac:dyDescent="0.25">
      <c r="A13" s="232"/>
      <c r="B13" s="239" t="s">
        <v>87</v>
      </c>
      <c r="C13" s="240">
        <f>'2. RC'!E12</f>
        <v>612299977.3700006</v>
      </c>
      <c r="D13" s="241"/>
      <c r="E13" s="242">
        <f t="shared" si="0"/>
        <v>612299977.3700006</v>
      </c>
      <c r="F13" s="244"/>
      <c r="G13" s="171"/>
      <c r="J13" s="243"/>
    </row>
    <row r="14" spans="1:10" x14ac:dyDescent="0.25">
      <c r="A14" s="232"/>
      <c r="B14" s="245" t="s">
        <v>88</v>
      </c>
      <c r="C14" s="246">
        <f>'2. RC'!E13</f>
        <v>-41699385.810000047</v>
      </c>
      <c r="D14" s="241"/>
      <c r="E14" s="242">
        <f t="shared" si="0"/>
        <v>-41699385.810000047</v>
      </c>
      <c r="G14" s="171"/>
      <c r="J14" s="243"/>
    </row>
    <row r="15" spans="1:10" x14ac:dyDescent="0.25">
      <c r="A15" s="232"/>
      <c r="B15" s="239" t="s">
        <v>267</v>
      </c>
      <c r="C15" s="240">
        <f>'2. RC'!E14</f>
        <v>570600591.56000054</v>
      </c>
      <c r="D15" s="241"/>
      <c r="E15" s="242">
        <f t="shared" si="0"/>
        <v>570600591.56000054</v>
      </c>
      <c r="G15" s="171"/>
      <c r="J15" s="243"/>
    </row>
    <row r="16" spans="1:10" ht="25.5" x14ac:dyDescent="0.25">
      <c r="A16" s="232"/>
      <c r="B16" s="239" t="s">
        <v>90</v>
      </c>
      <c r="C16" s="240">
        <f>'2. RC'!E15</f>
        <v>4231093.58</v>
      </c>
      <c r="D16" s="241"/>
      <c r="E16" s="242">
        <f t="shared" si="0"/>
        <v>4231093.58</v>
      </c>
      <c r="G16" s="171"/>
      <c r="J16" s="243"/>
    </row>
    <row r="17" spans="1:11" x14ac:dyDescent="0.25">
      <c r="A17" s="232"/>
      <c r="B17" s="239" t="s">
        <v>91</v>
      </c>
      <c r="C17" s="240">
        <f>'2. RC'!E16</f>
        <v>5391923.4099999983</v>
      </c>
      <c r="D17" s="241"/>
      <c r="E17" s="242">
        <f t="shared" si="0"/>
        <v>5391923.4099999983</v>
      </c>
      <c r="F17" s="247"/>
      <c r="G17" s="171"/>
      <c r="J17" s="243"/>
      <c r="K17" s="248"/>
    </row>
    <row r="18" spans="1:11" x14ac:dyDescent="0.25">
      <c r="A18" s="232"/>
      <c r="B18" s="239" t="s">
        <v>92</v>
      </c>
      <c r="C18" s="240">
        <f>'2. RC'!E17</f>
        <v>0</v>
      </c>
      <c r="D18" s="241"/>
      <c r="E18" s="242">
        <f t="shared" si="0"/>
        <v>0</v>
      </c>
      <c r="G18" s="171"/>
      <c r="J18" s="243"/>
    </row>
    <row r="19" spans="1:11" ht="25.5" x14ac:dyDescent="0.25">
      <c r="A19" s="232"/>
      <c r="B19" s="239" t="s">
        <v>93</v>
      </c>
      <c r="C19" s="240">
        <f>'2. RC'!E18</f>
        <v>45161892.469999999</v>
      </c>
      <c r="D19" s="241">
        <f>'9. Capital'!C15</f>
        <v>28170798</v>
      </c>
      <c r="E19" s="242">
        <f t="shared" si="0"/>
        <v>16991094.469999999</v>
      </c>
      <c r="G19" s="171"/>
      <c r="J19" s="243"/>
    </row>
    <row r="20" spans="1:11" x14ac:dyDescent="0.25">
      <c r="A20" s="232"/>
      <c r="B20" s="239" t="s">
        <v>94</v>
      </c>
      <c r="C20" s="240">
        <f>'2. RC'!E19</f>
        <v>5605672.4945999999</v>
      </c>
      <c r="D20" s="241"/>
      <c r="E20" s="242">
        <f t="shared" si="0"/>
        <v>5605672.4945999999</v>
      </c>
      <c r="G20" s="171"/>
      <c r="J20" s="243"/>
    </row>
    <row r="21" spans="1:11" ht="51.75" thickBot="1" x14ac:dyDescent="0.3">
      <c r="A21" s="249"/>
      <c r="B21" s="250" t="s">
        <v>268</v>
      </c>
      <c r="C21" s="251">
        <f>SUM(C8:C12)+SUM(C15:C20)</f>
        <v>822222475.39460063</v>
      </c>
      <c r="D21" s="251">
        <f>SUM(D8:D12)+SUM(D15:D20)</f>
        <v>28170798</v>
      </c>
      <c r="E21" s="252">
        <f>SUM(E8:E12)+SUM(E15:E20)</f>
        <v>794051677.39460063</v>
      </c>
      <c r="G21" s="171"/>
    </row>
    <row r="22" spans="1:11" x14ac:dyDescent="0.25">
      <c r="A22"/>
      <c r="C22"/>
      <c r="D22"/>
      <c r="E22" s="248"/>
      <c r="G22" s="171"/>
    </row>
    <row r="23" spans="1:11" x14ac:dyDescent="0.25">
      <c r="A23"/>
      <c r="B23" s="253"/>
      <c r="C23" s="254"/>
      <c r="D23"/>
      <c r="E23" s="244"/>
      <c r="G23" s="171"/>
    </row>
    <row r="24" spans="1:11" x14ac:dyDescent="0.25">
      <c r="B24" s="255"/>
      <c r="C24" s="256"/>
      <c r="D24" s="256"/>
      <c r="E24" s="256"/>
    </row>
    <row r="25" spans="1:11" s="24" customFormat="1" x14ac:dyDescent="0.25">
      <c r="B25" s="257"/>
      <c r="E25" s="256"/>
      <c r="F25"/>
      <c r="G25"/>
    </row>
    <row r="26" spans="1:11" s="24" customFormat="1" x14ac:dyDescent="0.25">
      <c r="B26" s="258"/>
      <c r="D26" s="113"/>
      <c r="F26"/>
      <c r="G26"/>
    </row>
    <row r="27" spans="1:11" s="24" customFormat="1" x14ac:dyDescent="0.25">
      <c r="B27" s="257"/>
      <c r="D27" s="113"/>
      <c r="F27"/>
      <c r="G27"/>
    </row>
    <row r="28" spans="1:11" s="24" customFormat="1" x14ac:dyDescent="0.25">
      <c r="B28" s="257"/>
      <c r="F28"/>
      <c r="G28"/>
    </row>
    <row r="29" spans="1:11" s="24" customFormat="1" x14ac:dyDescent="0.25">
      <c r="B29" s="257"/>
      <c r="F29"/>
      <c r="G29"/>
    </row>
    <row r="30" spans="1:11" s="24" customFormat="1" x14ac:dyDescent="0.25">
      <c r="B30" s="257"/>
      <c r="F30"/>
      <c r="G30"/>
    </row>
    <row r="31" spans="1:11" s="24" customFormat="1" x14ac:dyDescent="0.25">
      <c r="B31" s="257"/>
      <c r="F31"/>
      <c r="G31"/>
    </row>
    <row r="32" spans="1:11" s="24" customFormat="1" x14ac:dyDescent="0.25">
      <c r="B32" s="258"/>
      <c r="F32"/>
      <c r="G32"/>
    </row>
    <row r="33" spans="2:7" s="24" customFormat="1" x14ac:dyDescent="0.25">
      <c r="B33" s="258"/>
      <c r="F33"/>
      <c r="G33"/>
    </row>
    <row r="34" spans="2:7" s="24" customFormat="1" x14ac:dyDescent="0.25">
      <c r="B34" s="258"/>
      <c r="F34"/>
      <c r="G34"/>
    </row>
    <row r="35" spans="2:7" s="24" customFormat="1" x14ac:dyDescent="0.25">
      <c r="B35" s="258"/>
      <c r="F35"/>
      <c r="G35"/>
    </row>
    <row r="36" spans="2:7" s="24" customFormat="1" x14ac:dyDescent="0.25">
      <c r="B36" s="258"/>
      <c r="F36"/>
      <c r="G36"/>
    </row>
    <row r="37" spans="2:7" s="24" customFormat="1" x14ac:dyDescent="0.25">
      <c r="B37" s="258"/>
      <c r="F37"/>
      <c r="G37"/>
    </row>
  </sheetData>
  <mergeCells count="3">
    <mergeCell ref="B6:B7"/>
    <mergeCell ref="C6:C7"/>
    <mergeCell ref="D6:E6"/>
  </mergeCell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zoomScaleNormal="100" workbookViewId="0">
      <pane xSplit="1" ySplit="4" topLeftCell="B5" activePane="bottomRight" state="frozen"/>
      <selection activeCell="P24" sqref="P24:Q24"/>
      <selection pane="topRight" activeCell="P24" sqref="P24:Q24"/>
      <selection pane="bottomLeft" activeCell="P24" sqref="P24:Q24"/>
      <selection pane="bottomRight" activeCell="B15" sqref="B15:C19"/>
    </sheetView>
  </sheetViews>
  <sheetFormatPr defaultRowHeight="15" outlineLevelRow="1" x14ac:dyDescent="0.25"/>
  <cols>
    <col min="1" max="1" width="9.5703125" style="24" bestFit="1" customWidth="1"/>
    <col min="2" max="2" width="114.28515625" style="24"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25" t="s">
        <v>29</v>
      </c>
      <c r="B1" s="24" t="str">
        <f>'1. key ratios'!B1</f>
        <v>სს ტერაბანკი</v>
      </c>
    </row>
    <row r="2" spans="1:6" s="223" customFormat="1" ht="15.75" customHeight="1" x14ac:dyDescent="0.3">
      <c r="A2" s="223" t="s">
        <v>31</v>
      </c>
      <c r="B2" s="84">
        <f>'1. key ratios'!B2</f>
        <v>43190</v>
      </c>
      <c r="C2"/>
      <c r="D2"/>
      <c r="E2"/>
      <c r="F2"/>
    </row>
    <row r="3" spans="1:6" s="223" customFormat="1" ht="15.75" customHeight="1" x14ac:dyDescent="0.3">
      <c r="C3"/>
      <c r="D3"/>
      <c r="E3"/>
      <c r="F3"/>
    </row>
    <row r="4" spans="1:6" s="223" customFormat="1" ht="26.25" thickBot="1" x14ac:dyDescent="0.35">
      <c r="A4" s="223" t="s">
        <v>269</v>
      </c>
      <c r="B4" s="259" t="s">
        <v>19</v>
      </c>
      <c r="C4" s="260" t="s">
        <v>75</v>
      </c>
      <c r="D4"/>
      <c r="E4"/>
      <c r="F4"/>
    </row>
    <row r="5" spans="1:6" ht="26.25" x14ac:dyDescent="0.25">
      <c r="A5" s="261">
        <v>1</v>
      </c>
      <c r="B5" s="262" t="s">
        <v>270</v>
      </c>
      <c r="C5" s="263">
        <f>'7. LI1'!E21</f>
        <v>794051677.39460063</v>
      </c>
    </row>
    <row r="6" spans="1:6" s="17" customFormat="1" x14ac:dyDescent="0.25">
      <c r="A6" s="264">
        <v>2.1</v>
      </c>
      <c r="B6" s="265" t="s">
        <v>271</v>
      </c>
      <c r="C6" s="266">
        <v>83747009.879999965</v>
      </c>
      <c r="D6" s="267"/>
    </row>
    <row r="7" spans="1:6" s="272" customFormat="1" ht="25.5" outlineLevel="1" x14ac:dyDescent="0.25">
      <c r="A7" s="268">
        <v>2.2000000000000002</v>
      </c>
      <c r="B7" s="269" t="s">
        <v>272</v>
      </c>
      <c r="C7" s="270">
        <v>37852963.200000003</v>
      </c>
      <c r="D7" s="271"/>
    </row>
    <row r="8" spans="1:6" s="272" customFormat="1" ht="26.25" x14ac:dyDescent="0.25">
      <c r="A8" s="268">
        <v>3</v>
      </c>
      <c r="B8" s="273" t="s">
        <v>273</v>
      </c>
      <c r="C8" s="274">
        <f>SUM(C5:C7)</f>
        <v>915651650.47460067</v>
      </c>
      <c r="D8" s="271"/>
    </row>
    <row r="9" spans="1:6" s="17" customFormat="1" x14ac:dyDescent="0.25">
      <c r="A9" s="264">
        <v>4</v>
      </c>
      <c r="B9" s="275" t="s">
        <v>274</v>
      </c>
      <c r="C9" s="276">
        <v>10621371.690000148</v>
      </c>
      <c r="D9" s="267"/>
    </row>
    <row r="10" spans="1:6" s="272" customFormat="1" ht="25.5" outlineLevel="1" x14ac:dyDescent="0.25">
      <c r="A10" s="268">
        <v>5.0999999999999996</v>
      </c>
      <c r="B10" s="269" t="s">
        <v>275</v>
      </c>
      <c r="C10" s="270">
        <v>-40930572.352999978</v>
      </c>
    </row>
    <row r="11" spans="1:6" s="272" customFormat="1" ht="25.5" outlineLevel="1" x14ac:dyDescent="0.25">
      <c r="A11" s="268">
        <v>5.2</v>
      </c>
      <c r="B11" s="269" t="s">
        <v>276</v>
      </c>
      <c r="C11" s="270">
        <f>-(C7-'15. CCR'!N21)</f>
        <v>-37095903.936000004</v>
      </c>
    </row>
    <row r="12" spans="1:6" s="272" customFormat="1" x14ac:dyDescent="0.25">
      <c r="A12" s="268">
        <v>6</v>
      </c>
      <c r="B12" s="277" t="s">
        <v>277</v>
      </c>
      <c r="C12" s="270">
        <v>0</v>
      </c>
    </row>
    <row r="13" spans="1:6" s="272" customFormat="1" ht="15.75" thickBot="1" x14ac:dyDescent="0.3">
      <c r="A13" s="278">
        <v>7</v>
      </c>
      <c r="B13" s="279" t="s">
        <v>278</v>
      </c>
      <c r="C13" s="280">
        <f>SUM(C8:C12)</f>
        <v>848246545.87560093</v>
      </c>
      <c r="D13" s="271"/>
    </row>
    <row r="14" spans="1:6" x14ac:dyDescent="0.25">
      <c r="C14" s="281"/>
      <c r="D14" s="244"/>
      <c r="E14" s="244"/>
    </row>
    <row r="15" spans="1:6" x14ac:dyDescent="0.25">
      <c r="D15" s="248"/>
    </row>
    <row r="16" spans="1:6" x14ac:dyDescent="0.25">
      <c r="C16" s="244"/>
      <c r="D16" s="248"/>
    </row>
    <row r="17" spans="2:9" s="24" customFormat="1" x14ac:dyDescent="0.25">
      <c r="B17" s="282"/>
      <c r="C17" s="283"/>
      <c r="D17" s="244"/>
      <c r="E17"/>
      <c r="F17"/>
      <c r="G17"/>
      <c r="H17"/>
      <c r="I17"/>
    </row>
    <row r="18" spans="2:9" s="24" customFormat="1" x14ac:dyDescent="0.25">
      <c r="B18" s="284"/>
      <c r="C18"/>
      <c r="D18"/>
      <c r="E18"/>
      <c r="F18"/>
      <c r="G18"/>
      <c r="H18"/>
      <c r="I18"/>
    </row>
    <row r="19" spans="2:9" s="24" customFormat="1" x14ac:dyDescent="0.25">
      <c r="B19" s="284"/>
      <c r="C19"/>
      <c r="D19"/>
      <c r="E19"/>
      <c r="F19"/>
      <c r="G19"/>
      <c r="H19"/>
      <c r="I19"/>
    </row>
    <row r="20" spans="2:9" s="24" customFormat="1" x14ac:dyDescent="0.25">
      <c r="B20" s="258"/>
      <c r="C20" s="248"/>
      <c r="D20" s="244"/>
      <c r="E20"/>
      <c r="F20"/>
      <c r="G20"/>
      <c r="H20"/>
      <c r="I20"/>
    </row>
    <row r="21" spans="2:9" s="24" customFormat="1" x14ac:dyDescent="0.25">
      <c r="B21" s="257"/>
      <c r="C21"/>
      <c r="D21"/>
      <c r="E21"/>
      <c r="F21"/>
      <c r="G21"/>
      <c r="H21"/>
      <c r="I21"/>
    </row>
    <row r="22" spans="2:9" s="24" customFormat="1" x14ac:dyDescent="0.25">
      <c r="B22" s="258"/>
      <c r="C22" s="171"/>
      <c r="D22"/>
      <c r="E22"/>
      <c r="F22"/>
      <c r="G22"/>
      <c r="H22"/>
      <c r="I22"/>
    </row>
    <row r="23" spans="2:9" s="24" customFormat="1" x14ac:dyDescent="0.25">
      <c r="B23" s="257"/>
      <c r="C23" s="171"/>
      <c r="D23"/>
      <c r="E23"/>
      <c r="F23"/>
      <c r="G23"/>
      <c r="H23"/>
      <c r="I23"/>
    </row>
    <row r="24" spans="2:9" s="24" customFormat="1" x14ac:dyDescent="0.25">
      <c r="B24" s="257"/>
      <c r="C24"/>
      <c r="D24"/>
      <c r="E24"/>
      <c r="F24"/>
      <c r="G24"/>
      <c r="H24"/>
      <c r="I24"/>
    </row>
    <row r="25" spans="2:9" s="24" customFormat="1" x14ac:dyDescent="0.25">
      <c r="B25" s="257"/>
      <c r="C25"/>
      <c r="D25"/>
      <c r="E25"/>
      <c r="F25"/>
      <c r="G25"/>
      <c r="H25"/>
      <c r="I25"/>
    </row>
    <row r="26" spans="2:9" s="24" customFormat="1" x14ac:dyDescent="0.25">
      <c r="B26" s="257"/>
      <c r="C26"/>
      <c r="D26"/>
      <c r="E26"/>
      <c r="F26"/>
      <c r="G26"/>
      <c r="H26"/>
      <c r="I26"/>
    </row>
    <row r="27" spans="2:9" s="24" customFormat="1" x14ac:dyDescent="0.25">
      <c r="B27" s="257"/>
      <c r="C27"/>
      <c r="D27"/>
      <c r="E27"/>
      <c r="F27"/>
      <c r="G27"/>
      <c r="H27"/>
      <c r="I27"/>
    </row>
    <row r="28" spans="2:9" s="24" customFormat="1" x14ac:dyDescent="0.25">
      <c r="B28" s="258"/>
      <c r="C28"/>
      <c r="D28"/>
      <c r="E28"/>
      <c r="F28"/>
      <c r="G28"/>
      <c r="H28"/>
      <c r="I28"/>
    </row>
    <row r="29" spans="2:9" s="24" customFormat="1" x14ac:dyDescent="0.25">
      <c r="B29" s="258"/>
      <c r="C29"/>
      <c r="D29"/>
      <c r="E29"/>
      <c r="F29"/>
      <c r="G29"/>
      <c r="H29"/>
      <c r="I29"/>
    </row>
    <row r="30" spans="2:9" s="24" customFormat="1" x14ac:dyDescent="0.25">
      <c r="B30" s="258"/>
      <c r="C30"/>
      <c r="D30"/>
      <c r="E30"/>
      <c r="F30"/>
      <c r="G30"/>
      <c r="H30"/>
      <c r="I30"/>
    </row>
    <row r="31" spans="2:9" s="24" customFormat="1" x14ac:dyDescent="0.25">
      <c r="B31" s="258"/>
      <c r="C31"/>
      <c r="D31"/>
      <c r="E31"/>
      <c r="F31"/>
      <c r="G31"/>
      <c r="H31"/>
      <c r="I31"/>
    </row>
    <row r="32" spans="2:9" s="24" customFormat="1" x14ac:dyDescent="0.25">
      <c r="B32" s="258"/>
      <c r="C32"/>
      <c r="D32"/>
      <c r="E32"/>
      <c r="F32"/>
      <c r="G32"/>
      <c r="H32"/>
      <c r="I32"/>
    </row>
    <row r="33" spans="2:9" s="24" customFormat="1" x14ac:dyDescent="0.25">
      <c r="B33" s="258"/>
      <c r="C33"/>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8lGkiqb3ji786JGSR4Jz3W1BNLc16NeKOFUAD/HTEfE=</DigestValue>
    </Reference>
    <Reference Type="http://www.w3.org/2000/09/xmldsig#Object" URI="#idOfficeObject">
      <DigestMethod Algorithm="http://www.w3.org/2001/04/xmlenc#sha256"/>
      <DigestValue>mxA8WTpUHgzd4HsNSmwElz/W4+v7IXB4Ics2ZP+sp98=</DigestValue>
    </Reference>
    <Reference Type="http://uri.etsi.org/01903#SignedProperties" URI="#idSignedProperties">
      <Transforms>
        <Transform Algorithm="http://www.w3.org/TR/2001/REC-xml-c14n-20010315"/>
      </Transforms>
      <DigestMethod Algorithm="http://www.w3.org/2001/04/xmlenc#sha256"/>
      <DigestValue>WNAHJVH4UE6ZPXy9H2XPT8I2+bBgNDdYWidTRtxKzAE=</DigestValue>
    </Reference>
  </SignedInfo>
  <SignatureValue>aAcBU4Rv04Pl1VdOhz6L8XsMCCBXrALayUEzjWNXZBc+5Q8P041cSdqQFJt5SoDGsC37DjyYGnIf
P8ErVkZ+ci3Sbd3rjDAnFDxJ9ymNhH/7dZ0WeXFjcgytwt05EiL8qjWQaWt5TGKMOjzl31vrdBIP
KQd6M2QYcsFevmG1QDrcePkq+1JOOu+rx5kpNEwXhKvr9rddnNNClsI/7FJ4+lAathqDQ3g1tGGe
geYmRx3l635hgk7haw65RrYOr+HL0uASBR2chrxrraX9UoznJ22a9CGelpvDfLPPMI9qBY1eKaSC
x4baVgnEEBYGnrA+SNK0Wo/UBHBxvClTobHEyg==</SignatureValue>
  <KeyInfo>
    <X509Data>
      <X509Certificate>MIIGNzCCBR+gAwIBAgIKFOwd1gACAAAdDjANBgkqhkiG9w0BAQsFADBKMRIwEAYKCZImiZPyLGQBGRYCZ2UxEzARBgoJkiaJk/IsZAEZFgNuYmcxHzAdBgNVBAMTFk5CRyBDbGFzcyAyIElOVCBTdWIgQ0EwHhcNMTcwMjIwMDkxMDM1WhcNMTkwMjIwMDkxMDM1WjA1MRUwEwYDVQQKEwxKU0MgVGVyYWJhbmsxHDAaBgNVBAMTE0JLUyAtIE5vZGFyIFRzb21haWEwggEiMA0GCSqGSIb3DQEBAQUAA4IBDwAwggEKAoIBAQDvANHy3vhXVAS42iWzUd87bspQP3C1ClIjyeaKqcwI+ce+9FmJy8VR5ooKTpFl0YA9LNkwPMPhAZdZkA0ptvnTwzo4w0RHfm4y6Zo7nmULHhI1A+szJtOl8lIQm5X2ooZWP9+E7yDOHIM666or4j0ZPCI+CrxSdXJ1pKvvnz59mYpRxyOWTam5lvmadHzfr7wf+bavG+wAn8wXQcPNbQqF9tKhMPg7IbyOLNZJckvyceirzObfapVLt/dvb8TGWNkVTzplHd3pP/HonrPEc75tNjc04aRLkIn2D235VGzhDowc+UgqrcE34Z2CJWo1tV4MzYDlvJt74+plDa7dXZhbAgMBAAGjggMyMIIDLjA8BgkrBgEEAYI3FQcELzAtBiUrBgEEAYI3FQjmsmCDjfVEhoGZCYO4oUqDvoRxBIPEkTOEg4hdAgFkAgEdMB0GA1UdJQQWMBQGCCsGAQUFBwMCBggrBgEFBQcDBDALBgNVHQ8EBAMCB4AwJwYJKwYBBAGCNxUKBBowGDAKBggrBgEFBQcDAjAKBggrBgEFBQcDBDAdBgNVHQ4EFgQU9bhi35keRA2n9WFrF+Gf69lviJ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if/NQOcFKqRp8OGmVsEUPx00KqMoTx71Mfq/8MsfPaf9Uo6cwDaVsmZnzvC/XalY8GQDRJVGQiheoflsT63N7Kjd4EtSb2TAQvKPWOB5LnjNlpa7zScncek1HKLPZ1NfRPzpS8Y1y8IETKotPvTMxUdTZIxbklTO2A6+8MVjAfLpG2myVFZnxQ5MRTVh66/UJ/h0eW6/2LAlwYIORnbQBfsiWzG4Zx9WJTtW/WjVfmyV/dDxirAm4SczG4niZzq3OYK+oJUwwAE3oFSNjKY6uYea7+uRb+kpvcQpXdTZ6qC6BEI5cWJlfrlyCeRgNg42pWEu3k1DK5UvVYvLIt9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rtp4qOqg4FDjP7p3vss2vbu2jkmvFqrPwAe2YgStUzg=</DigestValue>
      </Reference>
      <Reference URI="/xl/calcChain.xml?ContentType=application/vnd.openxmlformats-officedocument.spreadsheetml.calcChain+xml">
        <DigestMethod Algorithm="http://www.w3.org/2001/04/xmlenc#sha256"/>
        <DigestValue>kuYyoz2JchVYGWnXfzsp8ie7TPLxVS5aph/WFlcCmec=</DigestValue>
      </Reference>
      <Reference URI="/xl/comments1.xml?ContentType=application/vnd.openxmlformats-officedocument.spreadsheetml.comments+xml">
        <DigestMethod Algorithm="http://www.w3.org/2001/04/xmlenc#sha256"/>
        <DigestValue>G6dN/z2PfVg+eq3pV23rejD4JzrZTQcW85GqBw21Qbc=</DigestValue>
      </Reference>
      <Reference URI="/xl/drawings/drawing1.xml?ContentType=application/vnd.openxmlformats-officedocument.drawing+xml">
        <DigestMethod Algorithm="http://www.w3.org/2001/04/xmlenc#sha256"/>
        <DigestValue>aQkF4Y6wo2KQc6XOU0TG9bWcskcl6/vG/+FNY41hzVI=</DigestValue>
      </Reference>
      <Reference URI="/xl/drawings/vmlDrawing1.vml?ContentType=application/vnd.openxmlformats-officedocument.vmlDrawing">
        <DigestMethod Algorithm="http://www.w3.org/2001/04/xmlenc#sha256"/>
        <DigestValue>XAJ+E4Nh99qe22wjQ9Bk/GFjhLAso3saPxQlhF6fWLE=</DigestValue>
      </Reference>
      <Reference URI="/xl/printerSettings/printerSettings1.bin?ContentType=application/vnd.openxmlformats-officedocument.spreadsheetml.printerSettings">
        <DigestMethod Algorithm="http://www.w3.org/2001/04/xmlenc#sha256"/>
        <DigestValue>JjrlEZe4ByiM1kFsJ4jxGGeCzO8xsdlZsbA9xU7gPdA=</DigestValue>
      </Reference>
      <Reference URI="/xl/printerSettings/printerSettings10.bin?ContentType=application/vnd.openxmlformats-officedocument.spreadsheetml.printerSettings">
        <DigestMethod Algorithm="http://www.w3.org/2001/04/xmlenc#sha256"/>
        <DigestValue>JjrlEZe4ByiM1kFsJ4jxGGeCzO8xsdlZsbA9xU7gPdA=</DigestValue>
      </Reference>
      <Reference URI="/xl/printerSettings/printerSettings11.bin?ContentType=application/vnd.openxmlformats-officedocument.spreadsheetml.printerSettings">
        <DigestMethod Algorithm="http://www.w3.org/2001/04/xmlenc#sha256"/>
        <DigestValue>1n4ISaUJK8Xew19HWS9jWDY0S1ca447iJ77oAZmdoiw=</DigestValue>
      </Reference>
      <Reference URI="/xl/printerSettings/printerSettings12.bin?ContentType=application/vnd.openxmlformats-officedocument.spreadsheetml.printerSettings">
        <DigestMethod Algorithm="http://www.w3.org/2001/04/xmlenc#sha256"/>
        <DigestValue>JjrlEZe4ByiM1kFsJ4jxGGeCzO8xsdlZsbA9xU7gPdA=</DigestValue>
      </Reference>
      <Reference URI="/xl/printerSettings/printerSettings13.bin?ContentType=application/vnd.openxmlformats-officedocument.spreadsheetml.printerSettings">
        <DigestMethod Algorithm="http://www.w3.org/2001/04/xmlenc#sha256"/>
        <DigestValue>wXVARum644vK3BKRqRfTkuAB6U/W/k9bFFtMUhiA1+U=</DigestValue>
      </Reference>
      <Reference URI="/xl/printerSettings/printerSettings14.bin?ContentType=application/vnd.openxmlformats-officedocument.spreadsheetml.printerSettings">
        <DigestMethod Algorithm="http://www.w3.org/2001/04/xmlenc#sha256"/>
        <DigestValue>wXVARum644vK3BKRqRfTkuAB6U/W/k9bFFtMUhiA1+U=</DigestValue>
      </Reference>
      <Reference URI="/xl/printerSettings/printerSettings15.bin?ContentType=application/vnd.openxmlformats-officedocument.spreadsheetml.printerSettings">
        <DigestMethod Algorithm="http://www.w3.org/2001/04/xmlenc#sha256"/>
        <DigestValue>wXVARum644vK3BKRqRfTkuAB6U/W/k9bFFtMUhiA1+U=</DigestValue>
      </Reference>
      <Reference URI="/xl/printerSettings/printerSettings16.bin?ContentType=application/vnd.openxmlformats-officedocument.spreadsheetml.printerSettings">
        <DigestMethod Algorithm="http://www.w3.org/2001/04/xmlenc#sha256"/>
        <DigestValue>JWXKOKhAA7rCucDPuenETbDnkTw7UQsbWsC+gxHYI3M=</DigestValue>
      </Reference>
      <Reference URI="/xl/printerSettings/printerSettings17.bin?ContentType=application/vnd.openxmlformats-officedocument.spreadsheetml.printerSettings">
        <DigestMethod Algorithm="http://www.w3.org/2001/04/xmlenc#sha256"/>
        <DigestValue>wXVARum644vK3BKRqRfTkuAB6U/W/k9bFFtMUhiA1+U=</DigestValue>
      </Reference>
      <Reference URI="/xl/printerSettings/printerSettings2.bin?ContentType=application/vnd.openxmlformats-officedocument.spreadsheetml.printerSettings">
        <DigestMethod Algorithm="http://www.w3.org/2001/04/xmlenc#sha256"/>
        <DigestValue>1n4ISaUJK8Xew19HWS9jWDY0S1ca447iJ77oAZmdoiw=</DigestValue>
      </Reference>
      <Reference URI="/xl/printerSettings/printerSettings3.bin?ContentType=application/vnd.openxmlformats-officedocument.spreadsheetml.printerSettings">
        <DigestMethod Algorithm="http://www.w3.org/2001/04/xmlenc#sha256"/>
        <DigestValue>JjrlEZe4ByiM1kFsJ4jxGGeCzO8xsdlZsbA9xU7gPdA=</DigestValue>
      </Reference>
      <Reference URI="/xl/printerSettings/printerSettings4.bin?ContentType=application/vnd.openxmlformats-officedocument.spreadsheetml.printerSettings">
        <DigestMethod Algorithm="http://www.w3.org/2001/04/xmlenc#sha256"/>
        <DigestValue>JjrlEZe4ByiM1kFsJ4jxGGeCzO8xsdlZsbA9xU7gPdA=</DigestValue>
      </Reference>
      <Reference URI="/xl/printerSettings/printerSettings5.bin?ContentType=application/vnd.openxmlformats-officedocument.spreadsheetml.printerSettings">
        <DigestMethod Algorithm="http://www.w3.org/2001/04/xmlenc#sha256"/>
        <DigestValue>JjrlEZe4ByiM1kFsJ4jxGGeCzO8xsdlZsbA9xU7gPdA=</DigestValue>
      </Reference>
      <Reference URI="/xl/printerSettings/printerSettings6.bin?ContentType=application/vnd.openxmlformats-officedocument.spreadsheetml.printerSettings">
        <DigestMethod Algorithm="http://www.w3.org/2001/04/xmlenc#sha256"/>
        <DigestValue>JjrlEZe4ByiM1kFsJ4jxGGeCzO8xsdlZsbA9xU7gPdA=</DigestValue>
      </Reference>
      <Reference URI="/xl/printerSettings/printerSettings7.bin?ContentType=application/vnd.openxmlformats-officedocument.spreadsheetml.printerSettings">
        <DigestMethod Algorithm="http://www.w3.org/2001/04/xmlenc#sha256"/>
        <DigestValue>JjrlEZe4ByiM1kFsJ4jxGGeCzO8xsdlZsbA9xU7gPdA=</DigestValue>
      </Reference>
      <Reference URI="/xl/printerSettings/printerSettings8.bin?ContentType=application/vnd.openxmlformats-officedocument.spreadsheetml.printerSettings">
        <DigestMethod Algorithm="http://www.w3.org/2001/04/xmlenc#sha256"/>
        <DigestValue>wXVARum644vK3BKRqRfTkuAB6U/W/k9bFFtMUhiA1+U=</DigestValue>
      </Reference>
      <Reference URI="/xl/printerSettings/printerSettings9.bin?ContentType=application/vnd.openxmlformats-officedocument.spreadsheetml.printerSettings">
        <DigestMethod Algorithm="http://www.w3.org/2001/04/xmlenc#sha256"/>
        <DigestValue>JjrlEZe4ByiM1kFsJ4jxGGeCzO8xsdlZsbA9xU7gPdA=</DigestValue>
      </Reference>
      <Reference URI="/xl/sharedStrings.xml?ContentType=application/vnd.openxmlformats-officedocument.spreadsheetml.sharedStrings+xml">
        <DigestMethod Algorithm="http://www.w3.org/2001/04/xmlenc#sha256"/>
        <DigestValue>OPPJunuAHKnilN/lVpn08BzbpqfPsW1Z1b9kyO+xYq8=</DigestValue>
      </Reference>
      <Reference URI="/xl/styles.xml?ContentType=application/vnd.openxmlformats-officedocument.spreadsheetml.styles+xml">
        <DigestMethod Algorithm="http://www.w3.org/2001/04/xmlenc#sha256"/>
        <DigestValue>+69/t0YWggwI06XHrza8/xlkfd1ZOnJUa1IbJ+PNWlA=</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PWNUUcGxQDKybPL4SN4uLqoQxX3sytiI+R7v4tdYYbw=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pu7AeStVnF2Tjums//R3gi3YYJuhVpsPADYtciCdM8Q=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BoK149ZOwqW6NJdvfLI69gbmftQ+Q3IXQIapIajlHjk=</DigestValue>
      </Reference>
      <Reference URI="/xl/worksheets/sheet10.xml?ContentType=application/vnd.openxmlformats-officedocument.spreadsheetml.worksheet+xml">
        <DigestMethod Algorithm="http://www.w3.org/2001/04/xmlenc#sha256"/>
        <DigestValue>mHBSiaUroNchYeuiKtQYsiuJR4K9no91R+fAPHREMZ8=</DigestValue>
      </Reference>
      <Reference URI="/xl/worksheets/sheet11.xml?ContentType=application/vnd.openxmlformats-officedocument.spreadsheetml.worksheet+xml">
        <DigestMethod Algorithm="http://www.w3.org/2001/04/xmlenc#sha256"/>
        <DigestValue>cHYktWG3adq/sFkC84fHEMbqPZBvDc4lFeZPeeljHXQ=</DigestValue>
      </Reference>
      <Reference URI="/xl/worksheets/sheet12.xml?ContentType=application/vnd.openxmlformats-officedocument.spreadsheetml.worksheet+xml">
        <DigestMethod Algorithm="http://www.w3.org/2001/04/xmlenc#sha256"/>
        <DigestValue>/4xz6+rEdH6EKXzixrlOLpIadWFBE0Dtxgp4TLR+v5w=</DigestValue>
      </Reference>
      <Reference URI="/xl/worksheets/sheet13.xml?ContentType=application/vnd.openxmlformats-officedocument.spreadsheetml.worksheet+xml">
        <DigestMethod Algorithm="http://www.w3.org/2001/04/xmlenc#sha256"/>
        <DigestValue>ONFqliigHd7LhMNkLLma41oxJp2w4i7T0LaB6eoCURQ=</DigestValue>
      </Reference>
      <Reference URI="/xl/worksheets/sheet14.xml?ContentType=application/vnd.openxmlformats-officedocument.spreadsheetml.worksheet+xml">
        <DigestMethod Algorithm="http://www.w3.org/2001/04/xmlenc#sha256"/>
        <DigestValue>JIZ+m1UaAIIFHLcBDz+XnUS/JB+oe5ZaPEqvxTlPmKs=</DigestValue>
      </Reference>
      <Reference URI="/xl/worksheets/sheet15.xml?ContentType=application/vnd.openxmlformats-officedocument.spreadsheetml.worksheet+xml">
        <DigestMethod Algorithm="http://www.w3.org/2001/04/xmlenc#sha256"/>
        <DigestValue>CzIX3FxUTTgwCGapnqDnq21Bd9SLfFRSC0Vemf3HkVk=</DigestValue>
      </Reference>
      <Reference URI="/xl/worksheets/sheet16.xml?ContentType=application/vnd.openxmlformats-officedocument.spreadsheetml.worksheet+xml">
        <DigestMethod Algorithm="http://www.w3.org/2001/04/xmlenc#sha256"/>
        <DigestValue>0piz9akqHTo8dGZhfmIIv087cJEIrNy7zAFngFEj1UE=</DigestValue>
      </Reference>
      <Reference URI="/xl/worksheets/sheet17.xml?ContentType=application/vnd.openxmlformats-officedocument.spreadsheetml.worksheet+xml">
        <DigestMethod Algorithm="http://www.w3.org/2001/04/xmlenc#sha256"/>
        <DigestValue>ceDjsfeRTb+/OhHrhg1FIC0WTLIEn/bNICivUj3PgX8=</DigestValue>
      </Reference>
      <Reference URI="/xl/worksheets/sheet2.xml?ContentType=application/vnd.openxmlformats-officedocument.spreadsheetml.worksheet+xml">
        <DigestMethod Algorithm="http://www.w3.org/2001/04/xmlenc#sha256"/>
        <DigestValue>uejVGKYTFtgfpr0dN57GgVYQXG5zYBjOotKhSGiQcKM=</DigestValue>
      </Reference>
      <Reference URI="/xl/worksheets/sheet3.xml?ContentType=application/vnd.openxmlformats-officedocument.spreadsheetml.worksheet+xml">
        <DigestMethod Algorithm="http://www.w3.org/2001/04/xmlenc#sha256"/>
        <DigestValue>OdZZZG1GADOv1xgg8u+vVH+z65s9o0pUrLELO/LT8Rs=</DigestValue>
      </Reference>
      <Reference URI="/xl/worksheets/sheet4.xml?ContentType=application/vnd.openxmlformats-officedocument.spreadsheetml.worksheet+xml">
        <DigestMethod Algorithm="http://www.w3.org/2001/04/xmlenc#sha256"/>
        <DigestValue>Cs1Vl4BUJUnfWfKhtXHqqYxKxn40p9TKdw0EwBo/sBs=</DigestValue>
      </Reference>
      <Reference URI="/xl/worksheets/sheet5.xml?ContentType=application/vnd.openxmlformats-officedocument.spreadsheetml.worksheet+xml">
        <DigestMethod Algorithm="http://www.w3.org/2001/04/xmlenc#sha256"/>
        <DigestValue>ISvzqSjHhqoW2yQdojykUBhcUczYZnQapFfuadJnsYM=</DigestValue>
      </Reference>
      <Reference URI="/xl/worksheets/sheet6.xml?ContentType=application/vnd.openxmlformats-officedocument.spreadsheetml.worksheet+xml">
        <DigestMethod Algorithm="http://www.w3.org/2001/04/xmlenc#sha256"/>
        <DigestValue>qL4b/awgG7CCEA/XtskGIzde2JOl0khPavMf33I36Oo=</DigestValue>
      </Reference>
      <Reference URI="/xl/worksheets/sheet7.xml?ContentType=application/vnd.openxmlformats-officedocument.spreadsheetml.worksheet+xml">
        <DigestMethod Algorithm="http://www.w3.org/2001/04/xmlenc#sha256"/>
        <DigestValue>nXv23LQAMdKISYBSk6j1Y/vAFkgC/vIgoZF6mKhf/C8=</DigestValue>
      </Reference>
      <Reference URI="/xl/worksheets/sheet8.xml?ContentType=application/vnd.openxmlformats-officedocument.spreadsheetml.worksheet+xml">
        <DigestMethod Algorithm="http://www.w3.org/2001/04/xmlenc#sha256"/>
        <DigestValue>BitdXWNTBnTcC44+IvxuoqyyR6qpR2JUU3MBFYz07+A=</DigestValue>
      </Reference>
      <Reference URI="/xl/worksheets/sheet9.xml?ContentType=application/vnd.openxmlformats-officedocument.spreadsheetml.worksheet+xml">
        <DigestMethod Algorithm="http://www.w3.org/2001/04/xmlenc#sha256"/>
        <DigestValue>hEq9xNZmnqYor56G8RrQNTtvekeQa36lycnnbby06Aw=</DigestValue>
      </Reference>
    </Manifest>
    <SignatureProperties>
      <SignatureProperty Id="idSignatureTime" Target="#idPackageSignature">
        <mdssi:SignatureTime xmlns:mdssi="http://schemas.openxmlformats.org/package/2006/digital-signature">
          <mdssi:Format>YYYY-MM-DDThh:mm:ssTZD</mdssi:Format>
          <mdssi:Value>2018-04-30T08:45:44Z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2018-04-30T08:45:44Z</xd:SigningTime>
          <xd:SigningCertificate>
            <xd:Cert>
              <xd:CertDigest>
                <DigestMethod Algorithm="http://www.w3.org/2001/04/xmlenc#sha256"/>
                <DigestValue>vOshF+mNDaRtODaBAUCQVJ6GEfeSXtXARMM3ee/XoNc=</DigestValue>
              </xd:CertDigest>
              <xd:IssuerSerial>
                <X509IssuerName>CN=NBG Class 2 INT Sub CA, DC=nbg, DC=ge</X509IssuerName>
                <X509SerialNumber>98802911164669064387854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YogR5HpbbNognd1yaI8Xg7GfGyX55MQJ7ncwnI1WeVc=</DigestValue>
    </Reference>
    <Reference Type="http://www.w3.org/2000/09/xmldsig#Object" URI="#idOfficeObject">
      <DigestMethod Algorithm="http://www.w3.org/2001/04/xmlenc#sha256"/>
      <DigestValue>mxA8WTpUHgzd4HsNSmwElz/W4+v7IXB4Ics2ZP+sp98=</DigestValue>
    </Reference>
    <Reference Type="http://uri.etsi.org/01903#SignedProperties" URI="#idSignedProperties">
      <Transforms>
        <Transform Algorithm="http://www.w3.org/TR/2001/REC-xml-c14n-20010315"/>
      </Transforms>
      <DigestMethod Algorithm="http://www.w3.org/2001/04/xmlenc#sha256"/>
      <DigestValue>NFTdPbHORUhE93JuETSyQ1sDTjRBGDMdqJ33KWR9ljw=</DigestValue>
    </Reference>
  </SignedInfo>
  <SignatureValue>6oy6GpNkx9fMRuN06AyELU81zs7UIv0sJFxjnTXm4Jyd1Pqtcj7idNufY3TFq2IS2faysXgPFSWE
Pye/VG/l6DRMpE4b0I4DkXFlYwyi58BWks9GWUCyRYdp7WYyso8zqMFzEsaVFyH8LZyJvM/w6W1P
tAyV3vusmWGNyjl/PoTzef1IlAleJ+t+hpHjXJKY6Cj5aT9p6YvKhbtCFHoREmLgMN4pq/1DTiQC
rxsDb/ksQuxFQjnlhSY59dOaAHLLFDORAWjwclYh7cRT8XMoERQ0wPxIOF0U0jhXUN7jrCcsdn80
HWlNfawJYxfR4ZgGMuRU+O1BMdIUTI0OtYQf0g==</SignatureValue>
  <KeyInfo>
    <X509Data>
      <X509Certificate>MIIGNzCCBR+gAwIBAgIKFOrxTAACAAAdDTANBgkqhkiG9w0BAQsFADBKMRIwEAYKCZImiZPyLGQBGRYCZ2UxEzARBgoJkiaJk/IsZAEZFgNuYmcxHzAdBgNVBAMTFk5CRyBDbGFzcyAyIElOVCBTdWIgQ0EwHhcNMTcwMjIwMDkwOTE4WhcNMTkwMjIwMDkwOTE4WjA1MRUwEwYDVQQKEwxKU0MgVGVyYWJhbmsxHDAaBgNVBAMTE0JLUyAtIFNvcGhpZSBKdWdlbGkwggEiMA0GCSqGSIb3DQEBAQUAA4IBDwAwggEKAoIBAQDrruSc+xlnlZgsoy5/eWuF5qtikjhkYMlDazt+E8Ky3S+1bjUdvQYDMHSvp66ioaAXPjoNAllesaOPdelaiIeN0w8hixYELkOEn7KuYphxdoO3zSpRbHQOgk8jdGBWKuqzqcfkNYCkE1N14hjE0b7Yl6moAPThSXRwMQYMrJMvOqRfUY7HUGOWJED5W8/xVy65uQ7EnhD9bYufx9CG/cmd+vqfVDRPtsdr0LMpa9xXcVBRjtDyChTvCqASOMRVwFoWaxDoWmWr6o9vthHjKENbBAEy8saePBvRKyIbyF8vT8x3tquUA2mr/DDgAHuwUu5XQqvDieKyKbNzfMSPXD89AgMBAAGjggMyMIIDLjA8BgkrBgEEAYI3FQcELzAtBiUrBgEEAYI3FQjmsmCDjfVEhoGZCYO4oUqDvoRxBIPEkTOEg4hdAgFkAgEdMB0GA1UdJQQWMBQGCCsGAQUFBwMCBggrBgEFBQcDBDALBgNVHQ8EBAMCB4AwJwYJKwYBBAGCNxUKBBowGDAKBggrBgEFBQcDAjAKBggrBgEFBQcDBDAdBgNVHQ4EFgQUIAMauxzp9iaJHOv5jwm9Ta7Q6G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4IKL6f7CEXxMDdsRDDRtKbfmEtYtjAVpVowTr/OoUKuLFE+DHVUxTcu3Z+7u/Ln1epifas0l/674oPjwHvSnqb/eJw7LM1Thh6pnCZRmTOVR69K6PFDAlhCYl9N5WoJQw5hHpqVCihG8EHE3isoh1PUWy2mqEkSXtOcars3iF2BWKRfPPtLUiZoYnuXnN8cfdaqYORlx//MkKXq0jjT1e22i0cgotGBcgHeJdohmdb1JTL/VfSkJU7xeYKKYlG13ZkY2cGFtNhulnsugOJhQ0yuxBUlpEUPJ1QVaGvH5n6ruZJkkIF/ESIYg9dQWtLmIOoPfHrN9pnZtO8fTcfD0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rtp4qOqg4FDjP7p3vss2vbu2jkmvFqrPwAe2YgStUzg=</DigestValue>
      </Reference>
      <Reference URI="/xl/calcChain.xml?ContentType=application/vnd.openxmlformats-officedocument.spreadsheetml.calcChain+xml">
        <DigestMethod Algorithm="http://www.w3.org/2001/04/xmlenc#sha256"/>
        <DigestValue>kuYyoz2JchVYGWnXfzsp8ie7TPLxVS5aph/WFlcCmec=</DigestValue>
      </Reference>
      <Reference URI="/xl/comments1.xml?ContentType=application/vnd.openxmlformats-officedocument.spreadsheetml.comments+xml">
        <DigestMethod Algorithm="http://www.w3.org/2001/04/xmlenc#sha256"/>
        <DigestValue>G6dN/z2PfVg+eq3pV23rejD4JzrZTQcW85GqBw21Qbc=</DigestValue>
      </Reference>
      <Reference URI="/xl/drawings/drawing1.xml?ContentType=application/vnd.openxmlformats-officedocument.drawing+xml">
        <DigestMethod Algorithm="http://www.w3.org/2001/04/xmlenc#sha256"/>
        <DigestValue>aQkF4Y6wo2KQc6XOU0TG9bWcskcl6/vG/+FNY41hzVI=</DigestValue>
      </Reference>
      <Reference URI="/xl/drawings/vmlDrawing1.vml?ContentType=application/vnd.openxmlformats-officedocument.vmlDrawing">
        <DigestMethod Algorithm="http://www.w3.org/2001/04/xmlenc#sha256"/>
        <DigestValue>XAJ+E4Nh99qe22wjQ9Bk/GFjhLAso3saPxQlhF6fWLE=</DigestValue>
      </Reference>
      <Reference URI="/xl/printerSettings/printerSettings1.bin?ContentType=application/vnd.openxmlformats-officedocument.spreadsheetml.printerSettings">
        <DigestMethod Algorithm="http://www.w3.org/2001/04/xmlenc#sha256"/>
        <DigestValue>JjrlEZe4ByiM1kFsJ4jxGGeCzO8xsdlZsbA9xU7gPdA=</DigestValue>
      </Reference>
      <Reference URI="/xl/printerSettings/printerSettings10.bin?ContentType=application/vnd.openxmlformats-officedocument.spreadsheetml.printerSettings">
        <DigestMethod Algorithm="http://www.w3.org/2001/04/xmlenc#sha256"/>
        <DigestValue>JjrlEZe4ByiM1kFsJ4jxGGeCzO8xsdlZsbA9xU7gPdA=</DigestValue>
      </Reference>
      <Reference URI="/xl/printerSettings/printerSettings11.bin?ContentType=application/vnd.openxmlformats-officedocument.spreadsheetml.printerSettings">
        <DigestMethod Algorithm="http://www.w3.org/2001/04/xmlenc#sha256"/>
        <DigestValue>1n4ISaUJK8Xew19HWS9jWDY0S1ca447iJ77oAZmdoiw=</DigestValue>
      </Reference>
      <Reference URI="/xl/printerSettings/printerSettings12.bin?ContentType=application/vnd.openxmlformats-officedocument.spreadsheetml.printerSettings">
        <DigestMethod Algorithm="http://www.w3.org/2001/04/xmlenc#sha256"/>
        <DigestValue>JjrlEZe4ByiM1kFsJ4jxGGeCzO8xsdlZsbA9xU7gPdA=</DigestValue>
      </Reference>
      <Reference URI="/xl/printerSettings/printerSettings13.bin?ContentType=application/vnd.openxmlformats-officedocument.spreadsheetml.printerSettings">
        <DigestMethod Algorithm="http://www.w3.org/2001/04/xmlenc#sha256"/>
        <DigestValue>wXVARum644vK3BKRqRfTkuAB6U/W/k9bFFtMUhiA1+U=</DigestValue>
      </Reference>
      <Reference URI="/xl/printerSettings/printerSettings14.bin?ContentType=application/vnd.openxmlformats-officedocument.spreadsheetml.printerSettings">
        <DigestMethod Algorithm="http://www.w3.org/2001/04/xmlenc#sha256"/>
        <DigestValue>wXVARum644vK3BKRqRfTkuAB6U/W/k9bFFtMUhiA1+U=</DigestValue>
      </Reference>
      <Reference URI="/xl/printerSettings/printerSettings15.bin?ContentType=application/vnd.openxmlformats-officedocument.spreadsheetml.printerSettings">
        <DigestMethod Algorithm="http://www.w3.org/2001/04/xmlenc#sha256"/>
        <DigestValue>wXVARum644vK3BKRqRfTkuAB6U/W/k9bFFtMUhiA1+U=</DigestValue>
      </Reference>
      <Reference URI="/xl/printerSettings/printerSettings16.bin?ContentType=application/vnd.openxmlformats-officedocument.spreadsheetml.printerSettings">
        <DigestMethod Algorithm="http://www.w3.org/2001/04/xmlenc#sha256"/>
        <DigestValue>JWXKOKhAA7rCucDPuenETbDnkTw7UQsbWsC+gxHYI3M=</DigestValue>
      </Reference>
      <Reference URI="/xl/printerSettings/printerSettings17.bin?ContentType=application/vnd.openxmlformats-officedocument.spreadsheetml.printerSettings">
        <DigestMethod Algorithm="http://www.w3.org/2001/04/xmlenc#sha256"/>
        <DigestValue>wXVARum644vK3BKRqRfTkuAB6U/W/k9bFFtMUhiA1+U=</DigestValue>
      </Reference>
      <Reference URI="/xl/printerSettings/printerSettings2.bin?ContentType=application/vnd.openxmlformats-officedocument.spreadsheetml.printerSettings">
        <DigestMethod Algorithm="http://www.w3.org/2001/04/xmlenc#sha256"/>
        <DigestValue>1n4ISaUJK8Xew19HWS9jWDY0S1ca447iJ77oAZmdoiw=</DigestValue>
      </Reference>
      <Reference URI="/xl/printerSettings/printerSettings3.bin?ContentType=application/vnd.openxmlformats-officedocument.spreadsheetml.printerSettings">
        <DigestMethod Algorithm="http://www.w3.org/2001/04/xmlenc#sha256"/>
        <DigestValue>JjrlEZe4ByiM1kFsJ4jxGGeCzO8xsdlZsbA9xU7gPdA=</DigestValue>
      </Reference>
      <Reference URI="/xl/printerSettings/printerSettings4.bin?ContentType=application/vnd.openxmlformats-officedocument.spreadsheetml.printerSettings">
        <DigestMethod Algorithm="http://www.w3.org/2001/04/xmlenc#sha256"/>
        <DigestValue>JjrlEZe4ByiM1kFsJ4jxGGeCzO8xsdlZsbA9xU7gPdA=</DigestValue>
      </Reference>
      <Reference URI="/xl/printerSettings/printerSettings5.bin?ContentType=application/vnd.openxmlformats-officedocument.spreadsheetml.printerSettings">
        <DigestMethod Algorithm="http://www.w3.org/2001/04/xmlenc#sha256"/>
        <DigestValue>JjrlEZe4ByiM1kFsJ4jxGGeCzO8xsdlZsbA9xU7gPdA=</DigestValue>
      </Reference>
      <Reference URI="/xl/printerSettings/printerSettings6.bin?ContentType=application/vnd.openxmlformats-officedocument.spreadsheetml.printerSettings">
        <DigestMethod Algorithm="http://www.w3.org/2001/04/xmlenc#sha256"/>
        <DigestValue>JjrlEZe4ByiM1kFsJ4jxGGeCzO8xsdlZsbA9xU7gPdA=</DigestValue>
      </Reference>
      <Reference URI="/xl/printerSettings/printerSettings7.bin?ContentType=application/vnd.openxmlformats-officedocument.spreadsheetml.printerSettings">
        <DigestMethod Algorithm="http://www.w3.org/2001/04/xmlenc#sha256"/>
        <DigestValue>JjrlEZe4ByiM1kFsJ4jxGGeCzO8xsdlZsbA9xU7gPdA=</DigestValue>
      </Reference>
      <Reference URI="/xl/printerSettings/printerSettings8.bin?ContentType=application/vnd.openxmlformats-officedocument.spreadsheetml.printerSettings">
        <DigestMethod Algorithm="http://www.w3.org/2001/04/xmlenc#sha256"/>
        <DigestValue>wXVARum644vK3BKRqRfTkuAB6U/W/k9bFFtMUhiA1+U=</DigestValue>
      </Reference>
      <Reference URI="/xl/printerSettings/printerSettings9.bin?ContentType=application/vnd.openxmlformats-officedocument.spreadsheetml.printerSettings">
        <DigestMethod Algorithm="http://www.w3.org/2001/04/xmlenc#sha256"/>
        <DigestValue>JjrlEZe4ByiM1kFsJ4jxGGeCzO8xsdlZsbA9xU7gPdA=</DigestValue>
      </Reference>
      <Reference URI="/xl/sharedStrings.xml?ContentType=application/vnd.openxmlformats-officedocument.spreadsheetml.sharedStrings+xml">
        <DigestMethod Algorithm="http://www.w3.org/2001/04/xmlenc#sha256"/>
        <DigestValue>OPPJunuAHKnilN/lVpn08BzbpqfPsW1Z1b9kyO+xYq8=</DigestValue>
      </Reference>
      <Reference URI="/xl/styles.xml?ContentType=application/vnd.openxmlformats-officedocument.spreadsheetml.styles+xml">
        <DigestMethod Algorithm="http://www.w3.org/2001/04/xmlenc#sha256"/>
        <DigestValue>+69/t0YWggwI06XHrza8/xlkfd1ZOnJUa1IbJ+PNWlA=</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PWNUUcGxQDKybPL4SN4uLqoQxX3sytiI+R7v4tdYYbw=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pu7AeStVnF2Tjums//R3gi3YYJuhVpsPADYtciCdM8Q=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BoK149ZOwqW6NJdvfLI69gbmftQ+Q3IXQIapIajlHjk=</DigestValue>
      </Reference>
      <Reference URI="/xl/worksheets/sheet10.xml?ContentType=application/vnd.openxmlformats-officedocument.spreadsheetml.worksheet+xml">
        <DigestMethod Algorithm="http://www.w3.org/2001/04/xmlenc#sha256"/>
        <DigestValue>mHBSiaUroNchYeuiKtQYsiuJR4K9no91R+fAPHREMZ8=</DigestValue>
      </Reference>
      <Reference URI="/xl/worksheets/sheet11.xml?ContentType=application/vnd.openxmlformats-officedocument.spreadsheetml.worksheet+xml">
        <DigestMethod Algorithm="http://www.w3.org/2001/04/xmlenc#sha256"/>
        <DigestValue>cHYktWG3adq/sFkC84fHEMbqPZBvDc4lFeZPeeljHXQ=</DigestValue>
      </Reference>
      <Reference URI="/xl/worksheets/sheet12.xml?ContentType=application/vnd.openxmlformats-officedocument.spreadsheetml.worksheet+xml">
        <DigestMethod Algorithm="http://www.w3.org/2001/04/xmlenc#sha256"/>
        <DigestValue>/4xz6+rEdH6EKXzixrlOLpIadWFBE0Dtxgp4TLR+v5w=</DigestValue>
      </Reference>
      <Reference URI="/xl/worksheets/sheet13.xml?ContentType=application/vnd.openxmlformats-officedocument.spreadsheetml.worksheet+xml">
        <DigestMethod Algorithm="http://www.w3.org/2001/04/xmlenc#sha256"/>
        <DigestValue>ONFqliigHd7LhMNkLLma41oxJp2w4i7T0LaB6eoCURQ=</DigestValue>
      </Reference>
      <Reference URI="/xl/worksheets/sheet14.xml?ContentType=application/vnd.openxmlformats-officedocument.spreadsheetml.worksheet+xml">
        <DigestMethod Algorithm="http://www.w3.org/2001/04/xmlenc#sha256"/>
        <DigestValue>JIZ+m1UaAIIFHLcBDz+XnUS/JB+oe5ZaPEqvxTlPmKs=</DigestValue>
      </Reference>
      <Reference URI="/xl/worksheets/sheet15.xml?ContentType=application/vnd.openxmlformats-officedocument.spreadsheetml.worksheet+xml">
        <DigestMethod Algorithm="http://www.w3.org/2001/04/xmlenc#sha256"/>
        <DigestValue>CzIX3FxUTTgwCGapnqDnq21Bd9SLfFRSC0Vemf3HkVk=</DigestValue>
      </Reference>
      <Reference URI="/xl/worksheets/sheet16.xml?ContentType=application/vnd.openxmlformats-officedocument.spreadsheetml.worksheet+xml">
        <DigestMethod Algorithm="http://www.w3.org/2001/04/xmlenc#sha256"/>
        <DigestValue>0piz9akqHTo8dGZhfmIIv087cJEIrNy7zAFngFEj1UE=</DigestValue>
      </Reference>
      <Reference URI="/xl/worksheets/sheet17.xml?ContentType=application/vnd.openxmlformats-officedocument.spreadsheetml.worksheet+xml">
        <DigestMethod Algorithm="http://www.w3.org/2001/04/xmlenc#sha256"/>
        <DigestValue>ceDjsfeRTb+/OhHrhg1FIC0WTLIEn/bNICivUj3PgX8=</DigestValue>
      </Reference>
      <Reference URI="/xl/worksheets/sheet2.xml?ContentType=application/vnd.openxmlformats-officedocument.spreadsheetml.worksheet+xml">
        <DigestMethod Algorithm="http://www.w3.org/2001/04/xmlenc#sha256"/>
        <DigestValue>uejVGKYTFtgfpr0dN57GgVYQXG5zYBjOotKhSGiQcKM=</DigestValue>
      </Reference>
      <Reference URI="/xl/worksheets/sheet3.xml?ContentType=application/vnd.openxmlformats-officedocument.spreadsheetml.worksheet+xml">
        <DigestMethod Algorithm="http://www.w3.org/2001/04/xmlenc#sha256"/>
        <DigestValue>OdZZZG1GADOv1xgg8u+vVH+z65s9o0pUrLELO/LT8Rs=</DigestValue>
      </Reference>
      <Reference URI="/xl/worksheets/sheet4.xml?ContentType=application/vnd.openxmlformats-officedocument.spreadsheetml.worksheet+xml">
        <DigestMethod Algorithm="http://www.w3.org/2001/04/xmlenc#sha256"/>
        <DigestValue>Cs1Vl4BUJUnfWfKhtXHqqYxKxn40p9TKdw0EwBo/sBs=</DigestValue>
      </Reference>
      <Reference URI="/xl/worksheets/sheet5.xml?ContentType=application/vnd.openxmlformats-officedocument.spreadsheetml.worksheet+xml">
        <DigestMethod Algorithm="http://www.w3.org/2001/04/xmlenc#sha256"/>
        <DigestValue>ISvzqSjHhqoW2yQdojykUBhcUczYZnQapFfuadJnsYM=</DigestValue>
      </Reference>
      <Reference URI="/xl/worksheets/sheet6.xml?ContentType=application/vnd.openxmlformats-officedocument.spreadsheetml.worksheet+xml">
        <DigestMethod Algorithm="http://www.w3.org/2001/04/xmlenc#sha256"/>
        <DigestValue>qL4b/awgG7CCEA/XtskGIzde2JOl0khPavMf33I36Oo=</DigestValue>
      </Reference>
      <Reference URI="/xl/worksheets/sheet7.xml?ContentType=application/vnd.openxmlformats-officedocument.spreadsheetml.worksheet+xml">
        <DigestMethod Algorithm="http://www.w3.org/2001/04/xmlenc#sha256"/>
        <DigestValue>nXv23LQAMdKISYBSk6j1Y/vAFkgC/vIgoZF6mKhf/C8=</DigestValue>
      </Reference>
      <Reference URI="/xl/worksheets/sheet8.xml?ContentType=application/vnd.openxmlformats-officedocument.spreadsheetml.worksheet+xml">
        <DigestMethod Algorithm="http://www.w3.org/2001/04/xmlenc#sha256"/>
        <DigestValue>BitdXWNTBnTcC44+IvxuoqyyR6qpR2JUU3MBFYz07+A=</DigestValue>
      </Reference>
      <Reference URI="/xl/worksheets/sheet9.xml?ContentType=application/vnd.openxmlformats-officedocument.spreadsheetml.worksheet+xml">
        <DigestMethod Algorithm="http://www.w3.org/2001/04/xmlenc#sha256"/>
        <DigestValue>hEq9xNZmnqYor56G8RrQNTtvekeQa36lycnnbby06Aw=</DigestValue>
      </Reference>
    </Manifest>
    <SignatureProperties>
      <SignatureProperty Id="idSignatureTime" Target="#idPackageSignature">
        <mdssi:SignatureTime xmlns:mdssi="http://schemas.openxmlformats.org/package/2006/digital-signature">
          <mdssi:Format>YYYY-MM-DDThh:mm:ssTZD</mdssi:Format>
          <mdssi:Value>2018-04-30T08:46:06Z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2018-04-30T08:46:06Z</xd:SigningTime>
          <xd:SigningCertificate>
            <xd:Cert>
              <xd:CertDigest>
                <DigestMethod Algorithm="http://www.w3.org/2001/04/xmlenc#sha256"/>
                <DigestValue>2nwRnRWjHYr3TrJ15fkEDsOzhfJpc4o3rqGGSyuaH3s=</DigestValue>
              </xd:CertDigest>
              <xd:IssuerSerial>
                <X509IssuerName>CN=NBG Class 2 INT Sub CA, DC=nbg, DC=ge</X509IssuerName>
                <X509SerialNumber>98781255042910899936525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Nodar Tsomaia</dc:creator>
  <cp:lastModifiedBy>Nodar Tsomaia</cp:lastModifiedBy>
  <dcterms:created xsi:type="dcterms:W3CDTF">2018-04-30T08:11:02Z</dcterms:created>
  <dcterms:modified xsi:type="dcterms:W3CDTF">2018-04-30T08:12:18Z</dcterms:modified>
</cp:coreProperties>
</file>