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beliani\Desktop\საიტზე ასატვირთი\4q geo\"/>
    </mc:Choice>
  </mc:AlternateContent>
  <bookViews>
    <workbookView xWindow="0" yWindow="0" windowWidth="28800" windowHeight="9135"/>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10. CC2" sheetId="12" r:id="rId11"/>
    <sheet name="11. CRWA" sheetId="13" r:id="rId12"/>
    <sheet name="12. CRM" sheetId="14" r:id="rId13"/>
    <sheet name="13. CRME" sheetId="15" r:id="rId14"/>
    <sheet name="14. LCR" sheetId="16" r:id="rId15"/>
    <sheet name="15. CCR" sheetId="1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 localSheetId="14">'[1]Appl (2)'!$B$2:$B$7200</definedName>
    <definedName name="Date">'1. key ratios'!$B$2</definedName>
    <definedName name="date1">'[1]Appl (2)'!$C$2:$C$7200</definedName>
    <definedName name="L_FORMULAS_GEO">[2]ListSheet!$W$2:$W$15</definedName>
    <definedName name="_xlnm.Print_Area" localSheetId="1">'1. key ratios'!$A$1:$G$46</definedName>
    <definedName name="_xlnm.Print_Area" localSheetId="11">'11. CRWA'!$A$1:$S$22</definedName>
    <definedName name="_xlnm.Print_Area" localSheetId="12">'12. CRM'!$A$1:$V$21</definedName>
    <definedName name="_xlnm.Print_Area" localSheetId="13">'13. CRME'!$A$1:$H$22</definedName>
    <definedName name="_xlnm.Print_Area" localSheetId="2">'2. RC'!$A$1:$H$41</definedName>
    <definedName name="_xlnm.Print_Area" localSheetId="7">'7. LI1'!$A$1:$E$21</definedName>
    <definedName name="_xlnm.Print_Area" localSheetId="8">'8. LI2'!$A$1:$C$13</definedName>
    <definedName name="_xlnm.Print_Area" localSheetId="9">'9. Capital'!$A$1:$C$52</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7" l="1"/>
  <c r="E18" i="17"/>
  <c r="E16" i="17"/>
  <c r="E15" i="17"/>
  <c r="E12" i="17"/>
  <c r="E11" i="17"/>
  <c r="E9" i="17"/>
  <c r="E8" i="17"/>
  <c r="B2" i="17"/>
  <c r="B1" i="17"/>
  <c r="K23" i="16"/>
  <c r="G23" i="16"/>
  <c r="I21" i="16"/>
  <c r="H20" i="16"/>
  <c r="E20" i="16"/>
  <c r="K19" i="16"/>
  <c r="H19" i="16"/>
  <c r="E19" i="16"/>
  <c r="K18" i="16"/>
  <c r="H18" i="16"/>
  <c r="G21" i="16"/>
  <c r="F21" i="16"/>
  <c r="H15" i="16"/>
  <c r="E15" i="16"/>
  <c r="K14" i="16"/>
  <c r="H14" i="16"/>
  <c r="E14" i="16"/>
  <c r="K13" i="16"/>
  <c r="H13" i="16"/>
  <c r="E13" i="16"/>
  <c r="K12" i="16"/>
  <c r="H12" i="16"/>
  <c r="E12" i="16"/>
  <c r="K10" i="16"/>
  <c r="J16" i="16"/>
  <c r="K11" i="16"/>
  <c r="D16" i="16"/>
  <c r="J23" i="16"/>
  <c r="I23" i="16"/>
  <c r="H23" i="16"/>
  <c r="F23" i="16"/>
  <c r="E22" i="15"/>
  <c r="D22" i="15"/>
  <c r="B2" i="15"/>
  <c r="B1" i="15"/>
  <c r="S21" i="14"/>
  <c r="R21" i="14"/>
  <c r="Q21" i="14"/>
  <c r="P21" i="14"/>
  <c r="O21" i="14"/>
  <c r="N21" i="14"/>
  <c r="M21" i="14"/>
  <c r="J21" i="14"/>
  <c r="F21" i="14"/>
  <c r="V20" i="14"/>
  <c r="V19" i="14"/>
  <c r="V18" i="14"/>
  <c r="V17" i="14"/>
  <c r="V16" i="14"/>
  <c r="V15" i="14"/>
  <c r="V14" i="14"/>
  <c r="V13" i="14"/>
  <c r="V9" i="14"/>
  <c r="T21" i="14"/>
  <c r="L21" i="14"/>
  <c r="I21" i="14"/>
  <c r="H21" i="14"/>
  <c r="E21" i="14"/>
  <c r="D21" i="14"/>
  <c r="B2" i="14"/>
  <c r="B1" i="14"/>
  <c r="R22" i="13"/>
  <c r="P22" i="13"/>
  <c r="J22" i="13"/>
  <c r="H22" i="13"/>
  <c r="F22" i="13"/>
  <c r="D22" i="13"/>
  <c r="S21" i="13"/>
  <c r="S19" i="13"/>
  <c r="S18" i="13"/>
  <c r="S17" i="13"/>
  <c r="S16" i="13"/>
  <c r="L22" i="13"/>
  <c r="S15" i="13"/>
  <c r="N22" i="13"/>
  <c r="S12" i="13"/>
  <c r="S11" i="13"/>
  <c r="S10" i="13"/>
  <c r="S9" i="13"/>
  <c r="O22" i="13"/>
  <c r="G22" i="13"/>
  <c r="B2" i="13"/>
  <c r="B1" i="13"/>
  <c r="B2" i="12"/>
  <c r="B1" i="12"/>
  <c r="C47" i="10"/>
  <c r="C52" i="10" s="1"/>
  <c r="C43" i="10"/>
  <c r="C35" i="10"/>
  <c r="C31" i="10"/>
  <c r="C30" i="10"/>
  <c r="C21" i="12"/>
  <c r="C12" i="10"/>
  <c r="C6" i="10"/>
  <c r="B2" i="10"/>
  <c r="B1" i="10"/>
  <c r="C11" i="9"/>
  <c r="B2" i="9"/>
  <c r="B1" i="9"/>
  <c r="D19" i="8"/>
  <c r="D21" i="8" s="1"/>
  <c r="B2" i="8"/>
  <c r="B1" i="8"/>
  <c r="B2" i="7"/>
  <c r="B1" i="7"/>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D32" i="5"/>
  <c r="C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H13" i="5"/>
  <c r="E13" i="5"/>
  <c r="D14" i="5"/>
  <c r="C14" i="5"/>
  <c r="E14" i="5" s="1"/>
  <c r="H12" i="5"/>
  <c r="E12" i="5"/>
  <c r="H11" i="5"/>
  <c r="E11" i="5"/>
  <c r="H10" i="5"/>
  <c r="E10" i="5"/>
  <c r="H9" i="5"/>
  <c r="D7" i="5"/>
  <c r="C7" i="5"/>
  <c r="H8" i="5"/>
  <c r="E8" i="5"/>
  <c r="H7" i="5"/>
  <c r="B2" i="5"/>
  <c r="B1" i="5"/>
  <c r="E66" i="4"/>
  <c r="H64" i="4"/>
  <c r="E64" i="4"/>
  <c r="F61" i="4"/>
  <c r="H61" i="4" s="1"/>
  <c r="H60" i="4"/>
  <c r="E60" i="4"/>
  <c r="H59" i="4"/>
  <c r="E59" i="4"/>
  <c r="H58" i="4"/>
  <c r="C61" i="4"/>
  <c r="E61" i="4" s="1"/>
  <c r="H52" i="4"/>
  <c r="E52" i="4"/>
  <c r="H51" i="4"/>
  <c r="E50" i="4"/>
  <c r="H49" i="4"/>
  <c r="E49" i="4"/>
  <c r="E48" i="4"/>
  <c r="H47" i="4"/>
  <c r="F53" i="4"/>
  <c r="D53" i="4"/>
  <c r="H44" i="4"/>
  <c r="E43" i="4"/>
  <c r="H42" i="4"/>
  <c r="E42" i="4"/>
  <c r="E41" i="4"/>
  <c r="H40" i="4"/>
  <c r="E40" i="4"/>
  <c r="H39" i="4"/>
  <c r="E39" i="4"/>
  <c r="H38" i="4"/>
  <c r="E38" i="4"/>
  <c r="H37" i="4"/>
  <c r="E37" i="4"/>
  <c r="H36" i="4"/>
  <c r="E36" i="4"/>
  <c r="C34" i="4"/>
  <c r="G34" i="4"/>
  <c r="G45" i="4" s="1"/>
  <c r="D34" i="4"/>
  <c r="H29" i="4"/>
  <c r="E29" i="4"/>
  <c r="E28" i="4"/>
  <c r="H27" i="4"/>
  <c r="E27" i="4"/>
  <c r="G30" i="4"/>
  <c r="H26" i="4"/>
  <c r="E26" i="4"/>
  <c r="H25" i="4"/>
  <c r="E25" i="4"/>
  <c r="E24" i="4"/>
  <c r="C30" i="4"/>
  <c r="E21" i="4"/>
  <c r="H20" i="4"/>
  <c r="E20" i="4"/>
  <c r="H19" i="4"/>
  <c r="E19" i="4"/>
  <c r="H18" i="4"/>
  <c r="E18" i="4"/>
  <c r="H17" i="4"/>
  <c r="E17" i="4"/>
  <c r="H16" i="4"/>
  <c r="E16" i="4"/>
  <c r="H15" i="4"/>
  <c r="E15" i="4"/>
  <c r="H14" i="4"/>
  <c r="E14" i="4"/>
  <c r="E13" i="4"/>
  <c r="H12" i="4"/>
  <c r="E12" i="4"/>
  <c r="G9" i="4"/>
  <c r="G22" i="4" s="1"/>
  <c r="H11" i="4"/>
  <c r="E11" i="4"/>
  <c r="H10" i="4"/>
  <c r="D9" i="4"/>
  <c r="D22" i="4" s="1"/>
  <c r="H8" i="4"/>
  <c r="E8" i="4"/>
  <c r="B2" i="4"/>
  <c r="B1" i="4"/>
  <c r="H40" i="3"/>
  <c r="E40" i="3"/>
  <c r="H39" i="3"/>
  <c r="E39" i="3"/>
  <c r="C42" i="12" s="1"/>
  <c r="H38" i="3"/>
  <c r="E38" i="3"/>
  <c r="C41" i="12" s="1"/>
  <c r="H37" i="3"/>
  <c r="E37" i="3"/>
  <c r="C40" i="12" s="1"/>
  <c r="H36" i="3"/>
  <c r="E36" i="3"/>
  <c r="C39" i="12" s="1"/>
  <c r="H35" i="3"/>
  <c r="E35" i="3"/>
  <c r="C38" i="12" s="1"/>
  <c r="H34" i="3"/>
  <c r="E34" i="3"/>
  <c r="C37" i="12" s="1"/>
  <c r="H33" i="3"/>
  <c r="E33" i="3"/>
  <c r="C36" i="12" s="1"/>
  <c r="H30" i="3"/>
  <c r="E30" i="3"/>
  <c r="C33" i="12" s="1"/>
  <c r="H29" i="3"/>
  <c r="E29" i="3"/>
  <c r="C31" i="12" s="1"/>
  <c r="H28" i="3"/>
  <c r="E28" i="3"/>
  <c r="C30" i="12" s="1"/>
  <c r="E27" i="3"/>
  <c r="C29" i="12" s="1"/>
  <c r="H26" i="3"/>
  <c r="E26" i="3"/>
  <c r="C28" i="12" s="1"/>
  <c r="H25" i="3"/>
  <c r="E25" i="3"/>
  <c r="C27" i="12" s="1"/>
  <c r="H24" i="3"/>
  <c r="E24" i="3"/>
  <c r="C26" i="12" s="1"/>
  <c r="H23" i="3"/>
  <c r="E23" i="3"/>
  <c r="C25" i="12" s="1"/>
  <c r="G31" i="3"/>
  <c r="G41" i="3" s="1"/>
  <c r="C31" i="3"/>
  <c r="H19" i="3"/>
  <c r="E19" i="3"/>
  <c r="H18" i="3"/>
  <c r="E18" i="3"/>
  <c r="H17" i="3"/>
  <c r="E17" i="3"/>
  <c r="H16" i="3"/>
  <c r="E16" i="3"/>
  <c r="H15" i="3"/>
  <c r="E15" i="3"/>
  <c r="H13" i="3"/>
  <c r="E13" i="3"/>
  <c r="H12" i="3"/>
  <c r="G14" i="3"/>
  <c r="F14" i="3"/>
  <c r="D14" i="3"/>
  <c r="C14" i="3"/>
  <c r="E14" i="3" s="1"/>
  <c r="C15" i="8" s="1"/>
  <c r="E15" i="8" s="1"/>
  <c r="H11" i="3"/>
  <c r="E11" i="3"/>
  <c r="H10" i="3"/>
  <c r="E10" i="3"/>
  <c r="H9" i="3"/>
  <c r="E9" i="3"/>
  <c r="H8" i="3"/>
  <c r="D20" i="3"/>
  <c r="F20" i="3"/>
  <c r="B2" i="3"/>
  <c r="B1" i="3"/>
  <c r="C40" i="2"/>
  <c r="C18" i="2"/>
  <c r="C17" i="2"/>
  <c r="C16" i="2"/>
  <c r="E32" i="5" l="1"/>
  <c r="G31" i="4"/>
  <c r="C12" i="12"/>
  <c r="C14" i="8"/>
  <c r="E14" i="8" s="1"/>
  <c r="C20" i="3"/>
  <c r="E20" i="3" s="1"/>
  <c r="H14" i="3"/>
  <c r="C17" i="12"/>
  <c r="C17" i="8"/>
  <c r="E17" i="8" s="1"/>
  <c r="C18" i="12"/>
  <c r="C18" i="8"/>
  <c r="E18" i="8" s="1"/>
  <c r="E7" i="5"/>
  <c r="C22" i="12"/>
  <c r="C20" i="8"/>
  <c r="E20" i="8" s="1"/>
  <c r="C41" i="3"/>
  <c r="C43" i="12"/>
  <c r="C12" i="8"/>
  <c r="E12" i="8" s="1"/>
  <c r="C10" i="12"/>
  <c r="F12" i="15"/>
  <c r="C8" i="12"/>
  <c r="C10" i="8"/>
  <c r="E10" i="8" s="1"/>
  <c r="C20" i="12"/>
  <c r="C19" i="8"/>
  <c r="E19" i="8" s="1"/>
  <c r="C9" i="12"/>
  <c r="C11" i="8"/>
  <c r="E11" i="8" s="1"/>
  <c r="G20" i="3"/>
  <c r="H20" i="3" s="1"/>
  <c r="C16" i="12"/>
  <c r="C16" i="8"/>
  <c r="E16" i="8" s="1"/>
  <c r="E8" i="3"/>
  <c r="E12" i="3"/>
  <c r="C31" i="2" s="1"/>
  <c r="D31" i="3"/>
  <c r="H22" i="3"/>
  <c r="F9" i="4"/>
  <c r="H9" i="4" s="1"/>
  <c r="E10" i="4"/>
  <c r="F30" i="4"/>
  <c r="H30" i="4" s="1"/>
  <c r="H24" i="4"/>
  <c r="C45" i="4"/>
  <c r="E47" i="4"/>
  <c r="C53" i="4"/>
  <c r="E53" i="4" s="1"/>
  <c r="C32" i="2"/>
  <c r="H7" i="3"/>
  <c r="E22" i="3"/>
  <c r="C24" i="12" s="1"/>
  <c r="C35" i="12" s="1"/>
  <c r="D45" i="4"/>
  <c r="D54" i="4" s="1"/>
  <c r="E58" i="4"/>
  <c r="E9" i="5"/>
  <c r="C38" i="2"/>
  <c r="E7" i="3"/>
  <c r="H27" i="3"/>
  <c r="C9" i="4"/>
  <c r="E9" i="4" s="1"/>
  <c r="H13" i="4"/>
  <c r="H21" i="4"/>
  <c r="D30" i="4"/>
  <c r="D31" i="4" s="1"/>
  <c r="D56" i="4" s="1"/>
  <c r="D63" i="4" s="1"/>
  <c r="D65" i="4" s="1"/>
  <c r="D67" i="4" s="1"/>
  <c r="H28" i="4"/>
  <c r="E34" i="4"/>
  <c r="E35" i="4"/>
  <c r="H41" i="4"/>
  <c r="E44" i="4"/>
  <c r="G53" i="4"/>
  <c r="H53" i="4" s="1"/>
  <c r="H48" i="4"/>
  <c r="E51" i="4"/>
  <c r="F18" i="15"/>
  <c r="G18" i="15"/>
  <c r="H18" i="15" s="1"/>
  <c r="G19" i="15"/>
  <c r="H19" i="15" s="1"/>
  <c r="F19" i="15"/>
  <c r="F9" i="15"/>
  <c r="F10" i="15"/>
  <c r="G10" i="15"/>
  <c r="H10" i="15" s="1"/>
  <c r="F11" i="15"/>
  <c r="F21" i="15"/>
  <c r="G21" i="15"/>
  <c r="H21" i="15" s="1"/>
  <c r="C41" i="10"/>
  <c r="S13" i="13"/>
  <c r="F31" i="3"/>
  <c r="F22" i="4"/>
  <c r="G15" i="15"/>
  <c r="H15" i="15" s="1"/>
  <c r="F15" i="15"/>
  <c r="V10" i="14"/>
  <c r="G11" i="15" s="1"/>
  <c r="H11" i="15" s="1"/>
  <c r="C22" i="15"/>
  <c r="F16" i="16"/>
  <c r="E18" i="16"/>
  <c r="D21" i="16"/>
  <c r="E17" i="17"/>
  <c r="E14" i="17" s="1"/>
  <c r="C14" i="17"/>
  <c r="C6" i="6"/>
  <c r="I22" i="13"/>
  <c r="Q22" i="13"/>
  <c r="F16" i="15"/>
  <c r="G16" i="15"/>
  <c r="H16" i="15" s="1"/>
  <c r="G17" i="15"/>
  <c r="H17" i="15" s="1"/>
  <c r="F17" i="15"/>
  <c r="H11" i="16"/>
  <c r="H21" i="16"/>
  <c r="J21" i="16"/>
  <c r="K21" i="16" s="1"/>
  <c r="K20" i="16"/>
  <c r="C22" i="13"/>
  <c r="K22" i="13"/>
  <c r="S8" i="13"/>
  <c r="V8" i="14"/>
  <c r="G9" i="15" s="1"/>
  <c r="H9" i="15" s="1"/>
  <c r="V12" i="14"/>
  <c r="E11" i="16"/>
  <c r="E10" i="16"/>
  <c r="I16" i="16"/>
  <c r="H35" i="4"/>
  <c r="F34" i="4"/>
  <c r="H43" i="4"/>
  <c r="H50" i="4"/>
  <c r="H66" i="4"/>
  <c r="C28" i="10"/>
  <c r="E22" i="13"/>
  <c r="M22" i="13"/>
  <c r="S14" i="13"/>
  <c r="S20" i="13"/>
  <c r="C21" i="14"/>
  <c r="G21" i="14"/>
  <c r="K21" i="14"/>
  <c r="V11" i="14"/>
  <c r="G12" i="15" s="1"/>
  <c r="H12" i="15" s="1"/>
  <c r="J24" i="16"/>
  <c r="J25" i="16" s="1"/>
  <c r="K15" i="16"/>
  <c r="C21" i="16"/>
  <c r="E21" i="16" s="1"/>
  <c r="E10" i="17"/>
  <c r="E7" i="17" s="1"/>
  <c r="C7" i="17"/>
  <c r="U21" i="14"/>
  <c r="V7" i="14"/>
  <c r="H10" i="16"/>
  <c r="C21" i="17" l="1"/>
  <c r="E21" i="17"/>
  <c r="V21" i="14"/>
  <c r="F20" i="15"/>
  <c r="G20" i="15"/>
  <c r="H20" i="15" s="1"/>
  <c r="H34" i="4"/>
  <c r="F45" i="4"/>
  <c r="G16" i="16"/>
  <c r="G24" i="16" s="1"/>
  <c r="G25" i="16" s="1"/>
  <c r="C13" i="12"/>
  <c r="C14" i="6"/>
  <c r="C6" i="12"/>
  <c r="C8" i="8"/>
  <c r="E30" i="4"/>
  <c r="C33" i="2"/>
  <c r="E41" i="3"/>
  <c r="G14" i="15"/>
  <c r="H14" i="15" s="1"/>
  <c r="F14" i="15"/>
  <c r="C16" i="16"/>
  <c r="E16" i="16" s="1"/>
  <c r="F31" i="4"/>
  <c r="H22" i="4"/>
  <c r="C22" i="4"/>
  <c r="D41" i="3"/>
  <c r="E31" i="3"/>
  <c r="C37" i="2" s="1"/>
  <c r="S22" i="13"/>
  <c r="F8" i="15"/>
  <c r="G8" i="15"/>
  <c r="F24" i="16"/>
  <c r="F25" i="16" s="1"/>
  <c r="F41" i="3"/>
  <c r="H41" i="3" s="1"/>
  <c r="H31" i="3"/>
  <c r="E45" i="4"/>
  <c r="C54" i="4"/>
  <c r="E54" i="4" s="1"/>
  <c r="C13" i="8"/>
  <c r="E13" i="8" s="1"/>
  <c r="C11" i="12"/>
  <c r="C15" i="12" s="1"/>
  <c r="K16" i="16"/>
  <c r="K24" i="16" s="1"/>
  <c r="K25" i="16" s="1"/>
  <c r="I24" i="16"/>
  <c r="I25" i="16" s="1"/>
  <c r="G13" i="15"/>
  <c r="H13" i="15" s="1"/>
  <c r="F13" i="15"/>
  <c r="C9" i="8"/>
  <c r="E9" i="8" s="1"/>
  <c r="C7" i="12"/>
  <c r="G54" i="4"/>
  <c r="G56" i="4" s="1"/>
  <c r="G63" i="4" s="1"/>
  <c r="G65" i="4" s="1"/>
  <c r="G67" i="4" s="1"/>
  <c r="H16" i="16" l="1"/>
  <c r="H24" i="16" s="1"/>
  <c r="C31" i="4"/>
  <c r="E22" i="4"/>
  <c r="C21" i="8"/>
  <c r="E8" i="8"/>
  <c r="E21" i="8" s="1"/>
  <c r="H8" i="15"/>
  <c r="G22" i="15"/>
  <c r="H22" i="15" s="1"/>
  <c r="H31" i="4"/>
  <c r="C23" i="12"/>
  <c r="H45" i="4"/>
  <c r="F54" i="4"/>
  <c r="H54" i="4" s="1"/>
  <c r="F22" i="15"/>
  <c r="C56" i="4" l="1"/>
  <c r="E31" i="4"/>
  <c r="C5" i="9"/>
  <c r="C8" i="9" s="1"/>
  <c r="C13" i="9" s="1"/>
  <c r="C41" i="2"/>
  <c r="C42" i="2" s="1"/>
  <c r="H25" i="16"/>
  <c r="F56" i="4"/>
  <c r="E56" i="4" l="1"/>
  <c r="C63" i="4"/>
  <c r="F63" i="4"/>
  <c r="H56" i="4"/>
  <c r="C65" i="4" l="1"/>
  <c r="E63" i="4"/>
  <c r="F65" i="4"/>
  <c r="H63" i="4"/>
  <c r="F67" i="4" l="1"/>
  <c r="H67" i="4" s="1"/>
  <c r="H65" i="4"/>
  <c r="E65" i="4"/>
  <c r="C67" i="4"/>
  <c r="E67" i="4" s="1"/>
</calcChain>
</file>

<file path=xl/comments1.xml><?xml version="1.0" encoding="utf-8"?>
<comments xmlns="http://schemas.openxmlformats.org/spreadsheetml/2006/main">
  <authors>
    <author>Author</author>
  </authors>
  <commentList>
    <comment ref="D12" authorId="0" shapeId="0">
      <text>
        <r>
          <rPr>
            <b/>
            <sz val="9"/>
            <color indexed="81"/>
            <rFont val="Tahoma"/>
            <family val="2"/>
          </rPr>
          <t>Author:</t>
        </r>
        <r>
          <rPr>
            <sz val="9"/>
            <color indexed="81"/>
            <rFont val="Tahoma"/>
            <family val="2"/>
          </rPr>
          <t xml:space="preserve">
MIN(Stand.Clasiif.Loan's Reserve; RWA*1.25%)</t>
        </r>
      </text>
    </comment>
  </commentList>
</comments>
</file>

<file path=xl/sharedStrings.xml><?xml version="1.0" encoding="utf-8"?>
<sst xmlns="http://schemas.openxmlformats.org/spreadsheetml/2006/main" count="668" uniqueCount="450">
  <si>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</si>
  <si>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</si>
  <si>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</si>
  <si>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</si>
  <si>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</si>
  <si>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</si>
  <si>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</si>
  <si>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</si>
  <si>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</si>
  <si>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</si>
  <si>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</si>
  <si>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</si>
  <si>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</si>
  <si>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</si>
  <si>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</si>
  <si>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</si>
  <si>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</si>
  <si>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</si>
  <si>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</si>
  <si>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</si>
  <si>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</si>
  <si>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</si>
  <si>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</si>
  <si>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</si>
  <si>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</si>
  <si>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</si>
  <si>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</si>
  <si>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ბანკი:</t>
  </si>
  <si>
    <t>სს ტერაბანკი</t>
  </si>
  <si>
    <t>თარიღი:</t>
  </si>
  <si>
    <t>ცხრილი 1</t>
  </si>
  <si>
    <t>N</t>
  </si>
  <si>
    <t>T</t>
  </si>
  <si>
    <t>T-1</t>
  </si>
  <si>
    <t>T-2</t>
  </si>
  <si>
    <t>T-3</t>
  </si>
  <si>
    <t>T-4</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</si>
  <si>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</si>
  <si>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</si>
  <si>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</si>
  <si>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</si>
  <si>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</si>
  <si>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</si>
  <si>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</si>
  <si>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</si>
  <si>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</si>
  <si>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</si>
  <si>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</si>
  <si>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</si>
  <si>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ბაზელ I-ზე დაფუძნებული ჩარჩოს მიხედვით</t>
  </si>
  <si>
    <t>პირველადი კაპიტალის კოეფიციენტი ( ≥ 6.4 %)</t>
  </si>
  <si>
    <t>საზედამხედველო კაპიტალის კოეფიციენტი ( ≥ 9.6 %)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</si>
  <si>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</si>
  <si>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</si>
  <si>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</si>
  <si>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</si>
  <si>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</si>
  <si>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</si>
  <si>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</si>
  <si>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</si>
  <si>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</si>
  <si>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</si>
  <si>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</si>
  <si>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</si>
  <si>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</si>
  <si>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</si>
  <si>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</si>
  <si>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</si>
  <si>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</si>
  <si>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</si>
  <si>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</si>
  <si>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</si>
  <si>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</si>
  <si>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</si>
  <si>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</si>
  <si>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</si>
  <si>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</si>
  <si>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</si>
  <si>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</si>
  <si>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</si>
  <si>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</si>
  <si>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</si>
  <si>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</si>
  <si>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</si>
  <si>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</si>
  <si>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</si>
  <si>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</si>
  <si>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</si>
  <si>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</si>
  <si>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</si>
  <si>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</si>
  <si>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</si>
  <si>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</si>
  <si>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</si>
  <si>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</si>
  <si>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</si>
  <si>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</si>
  <si>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</si>
  <si>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</si>
  <si>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</si>
  <si>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</si>
  <si>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</si>
  <si>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</si>
  <si>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</si>
  <si>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</si>
  <si>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</si>
  <si>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</si>
  <si>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</si>
  <si>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</si>
  <si>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</si>
  <si>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</si>
  <si>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</si>
  <si>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</si>
  <si>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</si>
  <si>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</si>
  <si>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</si>
  <si>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</si>
  <si>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</si>
  <si>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</si>
  <si>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</si>
  <si>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</si>
  <si>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</si>
  <si>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</si>
  <si>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</si>
  <si>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</si>
  <si>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</si>
  <si>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</si>
  <si>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</si>
  <si>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</si>
  <si>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</si>
  <si>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</si>
  <si>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</si>
  <si>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</si>
  <si>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</si>
  <si>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</si>
  <si>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</si>
  <si>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</si>
  <si>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</si>
  <si>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</si>
  <si>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</si>
  <si>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</si>
  <si>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</si>
  <si>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</si>
  <si>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</si>
  <si>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</si>
  <si>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</si>
  <si>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</si>
  <si>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</si>
  <si>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</si>
  <si>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</si>
  <si>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</si>
  <si>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</si>
  <si>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</si>
  <si>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</si>
  <si>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</si>
  <si>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</si>
  <si>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</si>
  <si>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</si>
  <si>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</si>
  <si>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</si>
  <si>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</si>
  <si>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</si>
  <si>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</si>
  <si>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</si>
  <si>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</si>
  <si>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</si>
  <si>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</si>
  <si>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</si>
  <si>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</si>
  <si>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</si>
  <si>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</si>
  <si>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</si>
  <si>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</si>
  <si>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</si>
  <si>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</si>
  <si>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</si>
  <si>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</si>
  <si>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</si>
  <si>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</si>
  <si>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</si>
  <si>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</si>
  <si>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</si>
  <si>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</si>
  <si>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</si>
  <si>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</si>
  <si>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</si>
  <si>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</si>
  <si>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</si>
  <si>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</si>
  <si>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</si>
  <si>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</si>
  <si>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</si>
  <si>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</si>
  <si>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</si>
  <si>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</si>
  <si>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</si>
  <si>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</si>
  <si>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</si>
  <si>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</si>
  <si>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</si>
  <si>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</si>
  <si>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</si>
  <si>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</si>
  <si>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</si>
  <si>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</si>
  <si>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</si>
  <si>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</si>
  <si>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</si>
  <si>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</si>
  <si>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</si>
  <si>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</si>
  <si>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</si>
  <si>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</si>
  <si>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</si>
  <si>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</si>
  <si>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</si>
  <si>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</si>
  <si>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</si>
  <si>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</si>
  <si>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</si>
  <si>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</si>
  <si>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</si>
  <si>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</si>
  <si>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</si>
  <si>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</si>
  <si>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</si>
  <si>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</si>
  <si>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</si>
  <si>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</si>
  <si>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</si>
  <si>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</si>
  <si>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</si>
  <si>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</si>
  <si>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</si>
  <si>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</si>
  <si>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</si>
  <si>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</si>
  <si>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</si>
  <si>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</si>
  <si>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</si>
  <si>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სავალუტო კურსის ცვლილებით გამოწვეული საკრედიტო რისკი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</si>
  <si>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</si>
  <si>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</si>
  <si>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</si>
  <si>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</si>
  <si>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</si>
  <si>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</si>
  <si>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</si>
  <si>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</si>
  <si>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</si>
  <si>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ადელ საფვატ გუირგუის რუფაეილ (მრჩეველი)</t>
  </si>
  <si>
    <t>დირექტორთა საბჭოს შემადგენლობა</t>
  </si>
  <si>
    <t>სოფიო ჯუღელი</t>
  </si>
  <si>
    <t>თეიმურაზ აბულაძე</t>
  </si>
  <si>
    <t>ვახტანგ ხუციშვილი</t>
  </si>
  <si>
    <t>ზურაბ აზარაშვილი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</si>
  <si>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</si>
  <si>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</si>
  <si>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</si>
  <si>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</si>
  <si>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</si>
  <si>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</si>
  <si>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</si>
  <si>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</si>
  <si>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</si>
  <si>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</si>
  <si>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</si>
  <si>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</si>
  <si>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</si>
  <si>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</si>
  <si>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</si>
  <si>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</si>
  <si>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</si>
  <si>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</si>
  <si>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</si>
  <si>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</si>
  <si>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</si>
  <si>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</si>
  <si>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</si>
  <si>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</si>
  <si>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</si>
  <si>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</si>
  <si>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</si>
  <si>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</si>
  <si>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</si>
  <si>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</si>
  <si>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</si>
  <si>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</si>
  <si>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</si>
  <si>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</si>
  <si>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</si>
  <si>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</si>
  <si>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</si>
  <si>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</si>
  <si>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</si>
  <si>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</si>
  <si>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</si>
  <si>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</si>
  <si>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</si>
  <si>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</si>
  <si>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</si>
  <si>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</si>
  <si>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</si>
  <si>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</si>
  <si>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</si>
  <si>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</si>
  <si>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</si>
  <si>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</si>
  <si>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</si>
  <si>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</si>
  <si>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</si>
  <si>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</si>
  <si>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</si>
  <si>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</si>
  <si>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</si>
  <si>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</si>
  <si>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</si>
  <si>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</si>
  <si>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</si>
  <si>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</si>
  <si>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</si>
  <si>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</si>
  <si>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</si>
  <si>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</si>
  <si>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</si>
  <si>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</si>
  <si>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</si>
  <si>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</si>
  <si>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</si>
  <si>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</si>
  <si>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</si>
  <si>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ცხრილი 9 (Capital), N39</t>
  </si>
  <si>
    <t>6.2.1</t>
  </si>
  <si>
    <t>რისკის მიხედვით შეწონილი აქტივების 1.25%</t>
  </si>
  <si>
    <t>6.2.2</t>
  </si>
  <si>
    <t>სტანდარტულად კლასიფიცირებული სესხების რეზერვი</t>
  </si>
  <si>
    <t>მათ შორის მნიშვნელოვანი ინვესტიციები, რომლებიც შეზღუდულად აღიარდება</t>
  </si>
  <si>
    <t>მათ შორის არამატერიალური აქტივები</t>
  </si>
  <si>
    <t>ცხრილი 9 (Capital), N10</t>
  </si>
  <si>
    <t xml:space="preserve">სტანდარტულად კლასიფიცირებული ბალანსგარეშე მუხლებზე არსებული რეზერვები </t>
  </si>
  <si>
    <t>მათ შორის მეორად საზედამხედველო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</si>
  <si>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</si>
  <si>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</si>
  <si>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</si>
  <si>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</si>
  <si>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</si>
  <si>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</si>
  <si>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</si>
  <si>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</si>
  <si>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</si>
  <si>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</si>
  <si>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</si>
  <si>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</si>
  <si>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</si>
  <si>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</si>
  <si>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</si>
  <si>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</si>
  <si>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</si>
  <si>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</si>
  <si>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</si>
  <si>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</si>
  <si>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</si>
  <si>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</si>
  <si>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</si>
  <si>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</si>
  <si>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</si>
  <si>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</si>
  <si>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</si>
  <si>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</si>
  <si>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</si>
  <si>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</si>
  <si>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</si>
  <si>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</si>
  <si>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</si>
  <si>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</si>
  <si>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</si>
  <si>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</si>
  <si>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</si>
  <si>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</si>
  <si>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</si>
  <si>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</si>
  <si>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</si>
  <si>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</si>
  <si>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</si>
  <si>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</si>
  <si>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</si>
  <si>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</si>
  <si>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</si>
  <si>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</si>
  <si>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</si>
  <si>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</si>
  <si>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</si>
  <si>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</si>
  <si>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</si>
  <si>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</si>
  <si>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</si>
  <si>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</si>
  <si>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</si>
  <si>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</si>
  <si>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</si>
  <si>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</si>
  <si>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</si>
  <si>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</si>
  <si>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</si>
  <si>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</si>
  <si>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</si>
  <si>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</si>
  <si>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</si>
  <si>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</si>
  <si>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</si>
  <si>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</si>
  <si>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</si>
  <si>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</si>
  <si>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</si>
  <si>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</si>
  <si>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</si>
  <si>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</si>
  <si>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</si>
  <si>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</si>
  <si>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</si>
  <si>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</si>
  <si>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</si>
  <si>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</si>
  <si>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</si>
  <si>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</si>
  <si>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</si>
  <si>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</si>
  <si>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</si>
  <si>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</si>
  <si>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</si>
  <si>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</si>
  <si>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</si>
  <si>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</si>
  <si>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</si>
  <si>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</si>
  <si>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დღიური საშუალოს ნაცვლად აღებულია პერიოდის ბოლო დღის მონაცემები.</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</si>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</sst>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409]mmm\-yy;@"/>
    <numFmt numFmtId="165" formatCode="#,##0_ ;[Red]\-#,##0\ "/>
    <numFmt numFmtId="166" formatCode="_(* #,##0_);_(* \(#,##0\);_(* &quot;-&quot;??_);_(@_)"/>
    <numFmt numFmtId="167" formatCode="_(#,##0_);_(\(#,##0\);_(\ \-\ _);_(@_)"/>
    <numFmt numFmtId="168" formatCode="#,##0.000000;[Red]#,##0.000000"/>
    <numFmt numFmtId="169" formatCode="#,##0.0000"/>
    <numFmt numFmtId="170" formatCode="0.0%"/>
  </numFmts>
  <fonts count="39">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name val="Calibri"/>
      <family val="2"/>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color theme="1"/>
      <name val="Sylfaen"/>
      <family val="1"/>
    </font>
    <font>
      <b/>
      <sz val="9"/>
      <color indexed="81"/>
      <name val="Tahoma"/>
      <family val="2"/>
    </font>
    <font>
      <sz val="9"/>
      <color indexed="81"/>
      <name val="Tahoma"/>
      <family val="2"/>
    </font>
    <font>
      <sz val="10"/>
      <name val="SPKolheti"/>
      <family val="1"/>
    </font>
    <font>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lightGray">
        <fgColor indexed="22"/>
        <bgColor theme="1" tint="0.499984740745262"/>
      </patternFill>
    </fill>
    <fill>
      <patternFill patternType="solid">
        <fgColor rgb="FFFFFF00"/>
        <bgColor indexed="64"/>
      </patternFill>
    </fill>
    <fill>
      <patternFill patternType="solid">
        <fgColor theme="6" tint="0.59999389629810485"/>
        <bgColor indexed="64"/>
      </patternFill>
    </fill>
    <fill>
      <patternFill patternType="solid">
        <fgColor rgb="FF5F5F5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5"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43" fontId="4" fillId="0" borderId="0" applyFont="0" applyFill="0" applyBorder="0" applyAlignment="0" applyProtection="0"/>
    <xf numFmtId="0" fontId="4" fillId="0" borderId="0"/>
    <xf numFmtId="0" fontId="4" fillId="0" borderId="0"/>
  </cellStyleXfs>
  <cellXfs count="523">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2" fillId="0" borderId="5" xfId="0" applyFont="1" applyBorder="1" applyAlignment="1">
      <alignment horizont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15" fillId="3" borderId="0" xfId="6" applyBorder="1"/>
    <xf numFmtId="164" fontId="15" fillId="3" borderId="10" xfId="6" applyBorder="1"/>
    <xf numFmtId="0" fontId="16"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5" fillId="3" borderId="0" xfId="6" applyBorder="1" applyProtection="1"/>
    <xf numFmtId="164" fontId="15"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3" fillId="0" borderId="1" xfId="2" applyNumberFormat="1" applyFont="1" applyFill="1" applyBorder="1" applyAlignment="1" applyProtection="1">
      <alignment vertical="center" wrapText="1"/>
    </xf>
    <xf numFmtId="10" fontId="3" fillId="0" borderId="1" xfId="2" applyNumberFormat="1" applyFont="1" applyFill="1" applyBorder="1" applyAlignment="1" applyProtection="1">
      <alignment vertical="center" wrapText="1"/>
    </xf>
    <xf numFmtId="10" fontId="3" fillId="0" borderId="11" xfId="2" applyNumberFormat="1" applyFont="1" applyFill="1" applyBorder="1" applyAlignment="1" applyProtection="1">
      <alignment vertical="center" wrapText="1"/>
    </xf>
    <xf numFmtId="10" fontId="7" fillId="0" borderId="1" xfId="2" applyNumberFormat="1" applyFont="1" applyBorder="1" applyAlignment="1" applyProtection="1">
      <alignment vertical="center" wrapText="1"/>
    </xf>
    <xf numFmtId="10" fontId="15" fillId="3" borderId="0" xfId="2" applyNumberFormat="1" applyFont="1" applyFill="1" applyBorder="1" applyProtection="1"/>
    <xf numFmtId="10" fontId="15"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3"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4" borderId="1" xfId="0" applyNumberFormat="1" applyFont="1" applyFill="1" applyBorder="1" applyAlignment="1" applyProtection="1">
      <alignment vertical="center"/>
    </xf>
    <xf numFmtId="165" fontId="8" fillId="4" borderId="11" xfId="0" applyNumberFormat="1" applyFont="1" applyFill="1" applyBorder="1" applyAlignment="1" applyProtection="1">
      <alignment vertical="center"/>
      <protection locked="0"/>
    </xf>
    <xf numFmtId="165" fontId="18" fillId="4" borderId="1" xfId="0" applyNumberFormat="1" applyFont="1" applyFill="1" applyBorder="1" applyAlignment="1" applyProtection="1">
      <alignment vertical="center"/>
      <protection locked="0"/>
    </xf>
    <xf numFmtId="165" fontId="18" fillId="4" borderId="11" xfId="0" applyNumberFormat="1" applyFont="1" applyFill="1" applyBorder="1" applyAlignment="1" applyProtection="1">
      <alignment vertical="center"/>
      <protection locked="0"/>
    </xf>
    <xf numFmtId="0" fontId="8" fillId="4" borderId="12" xfId="0" applyFont="1" applyFill="1" applyBorder="1" applyAlignment="1">
      <alignment horizontal="right" vertical="center"/>
    </xf>
    <xf numFmtId="165" fontId="8" fillId="4" borderId="13" xfId="0" applyNumberFormat="1" applyFont="1" applyFill="1" applyBorder="1" applyAlignment="1" applyProtection="1">
      <alignment vertical="center"/>
      <protection locked="0"/>
    </xf>
    <xf numFmtId="10" fontId="8" fillId="4" borderId="13" xfId="2" applyNumberFormat="1" applyFont="1" applyFill="1" applyBorder="1" applyAlignment="1" applyProtection="1">
      <alignment vertical="center"/>
    </xf>
    <xf numFmtId="10" fontId="8" fillId="4" borderId="13" xfId="2" applyNumberFormat="1" applyFont="1" applyFill="1" applyBorder="1" applyAlignment="1" applyProtection="1">
      <alignment vertical="center"/>
      <protection locked="0"/>
    </xf>
    <xf numFmtId="10" fontId="8" fillId="4" borderId="14" xfId="2"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7" fillId="0" borderId="0" xfId="0" applyFont="1" applyAlignment="1">
      <alignment horizontal="left" vertical="top" wrapText="1"/>
    </xf>
    <xf numFmtId="0" fontId="7" fillId="0" borderId="0" xfId="0" applyFont="1" applyAlignment="1">
      <alignment wrapText="1"/>
    </xf>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2"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2"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2"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2"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2"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2"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protection locked="0"/>
    </xf>
    <xf numFmtId="166" fontId="24" fillId="0" borderId="1" xfId="1" applyNumberFormat="1" applyFont="1" applyFill="1" applyBorder="1" applyAlignment="1" applyProtection="1">
      <alignment horizontal="right"/>
      <protection locked="0"/>
    </xf>
    <xf numFmtId="166" fontId="22" fillId="5" borderId="1" xfId="1" applyNumberFormat="1" applyFont="1" applyFill="1" applyBorder="1" applyAlignment="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lignment horizontal="center"/>
    </xf>
    <xf numFmtId="166" fontId="23" fillId="0" borderId="11" xfId="1" applyNumberFormat="1" applyFont="1" applyFill="1" applyBorder="1" applyAlignment="1">
      <alignment horizontal="center"/>
    </xf>
    <xf numFmtId="0" fontId="22" fillId="0" borderId="1" xfId="0" applyFont="1" applyFill="1" applyBorder="1" applyAlignment="1">
      <alignment horizontal="left" indent="1"/>
    </xf>
    <xf numFmtId="166" fontId="22" fillId="5" borderId="1" xfId="1" applyNumberFormat="1" applyFont="1" applyFill="1" applyBorder="1" applyAlignment="1" applyProtection="1">
      <alignment horizontal="right"/>
    </xf>
    <xf numFmtId="166" fontId="22" fillId="0" borderId="11" xfId="1" applyNumberFormat="1" applyFont="1" applyFill="1" applyBorder="1" applyAlignment="1" applyProtection="1">
      <alignment horizontal="right"/>
      <protection locked="0"/>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3"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166" fontId="26" fillId="0" borderId="0" xfId="1" applyNumberFormat="1" applyFont="1" applyFill="1"/>
    <xf numFmtId="0" fontId="3" fillId="0" borderId="12" xfId="0" applyFont="1" applyFill="1" applyBorder="1" applyAlignment="1">
      <alignment horizontal="center" vertical="center"/>
    </xf>
    <xf numFmtId="0" fontId="13"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166" fontId="0" fillId="0" borderId="0" xfId="1" applyNumberFormat="1" applyFont="1"/>
    <xf numFmtId="0" fontId="25" fillId="0" borderId="0" xfId="0" applyFont="1" applyBorder="1"/>
    <xf numFmtId="0" fontId="3" fillId="0" borderId="5" xfId="0" applyFont="1" applyBorder="1"/>
    <xf numFmtId="0" fontId="14" fillId="0" borderId="5" xfId="0" applyFont="1" applyBorder="1" applyAlignment="1">
      <alignment horizontal="center"/>
    </xf>
    <xf numFmtId="0" fontId="19" fillId="0" borderId="5" xfId="0" applyFont="1" applyFill="1" applyBorder="1" applyAlignment="1">
      <alignment horizontal="center"/>
    </xf>
    <xf numFmtId="0" fontId="3" fillId="0" borderId="23" xfId="0" applyFont="1" applyBorder="1" applyAlignment="1">
      <alignment vertical="center" wrapText="1"/>
    </xf>
    <xf numFmtId="0" fontId="14" fillId="0" borderId="24" xfId="0" applyFont="1" applyBorder="1" applyAlignment="1">
      <alignment vertical="center" wrapText="1"/>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164" fontId="15" fillId="6" borderId="0" xfId="6" applyFill="1"/>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2"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9" xfId="0" applyFont="1" applyBorder="1" applyAlignment="1">
      <alignment vertical="center"/>
    </xf>
    <xf numFmtId="0" fontId="31" fillId="0" borderId="19" xfId="0" applyFont="1" applyBorder="1" applyAlignment="1">
      <alignment wrapText="1"/>
    </xf>
    <xf numFmtId="0" fontId="3" fillId="0" borderId="28" xfId="0" applyFont="1" applyBorder="1" applyAlignment="1"/>
    <xf numFmtId="0" fontId="8" fillId="0" borderId="19" xfId="0" applyFont="1" applyBorder="1" applyAlignment="1">
      <alignment wrapText="1"/>
    </xf>
    <xf numFmtId="0" fontId="8" fillId="0" borderId="28" xfId="0" applyFont="1" applyBorder="1" applyAlignment="1"/>
    <xf numFmtId="0" fontId="8" fillId="0" borderId="28" xfId="0" applyFont="1" applyBorder="1" applyAlignment="1">
      <alignment wrapText="1"/>
    </xf>
    <xf numFmtId="9" fontId="3" fillId="0" borderId="28" xfId="0" applyNumberFormat="1" applyFont="1" applyBorder="1" applyAlignment="1"/>
    <xf numFmtId="0" fontId="8" fillId="0" borderId="29" xfId="0" applyFont="1" applyBorder="1" applyAlignment="1">
      <alignment vertical="center"/>
    </xf>
    <xf numFmtId="0" fontId="31" fillId="0" borderId="3" xfId="0" applyFont="1" applyBorder="1" applyAlignment="1">
      <alignment wrapText="1"/>
    </xf>
    <xf numFmtId="9" fontId="3" fillId="0" borderId="30" xfId="0" applyNumberFormat="1" applyFont="1" applyBorder="1" applyAlignment="1"/>
    <xf numFmtId="0" fontId="8" fillId="0" borderId="12" xfId="0" applyFont="1" applyBorder="1"/>
    <xf numFmtId="0" fontId="31" fillId="0" borderId="20" xfId="0" applyFont="1" applyBorder="1" applyAlignment="1">
      <alignment wrapText="1"/>
    </xf>
    <xf numFmtId="0" fontId="3" fillId="0" borderId="31"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3"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3" fillId="0" borderId="7" xfId="5" applyFont="1" applyFill="1" applyBorder="1" applyAlignment="1" applyProtection="1">
      <alignment horizontal="center" vertical="center"/>
    </xf>
    <xf numFmtId="0" fontId="13"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6" fontId="0" fillId="0" borderId="0" xfId="0" applyNumberFormat="1"/>
    <xf numFmtId="3" fontId="0" fillId="0" borderId="0" xfId="0" applyNumberFormat="1"/>
    <xf numFmtId="0" fontId="32" fillId="0" borderId="25" xfId="0" applyFont="1" applyBorder="1" applyAlignment="1">
      <alignment vertical="center" wrapText="1"/>
    </xf>
    <xf numFmtId="166" fontId="33" fillId="0" borderId="1" xfId="1" applyNumberFormat="1" applyFont="1" applyBorder="1" applyAlignment="1">
      <alignment horizontal="center" vertical="center"/>
    </xf>
    <xf numFmtId="167" fontId="0" fillId="0" borderId="0" xfId="0" applyNumberFormat="1"/>
    <xf numFmtId="165" fontId="0" fillId="0" borderId="0" xfId="0" applyNumberFormat="1"/>
    <xf numFmtId="0" fontId="0" fillId="0" borderId="12" xfId="0" applyBorder="1"/>
    <xf numFmtId="0" fontId="14" fillId="5" borderId="26" xfId="0" applyFont="1" applyFill="1" applyBorder="1" applyAlignment="1">
      <alignment vertical="center" wrapText="1"/>
    </xf>
    <xf numFmtId="165" fontId="14" fillId="5" borderId="13" xfId="0" applyNumberFormat="1" applyFont="1" applyFill="1" applyBorder="1" applyAlignment="1">
      <alignment horizontal="center" vertical="center"/>
    </xf>
    <xf numFmtId="165" fontId="14" fillId="5" borderId="14" xfId="0" applyNumberFormat="1" applyFont="1" applyFill="1" applyBorder="1" applyAlignment="1">
      <alignment horizontal="center" vertical="center"/>
    </xf>
    <xf numFmtId="0" fontId="3" fillId="0" borderId="0" xfId="0" applyFont="1" applyFill="1" applyBorder="1" applyAlignment="1">
      <alignment vertical="center" wrapText="1"/>
    </xf>
    <xf numFmtId="43" fontId="0" fillId="0" borderId="0" xfId="0" applyNumberFormat="1"/>
    <xf numFmtId="0" fontId="3" fillId="0" borderId="32" xfId="0" applyFont="1" applyFill="1" applyBorder="1" applyAlignment="1">
      <alignment vertical="center" wrapText="1"/>
    </xf>
    <xf numFmtId="165" fontId="3" fillId="0" borderId="0" xfId="0" applyNumberFormat="1" applyFont="1"/>
    <xf numFmtId="0" fontId="6" fillId="0" borderId="0" xfId="0" applyFont="1" applyAlignment="1">
      <alignment vertical="center"/>
    </xf>
    <xf numFmtId="0" fontId="3" fillId="0" borderId="0" xfId="0" applyFont="1" applyAlignment="1">
      <alignment vertical="center"/>
    </xf>
    <xf numFmtId="0" fontId="13"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4" fillId="5" borderId="16" xfId="0" applyFont="1" applyFill="1" applyBorder="1" applyAlignment="1">
      <alignment wrapText="1"/>
    </xf>
    <xf numFmtId="165" fontId="0" fillId="5" borderId="8" xfId="0" applyNumberFormat="1" applyFill="1" applyBorder="1" applyAlignment="1">
      <alignment horizontal="center" vertical="center"/>
    </xf>
    <xf numFmtId="0" fontId="3" fillId="0" borderId="9" xfId="0" applyFont="1" applyBorder="1" applyAlignment="1">
      <alignment horizontal="center" vertical="center"/>
    </xf>
    <xf numFmtId="0" fontId="3" fillId="0" borderId="33" xfId="0" applyFont="1" applyFill="1" applyBorder="1" applyAlignment="1"/>
    <xf numFmtId="165" fontId="0" fillId="0" borderId="11" xfId="0" applyNumberFormat="1" applyBorder="1" applyAlignment="1"/>
    <xf numFmtId="165" fontId="0" fillId="0" borderId="0" xfId="0" applyNumberFormat="1" applyAlignment="1"/>
    <xf numFmtId="0" fontId="3" fillId="0" borderId="9" xfId="0" applyFont="1" applyBorder="1" applyAlignment="1">
      <alignment horizontal="center" vertical="center" wrapText="1"/>
    </xf>
    <xf numFmtId="0" fontId="3" fillId="0" borderId="33" xfId="0" applyFont="1" applyFill="1" applyBorder="1" applyAlignment="1">
      <alignment vertical="center" wrapText="1"/>
    </xf>
    <xf numFmtId="165" fontId="0" fillId="0" borderId="11" xfId="0" applyNumberFormat="1" applyBorder="1" applyAlignment="1">
      <alignment wrapText="1"/>
    </xf>
    <xf numFmtId="165" fontId="0" fillId="0" borderId="0" xfId="0" applyNumberFormat="1" applyAlignment="1">
      <alignment wrapText="1"/>
    </xf>
    <xf numFmtId="0" fontId="0" fillId="0" borderId="0" xfId="0" applyAlignment="1">
      <alignment wrapText="1"/>
    </xf>
    <xf numFmtId="0" fontId="14" fillId="5" borderId="33" xfId="0" applyFont="1" applyFill="1" applyBorder="1" applyAlignment="1">
      <alignment wrapText="1"/>
    </xf>
    <xf numFmtId="165" fontId="0" fillId="5" borderId="11" xfId="0" applyNumberFormat="1" applyFill="1" applyBorder="1" applyAlignment="1">
      <alignment horizontal="center" vertical="center" wrapText="1"/>
    </xf>
    <xf numFmtId="0" fontId="3" fillId="0" borderId="33" xfId="0" applyFont="1" applyFill="1" applyBorder="1" applyAlignment="1">
      <alignment vertical="center"/>
    </xf>
    <xf numFmtId="165" fontId="0" fillId="0" borderId="11" xfId="0" applyNumberFormat="1" applyFill="1" applyBorder="1" applyAlignment="1"/>
    <xf numFmtId="0" fontId="3" fillId="0" borderId="33" xfId="0" applyFont="1" applyBorder="1" applyAlignment="1">
      <alignment wrapText="1"/>
    </xf>
    <xf numFmtId="0" fontId="3" fillId="0" borderId="12" xfId="0" applyFont="1" applyBorder="1" applyAlignment="1">
      <alignment horizontal="center" vertical="center" wrapText="1"/>
    </xf>
    <xf numFmtId="0" fontId="14" fillId="5" borderId="34" xfId="0" applyFont="1" applyFill="1" applyBorder="1" applyAlignment="1">
      <alignment wrapText="1"/>
    </xf>
    <xf numFmtId="165" fontId="0" fillId="5" borderId="14" xfId="0" applyNumberFormat="1" applyFill="1" applyBorder="1" applyAlignment="1">
      <alignment horizontal="center" vertical="center" wrapText="1"/>
    </xf>
    <xf numFmtId="168" fontId="0" fillId="0" borderId="0" xfId="0" applyNumberFormat="1"/>
    <xf numFmtId="0" fontId="3" fillId="7" borderId="0" xfId="0" applyFont="1" applyFill="1" applyAlignment="1">
      <alignment horizontal="center" vertical="center"/>
    </xf>
    <xf numFmtId="169" fontId="0" fillId="7" borderId="0" xfId="0" applyNumberFormat="1" applyFill="1"/>
    <xf numFmtId="0" fontId="6" fillId="0" borderId="0" xfId="0" applyFont="1" applyAlignment="1">
      <alignment horizontal="center" vertical="center"/>
    </xf>
    <xf numFmtId="0" fontId="14" fillId="0" borderId="0" xfId="0" applyFont="1" applyAlignment="1">
      <alignment horizontal="center"/>
    </xf>
    <xf numFmtId="0" fontId="7" fillId="0" borderId="6" xfId="9" applyFont="1" applyFill="1" applyBorder="1" applyAlignment="1" applyProtection="1">
      <alignment horizontal="center" vertical="center"/>
      <protection locked="0"/>
    </xf>
    <xf numFmtId="0" fontId="13"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4"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3"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3"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3"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3"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3"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166" fontId="3" fillId="0" borderId="0" xfId="1" applyNumberFormat="1" applyFont="1"/>
    <xf numFmtId="0" fontId="12" fillId="0" borderId="0" xfId="5" applyFont="1" applyFill="1" applyBorder="1" applyProtection="1"/>
    <xf numFmtId="0" fontId="6" fillId="0" borderId="0" xfId="0" applyFont="1"/>
    <xf numFmtId="0" fontId="12" fillId="0" borderId="0" xfId="5" applyFont="1" applyFill="1" applyBorder="1" applyAlignment="1" applyProtection="1"/>
    <xf numFmtId="0" fontId="12"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7" fontId="6" fillId="0" borderId="40" xfId="0" applyNumberFormat="1" applyFont="1" applyBorder="1" applyAlignment="1">
      <alignment horizontal="center"/>
    </xf>
    <xf numFmtId="167" fontId="0" fillId="0" borderId="0" xfId="0" applyNumberFormat="1" applyBorder="1" applyAlignment="1">
      <alignment horizontal="center"/>
    </xf>
    <xf numFmtId="0" fontId="6" fillId="0" borderId="41" xfId="0" applyFont="1" applyBorder="1" applyAlignment="1">
      <alignment wrapText="1"/>
    </xf>
    <xf numFmtId="167" fontId="6" fillId="0" borderId="42" xfId="0" applyNumberFormat="1" applyFont="1" applyBorder="1" applyAlignment="1">
      <alignment horizontal="center"/>
    </xf>
    <xf numFmtId="165" fontId="21" fillId="0" borderId="43" xfId="0" applyNumberFormat="1" applyFont="1" applyBorder="1" applyAlignment="1">
      <alignment vertical="center"/>
    </xf>
    <xf numFmtId="167" fontId="21" fillId="0" borderId="42" xfId="0" applyNumberFormat="1" applyFont="1" applyBorder="1" applyAlignment="1">
      <alignment horizontal="center"/>
    </xf>
    <xf numFmtId="167" fontId="26" fillId="0" borderId="0" xfId="0" applyNumberFormat="1" applyFont="1" applyBorder="1" applyAlignment="1">
      <alignment horizontal="center"/>
    </xf>
    <xf numFmtId="0" fontId="21" fillId="0" borderId="41" xfId="0" applyFont="1" applyBorder="1" applyAlignment="1">
      <alignment wrapText="1"/>
    </xf>
    <xf numFmtId="167" fontId="19" fillId="8" borderId="42" xfId="0" applyNumberFormat="1" applyFont="1" applyFill="1" applyBorder="1" applyAlignment="1">
      <alignment horizontal="center"/>
    </xf>
    <xf numFmtId="166" fontId="21" fillId="0" borderId="43" xfId="1" applyNumberFormat="1" applyFont="1" applyBorder="1" applyAlignment="1">
      <alignment vertical="center"/>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0" fontId="21" fillId="0" borderId="41" xfId="0" applyFont="1" applyBorder="1" applyAlignment="1">
      <alignment horizontal="right" wrapText="1"/>
    </xf>
    <xf numFmtId="165" fontId="21" fillId="0" borderId="43" xfId="0" applyNumberFormat="1" applyFont="1" applyFill="1" applyBorder="1" applyAlignment="1">
      <alignment vertical="center"/>
    </xf>
    <xf numFmtId="0" fontId="6" fillId="0" borderId="44" xfId="0" applyFont="1" applyBorder="1" applyAlignment="1">
      <alignment wrapText="1"/>
    </xf>
    <xf numFmtId="165" fontId="6" fillId="0" borderId="45" xfId="0" applyNumberFormat="1" applyFont="1" applyBorder="1" applyAlignment="1">
      <alignment vertical="center"/>
    </xf>
    <xf numFmtId="167" fontId="6" fillId="0" borderId="46" xfId="0" applyNumberFormat="1" applyFont="1" applyBorder="1" applyAlignment="1">
      <alignment horizontal="center"/>
    </xf>
    <xf numFmtId="0" fontId="34" fillId="5" borderId="47" xfId="0" applyFont="1" applyFill="1" applyBorder="1" applyAlignment="1">
      <alignment wrapText="1"/>
    </xf>
    <xf numFmtId="165" fontId="34" fillId="5" borderId="48" xfId="0" applyNumberFormat="1" applyFont="1" applyFill="1" applyBorder="1" applyAlignment="1">
      <alignment vertical="center"/>
    </xf>
    <xf numFmtId="167" fontId="34" fillId="5" borderId="49" xfId="0" applyNumberFormat="1" applyFont="1" applyFill="1" applyBorder="1" applyAlignment="1">
      <alignment horizontal="center"/>
    </xf>
    <xf numFmtId="167" fontId="2" fillId="0" borderId="0" xfId="0" applyNumberFormat="1" applyFont="1" applyFill="1" applyBorder="1" applyAlignment="1">
      <alignment horizontal="center"/>
    </xf>
    <xf numFmtId="165" fontId="6" fillId="0" borderId="50" xfId="0" applyNumberFormat="1" applyFont="1" applyBorder="1" applyAlignment="1">
      <alignment vertical="center"/>
    </xf>
    <xf numFmtId="167" fontId="6" fillId="0" borderId="51" xfId="0" applyNumberFormat="1" applyFont="1" applyBorder="1" applyAlignment="1">
      <alignment horizontal="center"/>
    </xf>
    <xf numFmtId="166" fontId="21" fillId="0" borderId="50" xfId="1" applyNumberFormat="1" applyFont="1" applyBorder="1" applyAlignment="1">
      <alignment vertical="center"/>
    </xf>
    <xf numFmtId="0" fontId="21" fillId="0" borderId="44" xfId="0" applyFont="1" applyBorder="1" applyAlignment="1">
      <alignment horizontal="right" wrapText="1"/>
    </xf>
    <xf numFmtId="166" fontId="6" fillId="0" borderId="43" xfId="1" applyNumberFormat="1" applyFont="1" applyBorder="1" applyAlignment="1">
      <alignment vertical="center"/>
    </xf>
    <xf numFmtId="166" fontId="20" fillId="0" borderId="43" xfId="1" applyNumberFormat="1" applyFont="1" applyBorder="1" applyAlignment="1">
      <alignment vertical="center"/>
    </xf>
    <xf numFmtId="0" fontId="6" fillId="0" borderId="12" xfId="0" applyFont="1" applyBorder="1" applyAlignment="1">
      <alignment horizontal="center"/>
    </xf>
    <xf numFmtId="0" fontId="34" fillId="5" borderId="52" xfId="0" applyFont="1" applyFill="1" applyBorder="1" applyAlignment="1">
      <alignment wrapText="1"/>
    </xf>
    <xf numFmtId="165" fontId="34" fillId="5" borderId="53" xfId="0" applyNumberFormat="1" applyFont="1" applyFill="1" applyBorder="1" applyAlignment="1">
      <alignment vertical="center"/>
    </xf>
    <xf numFmtId="167" fontId="34" fillId="5" borderId="54" xfId="0" applyNumberFormat="1" applyFont="1" applyFill="1" applyBorder="1" applyAlignment="1">
      <alignment horizontal="center"/>
    </xf>
    <xf numFmtId="0" fontId="3" fillId="0" borderId="0" xfId="0" applyFont="1" applyAlignment="1">
      <alignment horizontal="center" vertical="center"/>
    </xf>
    <xf numFmtId="0" fontId="14" fillId="0" borderId="0" xfId="0" applyFont="1" applyFill="1" applyBorder="1" applyAlignment="1">
      <alignment horizontal="center" wrapText="1"/>
    </xf>
    <xf numFmtId="0" fontId="3" fillId="0" borderId="55" xfId="0" applyFont="1" applyBorder="1"/>
    <xf numFmtId="0" fontId="3" fillId="0" borderId="56"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7" xfId="0" applyFont="1" applyBorder="1"/>
    <xf numFmtId="9" fontId="38"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5" fontId="3" fillId="0" borderId="1" xfId="0" applyNumberFormat="1" applyFont="1" applyBorder="1" applyAlignment="1"/>
    <xf numFmtId="165" fontId="3" fillId="0" borderId="19" xfId="0" applyNumberFormat="1" applyFont="1" applyBorder="1" applyAlignment="1"/>
    <xf numFmtId="0" fontId="25" fillId="0" borderId="0" xfId="0" applyFont="1" applyAlignment="1"/>
    <xf numFmtId="0" fontId="7" fillId="2" borderId="12" xfId="9" applyFont="1" applyFill="1" applyBorder="1" applyAlignment="1" applyProtection="1">
      <alignment horizontal="left" vertical="center"/>
      <protection locked="0"/>
    </xf>
    <xf numFmtId="0" fontId="13" fillId="2" borderId="13" xfId="15" applyFont="1" applyFill="1" applyBorder="1" applyAlignment="1" applyProtection="1">
      <protection locked="0"/>
    </xf>
    <xf numFmtId="165" fontId="3" fillId="5" borderId="13" xfId="0" applyNumberFormat="1" applyFont="1" applyFill="1" applyBorder="1"/>
    <xf numFmtId="0" fontId="14"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4" applyNumberFormat="1" applyFont="1" applyFill="1" applyBorder="1" applyAlignment="1" applyProtection="1">
      <alignment horizontal="center" vertical="center" wrapText="1"/>
      <protection locked="0"/>
    </xf>
    <xf numFmtId="166" fontId="7" fillId="2" borderId="1" xfId="14"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4"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1"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2" xfId="0" applyNumberFormat="1" applyFont="1" applyFill="1" applyBorder="1" applyAlignment="1"/>
    <xf numFmtId="0" fontId="13" fillId="2" borderId="14" xfId="15" applyFont="1" applyFill="1" applyBorder="1" applyAlignment="1" applyProtection="1">
      <protection locked="0"/>
    </xf>
    <xf numFmtId="165" fontId="3" fillId="5" borderId="12" xfId="0" applyNumberFormat="1" applyFont="1" applyFill="1" applyBorder="1"/>
    <xf numFmtId="165" fontId="3" fillId="5" borderId="14" xfId="0" applyNumberFormat="1" applyFont="1" applyFill="1" applyBorder="1"/>
    <xf numFmtId="165" fontId="3" fillId="5" borderId="63"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4"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4" fillId="0" borderId="13" xfId="0" applyFont="1" applyBorder="1"/>
    <xf numFmtId="166" fontId="3" fillId="5" borderId="13" xfId="1" applyNumberFormat="1" applyFont="1" applyFill="1" applyBorder="1"/>
    <xf numFmtId="9" fontId="3" fillId="5" borderId="14" xfId="2" applyFont="1" applyFill="1" applyBorder="1"/>
    <xf numFmtId="0" fontId="32" fillId="2" borderId="65" xfId="0" applyFont="1" applyFill="1" applyBorder="1" applyAlignment="1">
      <alignment horizontal="left"/>
    </xf>
    <xf numFmtId="0" fontId="32" fillId="2" borderId="4" xfId="0" applyFont="1" applyFill="1" applyBorder="1" applyAlignment="1">
      <alignment horizontal="left"/>
    </xf>
    <xf numFmtId="0" fontId="3" fillId="0" borderId="11" xfId="0" applyFont="1" applyFill="1" applyBorder="1" applyAlignment="1">
      <alignment horizontal="center" vertical="center" wrapText="1"/>
    </xf>
    <xf numFmtId="0" fontId="14" fillId="2" borderId="35" xfId="0" applyFont="1" applyFill="1" applyBorder="1" applyAlignment="1">
      <alignment vertical="center"/>
    </xf>
    <xf numFmtId="0" fontId="3" fillId="2" borderId="33"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6" xfId="1" applyNumberFormat="1" applyFont="1" applyFill="1" applyBorder="1" applyAlignment="1">
      <alignment vertical="center"/>
    </xf>
    <xf numFmtId="166" fontId="3" fillId="0" borderId="27"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4" fillId="0" borderId="1" xfId="0" applyFont="1" applyFill="1" applyBorder="1" applyAlignment="1">
      <alignment vertical="center"/>
    </xf>
    <xf numFmtId="166" fontId="3" fillId="2" borderId="33" xfId="1" applyNumberFormat="1" applyFont="1" applyFill="1" applyBorder="1" applyAlignment="1">
      <alignment vertical="center"/>
    </xf>
    <xf numFmtId="166" fontId="3" fillId="2" borderId="28" xfId="1" applyNumberFormat="1" applyFont="1" applyFill="1" applyBorder="1" applyAlignment="1">
      <alignment vertical="center"/>
    </xf>
    <xf numFmtId="0" fontId="14"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7"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5" fillId="3" borderId="56"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9" xfId="0" applyFont="1" applyFill="1" applyBorder="1" applyAlignment="1">
      <alignment horizontal="center" vertical="center"/>
    </xf>
    <xf numFmtId="0" fontId="3" fillId="0" borderId="2" xfId="0" applyFont="1" applyFill="1" applyBorder="1" applyAlignment="1">
      <alignment vertical="center"/>
    </xf>
    <xf numFmtId="164" fontId="15" fillId="3" borderId="20" xfId="6" applyBorder="1"/>
    <xf numFmtId="164" fontId="15" fillId="3" borderId="34" xfId="6" applyBorder="1"/>
    <xf numFmtId="164" fontId="15" fillId="3" borderId="26" xfId="6" applyBorder="1"/>
    <xf numFmtId="166" fontId="3" fillId="0" borderId="3" xfId="1" applyNumberFormat="1" applyFont="1" applyFill="1" applyBorder="1" applyAlignment="1">
      <alignment vertical="center"/>
    </xf>
    <xf numFmtId="166" fontId="3" fillId="0" borderId="58"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5" fillId="3" borderId="69" xfId="6" applyBorder="1"/>
    <xf numFmtId="9" fontId="3" fillId="0" borderId="70" xfId="2" applyFont="1" applyFill="1" applyBorder="1" applyAlignment="1">
      <alignment vertical="center"/>
    </xf>
    <xf numFmtId="9" fontId="3" fillId="0" borderId="71" xfId="2" applyFont="1" applyFill="1" applyBorder="1" applyAlignment="1">
      <alignment vertical="center"/>
    </xf>
    <xf numFmtId="0" fontId="3" fillId="0" borderId="0" xfId="0" applyFont="1" applyAlignment="1">
      <alignment wrapText="1"/>
    </xf>
    <xf numFmtId="0" fontId="34" fillId="0" borderId="0" xfId="0" applyFont="1"/>
    <xf numFmtId="0" fontId="3" fillId="0" borderId="55" xfId="0" applyFont="1" applyBorder="1" applyAlignment="1">
      <alignment horizontal="center"/>
    </xf>
    <xf numFmtId="0" fontId="3" fillId="0" borderId="5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4"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2" fillId="2" borderId="1" xfId="11" applyFont="1" applyFill="1" applyBorder="1" applyAlignment="1" applyProtection="1">
      <alignment wrapText="1"/>
      <protection locked="0"/>
    </xf>
    <xf numFmtId="165" fontId="8" fillId="5" borderId="1" xfId="13" applyNumberFormat="1" applyFont="1" applyFill="1" applyBorder="1" applyProtection="1">
      <protection locked="0"/>
    </xf>
    <xf numFmtId="166" fontId="8" fillId="5" borderId="1" xfId="1" applyNumberFormat="1" applyFont="1" applyFill="1" applyBorder="1" applyProtection="1">
      <protection locked="0"/>
    </xf>
    <xf numFmtId="166" fontId="8" fillId="2" borderId="1" xfId="1" applyNumberFormat="1" applyFont="1" applyFill="1" applyBorder="1" applyProtection="1">
      <protection locked="0"/>
    </xf>
    <xf numFmtId="166" fontId="8" fillId="5" borderId="11" xfId="1" applyNumberFormat="1" applyFont="1" applyFill="1" applyBorder="1" applyProtection="1">
      <protection locked="0"/>
    </xf>
    <xf numFmtId="0" fontId="8" fillId="2" borderId="1" xfId="11" applyFont="1" applyFill="1" applyBorder="1" applyAlignment="1" applyProtection="1">
      <alignment horizontal="left" vertical="center" wrapText="1"/>
      <protection locked="0"/>
    </xf>
    <xf numFmtId="170" fontId="8" fillId="2" borderId="1" xfId="8" applyNumberFormat="1" applyFont="1" applyFill="1" applyBorder="1" applyAlignment="1" applyProtection="1">
      <alignment horizontal="right" wrapText="1"/>
      <protection locked="0"/>
    </xf>
    <xf numFmtId="0" fontId="8" fillId="0" borderId="1" xfId="11" applyFont="1" applyFill="1" applyBorder="1" applyAlignment="1" applyProtection="1">
      <alignment horizontal="left" vertical="center" wrapText="1"/>
      <protection locked="0"/>
    </xf>
    <xf numFmtId="170" fontId="8" fillId="9" borderId="1" xfId="8" applyNumberFormat="1" applyFont="1" applyFill="1" applyBorder="1" applyAlignment="1" applyProtection="1">
      <alignment horizontal="right" wrapText="1"/>
      <protection locked="0"/>
    </xf>
    <xf numFmtId="0" fontId="12" fillId="0" borderId="1" xfId="11" applyFont="1" applyFill="1" applyBorder="1" applyAlignment="1" applyProtection="1">
      <alignment wrapText="1"/>
      <protection locked="0"/>
    </xf>
    <xf numFmtId="166" fontId="8" fillId="0" borderId="1" xfId="1" applyNumberFormat="1" applyFont="1" applyFill="1" applyBorder="1" applyProtection="1">
      <protection locked="0"/>
    </xf>
    <xf numFmtId="0" fontId="8" fillId="2" borderId="12" xfId="9" applyFont="1" applyFill="1" applyBorder="1" applyAlignment="1" applyProtection="1">
      <alignment horizontal="right" vertical="center"/>
      <protection locked="0"/>
    </xf>
    <xf numFmtId="0" fontId="12" fillId="2" borderId="13" xfId="15" applyFont="1" applyFill="1" applyBorder="1" applyAlignment="1" applyProtection="1">
      <protection locked="0"/>
    </xf>
    <xf numFmtId="165" fontId="12" fillId="5" borderId="13" xfId="15" applyNumberFormat="1" applyFont="1" applyFill="1" applyBorder="1" applyAlignment="1" applyProtection="1">
      <protection locked="0"/>
    </xf>
    <xf numFmtId="3" fontId="12" fillId="5" borderId="13" xfId="15" applyNumberFormat="1" applyFont="1" applyFill="1" applyBorder="1" applyAlignment="1" applyProtection="1">
      <protection locked="0"/>
    </xf>
    <xf numFmtId="165" fontId="12" fillId="5" borderId="13" xfId="14" applyNumberFormat="1" applyFont="1" applyFill="1" applyBorder="1" applyAlignment="1" applyProtection="1">
      <protection locked="0"/>
    </xf>
    <xf numFmtId="165" fontId="6" fillId="0" borderId="0" xfId="0" applyNumberFormat="1" applyFont="1"/>
    <xf numFmtId="166" fontId="3" fillId="0" borderId="11" xfId="1" applyNumberFormat="1" applyFont="1" applyBorder="1" applyAlignment="1"/>
    <xf numFmtId="166" fontId="3" fillId="5" borderId="14" xfId="1" applyNumberFormat="1" applyFont="1" applyFill="1" applyBorder="1"/>
    <xf numFmtId="0" fontId="11" fillId="0" borderId="3" xfId="0" applyFont="1" applyBorder="1" applyAlignment="1">
      <alignment horizontal="left" wrapText="1"/>
    </xf>
    <xf numFmtId="0" fontId="11" fillId="0" borderId="4" xfId="0" applyFont="1" applyBorder="1" applyAlignment="1">
      <alignment horizontal="left" wrapText="1"/>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7"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15" xfId="0" applyFont="1" applyBorder="1" applyAlignment="1">
      <alignment horizontal="center" wrapText="1"/>
    </xf>
    <xf numFmtId="0" fontId="8" fillId="0" borderId="18" xfId="0" applyFont="1" applyBorder="1" applyAlignment="1">
      <alignment horizontal="center"/>
    </xf>
    <xf numFmtId="0" fontId="31" fillId="0" borderId="19" xfId="0" applyFont="1" applyBorder="1" applyAlignment="1">
      <alignment wrapText="1"/>
    </xf>
    <xf numFmtId="0" fontId="31" fillId="0" borderId="28" xfId="0" applyFont="1" applyBorder="1" applyAlignment="1">
      <alignment wrapText="1"/>
    </xf>
    <xf numFmtId="0" fontId="12" fillId="0" borderId="19" xfId="0" applyFont="1" applyBorder="1" applyAlignment="1">
      <alignment horizontal="center" wrapText="1"/>
    </xf>
    <xf numFmtId="0" fontId="8" fillId="0" borderId="28" xfId="0" applyFont="1" applyBorder="1" applyAlignment="1">
      <alignment horizontal="center"/>
    </xf>
    <xf numFmtId="0" fontId="12" fillId="0" borderId="19" xfId="0" applyFont="1" applyBorder="1" applyAlignment="1">
      <alignment horizontal="center" vertical="center" wrapText="1"/>
    </xf>
    <xf numFmtId="0" fontId="12" fillId="0" borderId="2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8" xfId="0" applyFont="1" applyFill="1" applyBorder="1" applyAlignment="1">
      <alignment horizontal="center"/>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7" fillId="2" borderId="58" xfId="11" applyFont="1" applyFill="1" applyBorder="1" applyAlignment="1" applyProtection="1">
      <alignment horizontal="center" vertical="center" wrapText="1"/>
      <protection locked="0"/>
    </xf>
    <xf numFmtId="0" fontId="37" fillId="2" borderId="27"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3" fillId="2" borderId="6" xfId="14" applyNumberFormat="1" applyFont="1" applyFill="1" applyBorder="1" applyAlignment="1" applyProtection="1">
      <alignment horizontal="center"/>
      <protection locked="0"/>
    </xf>
    <xf numFmtId="166" fontId="13" fillId="2" borderId="7" xfId="14" applyNumberFormat="1" applyFont="1" applyFill="1" applyBorder="1" applyAlignment="1" applyProtection="1">
      <alignment horizontal="center"/>
      <protection locked="0"/>
    </xf>
    <xf numFmtId="166" fontId="13" fillId="2" borderId="8" xfId="14" applyNumberFormat="1" applyFont="1" applyFill="1" applyBorder="1" applyAlignment="1" applyProtection="1">
      <alignment horizontal="center"/>
      <protection locked="0"/>
    </xf>
    <xf numFmtId="166" fontId="13" fillId="0" borderId="59" xfId="14" applyNumberFormat="1" applyFont="1" applyFill="1" applyBorder="1" applyAlignment="1" applyProtection="1">
      <alignment horizontal="center" vertical="center" wrapText="1"/>
      <protection locked="0"/>
    </xf>
    <xf numFmtId="166" fontId="13" fillId="0" borderId="61" xfId="14" applyNumberFormat="1" applyFont="1" applyFill="1" applyBorder="1" applyAlignment="1" applyProtection="1">
      <alignment horizontal="center" vertical="center" wrapText="1"/>
      <protection locked="0"/>
    </xf>
    <xf numFmtId="0" fontId="14" fillId="0" borderId="60" xfId="0" applyFont="1" applyBorder="1" applyAlignment="1">
      <alignment horizontal="center" vertical="center" wrapText="1"/>
    </xf>
    <xf numFmtId="0" fontId="14" fillId="0" borderId="6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2" fillId="0" borderId="55" xfId="0" applyFont="1" applyFill="1" applyBorder="1" applyAlignment="1">
      <alignment horizontal="left" vertical="center"/>
    </xf>
    <xf numFmtId="0" fontId="32" fillId="0" borderId="56" xfId="0" applyFont="1" applyFill="1" applyBorder="1" applyAlignment="1">
      <alignment horizontal="left" vertical="center"/>
    </xf>
    <xf numFmtId="0" fontId="3"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6" xfId="0" applyFont="1" applyFill="1" applyBorder="1" applyAlignment="1">
      <alignment horizontal="center" vertical="center" wrapText="1"/>
    </xf>
  </cellXfs>
  <cellStyles count="17">
    <cellStyle name="1Normal 2" xfId="6"/>
    <cellStyle name="Comma" xfId="1" builtinId="3"/>
    <cellStyle name="Comma 2" xfId="14"/>
    <cellStyle name="Comma 3" xfId="10"/>
    <cellStyle name="Hyperlink" xfId="4" builtinId="8"/>
    <cellStyle name="Normal" xfId="0" builtinId="0"/>
    <cellStyle name="Normal 121 2" xfId="12"/>
    <cellStyle name="Normal 122" xfId="3"/>
    <cellStyle name="Normal 2" xfId="5"/>
    <cellStyle name="Normal 2 2" xfId="13"/>
    <cellStyle name="Normal 4" xfId="11"/>
    <cellStyle name="Normal_Capital &amp; RWA N" xfId="8"/>
    <cellStyle name="Normal_Capital &amp; RWA N 2" xfId="15"/>
    <cellStyle name="Normal_Casestdy draft" xfId="16"/>
    <cellStyle name="Normal_Casestdy draft 2" xfId="9"/>
    <cellStyle name="Percent" xfId="2" builtinId="5"/>
    <cellStyle name="Percent 2" xfId="7"/>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5"/>
  <sheetViews>
    <sheetView tabSelected="1" view="pageBreakPreview" zoomScale="85" zoomScaleNormal="100" zoomScaleSheetLayoutView="85" workbookViewId="0">
      <pane xSplit="1" ySplit="7" topLeftCell="B8" activePane="bottomRight" state="frozen"/>
      <selection activeCell="P24" sqref="P24:Q24"/>
      <selection pane="topRight" activeCell="P24" sqref="P24:Q24"/>
      <selection pane="bottomLeft" activeCell="P24" sqref="P24:Q24"/>
      <selection pane="bottomRight" activeCell="B25" sqref="B25"/>
    </sheetView>
  </sheetViews>
  <sheetFormatPr defaultRowHeight="15"/>
  <cols>
    <col min="1" max="1" width="10.28515625" style="21" customWidth="1"/>
    <col min="2" max="2" width="134.7109375" bestFit="1" customWidth="1"/>
    <col min="3" max="3" width="39.42578125" customWidth="1"/>
    <col min="7" max="7" width="25" customWidth="1"/>
  </cols>
  <sheetData>
    <row r="1" spans="1:3" ht="15.75">
      <c r="A1" s="1"/>
      <c r="B1" s="2" t="s">
        <v>0</v>
      </c>
      <c r="C1" s="3"/>
    </row>
    <row r="2" spans="1:3" s="7" customFormat="1" ht="15.75">
      <c r="A2" s="4">
        <v>1</v>
      </c>
      <c r="B2" s="5" t="s">
        <v>1</v>
      </c>
      <c r="C2" s="6" t="s">
        <v>2</v>
      </c>
    </row>
    <row r="3" spans="1:3" s="7" customFormat="1" ht="15.75">
      <c r="A3" s="4">
        <v>2</v>
      </c>
      <c r="B3" s="8" t="s">
        <v>3</v>
      </c>
      <c r="C3" s="6" t="s">
        <v>4</v>
      </c>
    </row>
    <row r="4" spans="1:3" s="7" customFormat="1" ht="15.75">
      <c r="A4" s="4">
        <v>3</v>
      </c>
      <c r="B4" s="8" t="s">
        <v>5</v>
      </c>
      <c r="C4" s="6" t="s">
        <v>6</v>
      </c>
    </row>
    <row r="5" spans="1:3" s="7" customFormat="1" ht="15.75">
      <c r="A5" s="9">
        <v>4</v>
      </c>
      <c r="B5" s="10" t="s">
        <v>7</v>
      </c>
      <c r="C5" s="11" t="s">
        <v>8</v>
      </c>
    </row>
    <row r="6" spans="1:3" s="12" customFormat="1" ht="65.25" customHeight="1">
      <c r="A6" s="476" t="s">
        <v>9</v>
      </c>
      <c r="B6" s="477"/>
      <c r="C6" s="477"/>
    </row>
    <row r="7" spans="1:3">
      <c r="A7" s="13" t="s">
        <v>10</v>
      </c>
      <c r="B7" s="2" t="s">
        <v>11</v>
      </c>
    </row>
    <row r="8" spans="1:3">
      <c r="A8" s="1">
        <v>1</v>
      </c>
      <c r="B8" s="14" t="s">
        <v>12</v>
      </c>
    </row>
    <row r="9" spans="1:3">
      <c r="A9" s="1">
        <v>2</v>
      </c>
      <c r="B9" s="14" t="s">
        <v>13</v>
      </c>
    </row>
    <row r="10" spans="1:3">
      <c r="A10" s="1">
        <v>3</v>
      </c>
      <c r="B10" s="14" t="s">
        <v>14</v>
      </c>
    </row>
    <row r="11" spans="1:3">
      <c r="A11" s="1">
        <v>4</v>
      </c>
      <c r="B11" s="14" t="s">
        <v>15</v>
      </c>
      <c r="C11" s="15"/>
    </row>
    <row r="12" spans="1:3">
      <c r="A12" s="1">
        <v>5</v>
      </c>
      <c r="B12" s="14" t="s">
        <v>16</v>
      </c>
    </row>
    <row r="13" spans="1:3">
      <c r="A13" s="1">
        <v>6</v>
      </c>
      <c r="B13" s="16" t="s">
        <v>17</v>
      </c>
    </row>
    <row r="14" spans="1:3">
      <c r="A14" s="1">
        <v>7</v>
      </c>
      <c r="B14" s="14" t="s">
        <v>18</v>
      </c>
    </row>
    <row r="15" spans="1:3">
      <c r="A15" s="1">
        <v>8</v>
      </c>
      <c r="B15" s="14" t="s">
        <v>19</v>
      </c>
    </row>
    <row r="16" spans="1:3">
      <c r="A16" s="1">
        <v>9</v>
      </c>
      <c r="B16" s="14" t="s">
        <v>20</v>
      </c>
    </row>
    <row r="17" spans="1:2">
      <c r="A17" s="1">
        <v>10</v>
      </c>
      <c r="B17" s="14" t="s">
        <v>21</v>
      </c>
    </row>
    <row r="18" spans="1:2">
      <c r="A18" s="1">
        <v>11</v>
      </c>
      <c r="B18" s="16" t="s">
        <v>22</v>
      </c>
    </row>
    <row r="19" spans="1:2">
      <c r="A19" s="1">
        <v>12</v>
      </c>
      <c r="B19" s="16" t="s">
        <v>23</v>
      </c>
    </row>
    <row r="20" spans="1:2">
      <c r="A20" s="1">
        <v>13</v>
      </c>
      <c r="B20" s="17" t="s">
        <v>24</v>
      </c>
    </row>
    <row r="21" spans="1:2">
      <c r="A21" s="1">
        <v>14</v>
      </c>
      <c r="B21" s="11" t="s">
        <v>25</v>
      </c>
    </row>
    <row r="22" spans="1:2">
      <c r="A22" s="18">
        <v>15</v>
      </c>
      <c r="B22" s="16" t="s">
        <v>26</v>
      </c>
    </row>
    <row r="23" spans="1:2">
      <c r="A23" s="19"/>
      <c r="B23" s="20"/>
    </row>
    <row r="24" spans="1:2">
      <c r="A24" s="19"/>
      <c r="B24" s="20"/>
    </row>
    <row r="25" spans="1:2">
      <c r="A25" s="19"/>
      <c r="B25" s="20"/>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view="pageBreakPreview" zoomScale="60" zoomScaleNormal="100" workbookViewId="0">
      <pane xSplit="1" ySplit="5" topLeftCell="B36" activePane="bottomRight" state="frozen"/>
      <selection activeCell="P24" sqref="P24:Q24"/>
      <selection pane="topRight" activeCell="P24" sqref="P24:Q24"/>
      <selection pane="bottomLeft" activeCell="P24" sqref="P24:Q24"/>
      <selection pane="bottomRight" activeCell="P24" sqref="P24:Q24"/>
    </sheetView>
  </sheetViews>
  <sheetFormatPr defaultRowHeight="15"/>
  <cols>
    <col min="1" max="1" width="9.5703125" style="19" bestFit="1" customWidth="1"/>
    <col min="2" max="2" width="132.42578125" style="21" customWidth="1"/>
    <col min="3" max="3" width="18.42578125" style="299" customWidth="1"/>
    <col min="6" max="6" width="17.42578125" bestFit="1" customWidth="1"/>
  </cols>
  <sheetData>
    <row r="1" spans="1:6" ht="15.75">
      <c r="A1" s="22" t="s">
        <v>27</v>
      </c>
      <c r="B1" s="21" t="str">
        <f>'1. key ratios'!B1</f>
        <v>სს ტერაბანკი</v>
      </c>
      <c r="C1" s="21"/>
      <c r="D1" s="21"/>
      <c r="E1" s="21"/>
      <c r="F1" s="21"/>
    </row>
    <row r="2" spans="1:6" s="209" customFormat="1" ht="15.75" customHeight="1">
      <c r="A2" s="209" t="s">
        <v>29</v>
      </c>
      <c r="B2" s="86">
        <f>'1. key ratios'!B2</f>
        <v>43100</v>
      </c>
    </row>
    <row r="3" spans="1:6" s="209" customFormat="1" ht="15.75" customHeight="1"/>
    <row r="4" spans="1:6" ht="15.75" thickBot="1">
      <c r="A4" s="19" t="s">
        <v>284</v>
      </c>
      <c r="B4" s="268" t="s">
        <v>20</v>
      </c>
      <c r="C4" s="21"/>
    </row>
    <row r="5" spans="1:6">
      <c r="A5" s="269" t="s">
        <v>31</v>
      </c>
      <c r="B5" s="270"/>
      <c r="C5" s="271" t="s">
        <v>82</v>
      </c>
    </row>
    <row r="6" spans="1:6">
      <c r="A6" s="272">
        <v>1</v>
      </c>
      <c r="B6" s="273" t="s">
        <v>285</v>
      </c>
      <c r="C6" s="274">
        <f>SUM(C7:C11)</f>
        <v>114788413.99000004</v>
      </c>
    </row>
    <row r="7" spans="1:6">
      <c r="A7" s="272">
        <v>2</v>
      </c>
      <c r="B7" s="275" t="s">
        <v>286</v>
      </c>
      <c r="C7" s="276">
        <v>121372000</v>
      </c>
    </row>
    <row r="8" spans="1:6">
      <c r="A8" s="272">
        <v>3</v>
      </c>
      <c r="B8" s="277" t="s">
        <v>287</v>
      </c>
      <c r="C8" s="276">
        <v>0</v>
      </c>
    </row>
    <row r="9" spans="1:6">
      <c r="A9" s="272">
        <v>4</v>
      </c>
      <c r="B9" s="277" t="s">
        <v>288</v>
      </c>
      <c r="C9" s="276">
        <v>0</v>
      </c>
    </row>
    <row r="10" spans="1:6">
      <c r="A10" s="272">
        <v>5</v>
      </c>
      <c r="B10" s="277" t="s">
        <v>289</v>
      </c>
      <c r="C10" s="276">
        <v>0</v>
      </c>
    </row>
    <row r="11" spans="1:6">
      <c r="A11" s="272">
        <v>6</v>
      </c>
      <c r="B11" s="278" t="s">
        <v>290</v>
      </c>
      <c r="C11" s="279">
        <v>-6583586.0099999625</v>
      </c>
    </row>
    <row r="12" spans="1:6" s="255" customFormat="1">
      <c r="A12" s="272">
        <v>7</v>
      </c>
      <c r="B12" s="273" t="s">
        <v>291</v>
      </c>
      <c r="C12" s="280">
        <f>SUM(C13:C27)</f>
        <v>28369793</v>
      </c>
    </row>
    <row r="13" spans="1:6" s="255" customFormat="1">
      <c r="A13" s="272">
        <v>8</v>
      </c>
      <c r="B13" s="281" t="s">
        <v>292</v>
      </c>
      <c r="C13" s="282">
        <v>0</v>
      </c>
    </row>
    <row r="14" spans="1:6" s="255" customFormat="1" ht="25.5">
      <c r="A14" s="272">
        <v>9</v>
      </c>
      <c r="B14" s="283" t="s">
        <v>293</v>
      </c>
      <c r="C14" s="282">
        <v>0</v>
      </c>
    </row>
    <row r="15" spans="1:6" s="255" customFormat="1">
      <c r="A15" s="272">
        <v>10</v>
      </c>
      <c r="B15" s="284" t="s">
        <v>294</v>
      </c>
      <c r="C15" s="282">
        <v>28369793</v>
      </c>
    </row>
    <row r="16" spans="1:6" s="255" customFormat="1">
      <c r="A16" s="272">
        <v>11</v>
      </c>
      <c r="B16" s="285" t="s">
        <v>295</v>
      </c>
      <c r="C16" s="282">
        <v>0</v>
      </c>
    </row>
    <row r="17" spans="1:6" s="255" customFormat="1">
      <c r="A17" s="272">
        <v>12</v>
      </c>
      <c r="B17" s="284" t="s">
        <v>296</v>
      </c>
      <c r="C17" s="282">
        <v>0</v>
      </c>
    </row>
    <row r="18" spans="1:6" s="255" customFormat="1">
      <c r="A18" s="272">
        <v>13</v>
      </c>
      <c r="B18" s="284" t="s">
        <v>297</v>
      </c>
      <c r="C18" s="282">
        <v>0</v>
      </c>
    </row>
    <row r="19" spans="1:6" s="255" customFormat="1">
      <c r="A19" s="272">
        <v>14</v>
      </c>
      <c r="B19" s="284" t="s">
        <v>298</v>
      </c>
      <c r="C19" s="282">
        <v>0</v>
      </c>
    </row>
    <row r="20" spans="1:6" s="255" customFormat="1" ht="25.5">
      <c r="A20" s="272">
        <v>15</v>
      </c>
      <c r="B20" s="284" t="s">
        <v>299</v>
      </c>
      <c r="C20" s="282">
        <v>0</v>
      </c>
    </row>
    <row r="21" spans="1:6" s="255" customFormat="1" ht="25.5">
      <c r="A21" s="272">
        <v>16</v>
      </c>
      <c r="B21" s="283" t="s">
        <v>300</v>
      </c>
      <c r="C21" s="282">
        <v>0</v>
      </c>
    </row>
    <row r="22" spans="1:6" s="255" customFormat="1">
      <c r="A22" s="272">
        <v>17</v>
      </c>
      <c r="B22" s="286" t="s">
        <v>301</v>
      </c>
      <c r="C22" s="282">
        <v>0</v>
      </c>
    </row>
    <row r="23" spans="1:6" s="255" customFormat="1" ht="25.5">
      <c r="A23" s="272">
        <v>18</v>
      </c>
      <c r="B23" s="283" t="s">
        <v>302</v>
      </c>
      <c r="C23" s="282">
        <v>0</v>
      </c>
    </row>
    <row r="24" spans="1:6" s="255" customFormat="1" ht="25.5">
      <c r="A24" s="272">
        <v>19</v>
      </c>
      <c r="B24" s="283" t="s">
        <v>303</v>
      </c>
      <c r="C24" s="282">
        <v>0</v>
      </c>
    </row>
    <row r="25" spans="1:6" s="255" customFormat="1" ht="25.5">
      <c r="A25" s="272">
        <v>20</v>
      </c>
      <c r="B25" s="287" t="s">
        <v>304</v>
      </c>
      <c r="C25" s="282">
        <v>0</v>
      </c>
    </row>
    <row r="26" spans="1:6" s="255" customFormat="1">
      <c r="A26" s="272">
        <v>21</v>
      </c>
      <c r="B26" s="287" t="s">
        <v>305</v>
      </c>
      <c r="C26" s="282">
        <v>0</v>
      </c>
    </row>
    <row r="27" spans="1:6" s="255" customFormat="1" ht="25.5">
      <c r="A27" s="272">
        <v>22</v>
      </c>
      <c r="B27" s="287" t="s">
        <v>306</v>
      </c>
      <c r="C27" s="282">
        <v>0</v>
      </c>
    </row>
    <row r="28" spans="1:6" s="255" customFormat="1">
      <c r="A28" s="272">
        <v>23</v>
      </c>
      <c r="B28" s="288" t="s">
        <v>39</v>
      </c>
      <c r="C28" s="280">
        <f>C6-C12</f>
        <v>86418620.990000039</v>
      </c>
    </row>
    <row r="29" spans="1:6" s="255" customFormat="1">
      <c r="A29" s="289"/>
      <c r="B29" s="290"/>
      <c r="C29" s="282"/>
    </row>
    <row r="30" spans="1:6" s="255" customFormat="1">
      <c r="A30" s="289">
        <v>24</v>
      </c>
      <c r="B30" s="288" t="s">
        <v>307</v>
      </c>
      <c r="C30" s="280">
        <f>C31+C34</f>
        <v>0</v>
      </c>
      <c r="F30" s="291"/>
    </row>
    <row r="31" spans="1:6" s="255" customFormat="1">
      <c r="A31" s="289">
        <v>25</v>
      </c>
      <c r="B31" s="277" t="s">
        <v>308</v>
      </c>
      <c r="C31" s="292">
        <f>C32+C33</f>
        <v>0</v>
      </c>
      <c r="F31" s="293"/>
    </row>
    <row r="32" spans="1:6" s="255" customFormat="1">
      <c r="A32" s="289">
        <v>26</v>
      </c>
      <c r="B32" s="294" t="s">
        <v>309</v>
      </c>
      <c r="C32" s="282">
        <v>0</v>
      </c>
      <c r="F32" s="293"/>
    </row>
    <row r="33" spans="1:6" s="255" customFormat="1">
      <c r="A33" s="289">
        <v>27</v>
      </c>
      <c r="B33" s="294" t="s">
        <v>310</v>
      </c>
      <c r="C33" s="282">
        <v>0</v>
      </c>
      <c r="F33" s="293"/>
    </row>
    <row r="34" spans="1:6" s="255" customFormat="1">
      <c r="A34" s="289">
        <v>28</v>
      </c>
      <c r="B34" s="277" t="s">
        <v>311</v>
      </c>
      <c r="C34" s="282">
        <v>0</v>
      </c>
      <c r="F34" s="293"/>
    </row>
    <row r="35" spans="1:6" s="255" customFormat="1">
      <c r="A35" s="289">
        <v>29</v>
      </c>
      <c r="B35" s="288" t="s">
        <v>312</v>
      </c>
      <c r="C35" s="280">
        <f>SUM(C36:C40)</f>
        <v>0</v>
      </c>
      <c r="F35" s="293"/>
    </row>
    <row r="36" spans="1:6" s="255" customFormat="1">
      <c r="A36" s="289">
        <v>30</v>
      </c>
      <c r="B36" s="283" t="s">
        <v>313</v>
      </c>
      <c r="C36" s="282">
        <v>0</v>
      </c>
      <c r="F36" s="293"/>
    </row>
    <row r="37" spans="1:6" s="255" customFormat="1">
      <c r="A37" s="289">
        <v>31</v>
      </c>
      <c r="B37" s="284" t="s">
        <v>314</v>
      </c>
      <c r="C37" s="282">
        <v>0</v>
      </c>
      <c r="F37" s="293"/>
    </row>
    <row r="38" spans="1:6" s="255" customFormat="1" ht="25.5">
      <c r="A38" s="289">
        <v>32</v>
      </c>
      <c r="B38" s="283" t="s">
        <v>315</v>
      </c>
      <c r="C38" s="282">
        <v>0</v>
      </c>
      <c r="F38" s="293"/>
    </row>
    <row r="39" spans="1:6" s="255" customFormat="1" ht="25.5">
      <c r="A39" s="289">
        <v>33</v>
      </c>
      <c r="B39" s="283" t="s">
        <v>303</v>
      </c>
      <c r="C39" s="282">
        <v>0</v>
      </c>
      <c r="F39" s="293"/>
    </row>
    <row r="40" spans="1:6" s="255" customFormat="1" ht="25.5">
      <c r="A40" s="289">
        <v>34</v>
      </c>
      <c r="B40" s="287" t="s">
        <v>316</v>
      </c>
      <c r="C40" s="282">
        <v>0</v>
      </c>
      <c r="F40" s="293"/>
    </row>
    <row r="41" spans="1:6" s="255" customFormat="1">
      <c r="A41" s="289">
        <v>35</v>
      </c>
      <c r="B41" s="288" t="s">
        <v>317</v>
      </c>
      <c r="C41" s="280">
        <f>C30-C35</f>
        <v>0</v>
      </c>
      <c r="F41" s="293"/>
    </row>
    <row r="42" spans="1:6" s="255" customFormat="1">
      <c r="A42" s="289"/>
      <c r="B42" s="290"/>
      <c r="C42" s="282"/>
      <c r="F42" s="293"/>
    </row>
    <row r="43" spans="1:6" s="255" customFormat="1">
      <c r="A43" s="289">
        <v>36</v>
      </c>
      <c r="B43" s="295" t="s">
        <v>318</v>
      </c>
      <c r="C43" s="280">
        <f>SUM(C44:C46)</f>
        <v>35691168.430725515</v>
      </c>
      <c r="F43" s="293"/>
    </row>
    <row r="44" spans="1:6" s="255" customFormat="1">
      <c r="A44" s="289">
        <v>37</v>
      </c>
      <c r="B44" s="277" t="s">
        <v>319</v>
      </c>
      <c r="C44" s="282">
        <v>27737872.390000001</v>
      </c>
      <c r="F44" s="293"/>
    </row>
    <row r="45" spans="1:6" s="255" customFormat="1">
      <c r="A45" s="289">
        <v>38</v>
      </c>
      <c r="B45" s="277" t="s">
        <v>320</v>
      </c>
      <c r="C45" s="282">
        <v>0</v>
      </c>
      <c r="F45" s="293"/>
    </row>
    <row r="46" spans="1:6" s="255" customFormat="1">
      <c r="A46" s="289">
        <v>39</v>
      </c>
      <c r="B46" s="277" t="s">
        <v>321</v>
      </c>
      <c r="C46" s="282">
        <v>7953296.0407255134</v>
      </c>
      <c r="F46" s="293"/>
    </row>
    <row r="47" spans="1:6" s="255" customFormat="1">
      <c r="A47" s="289">
        <v>40</v>
      </c>
      <c r="B47" s="295" t="s">
        <v>322</v>
      </c>
      <c r="C47" s="280">
        <f>SUM(C48:C51)</f>
        <v>0</v>
      </c>
      <c r="F47" s="293"/>
    </row>
    <row r="48" spans="1:6" s="255" customFormat="1">
      <c r="A48" s="289">
        <v>41</v>
      </c>
      <c r="B48" s="283" t="s">
        <v>323</v>
      </c>
      <c r="C48" s="282">
        <v>0</v>
      </c>
      <c r="F48" s="293"/>
    </row>
    <row r="49" spans="1:6" s="255" customFormat="1">
      <c r="A49" s="289">
        <v>42</v>
      </c>
      <c r="B49" s="284" t="s">
        <v>324</v>
      </c>
      <c r="C49" s="282">
        <v>0</v>
      </c>
      <c r="F49" s="293"/>
    </row>
    <row r="50" spans="1:6" s="255" customFormat="1" ht="25.5">
      <c r="A50" s="289">
        <v>43</v>
      </c>
      <c r="B50" s="283" t="s">
        <v>325</v>
      </c>
      <c r="C50" s="282">
        <v>0</v>
      </c>
      <c r="F50" s="293"/>
    </row>
    <row r="51" spans="1:6" s="255" customFormat="1" ht="25.5">
      <c r="A51" s="289">
        <v>44</v>
      </c>
      <c r="B51" s="283" t="s">
        <v>303</v>
      </c>
      <c r="C51" s="282">
        <v>0</v>
      </c>
      <c r="F51" s="293"/>
    </row>
    <row r="52" spans="1:6" s="255" customFormat="1" ht="15.75" thickBot="1">
      <c r="A52" s="296">
        <v>45</v>
      </c>
      <c r="B52" s="297" t="s">
        <v>326</v>
      </c>
      <c r="C52" s="298">
        <f>C43-C47</f>
        <v>35691168.430725515</v>
      </c>
      <c r="F52" s="293"/>
    </row>
    <row r="53" spans="1:6">
      <c r="F53" s="293"/>
    </row>
    <row r="54" spans="1:6">
      <c r="F54" s="293"/>
    </row>
    <row r="55" spans="1:6">
      <c r="B55" s="21" t="s">
        <v>327</v>
      </c>
      <c r="F55" s="293"/>
    </row>
    <row r="56" spans="1:6">
      <c r="F56" s="293"/>
    </row>
    <row r="57" spans="1:6">
      <c r="F57" s="293"/>
    </row>
    <row r="58" spans="1:6">
      <c r="F58" s="293"/>
    </row>
    <row r="59" spans="1:6">
      <c r="F59" s="293"/>
    </row>
    <row r="60" spans="1:6">
      <c r="F60" s="293"/>
    </row>
    <row r="61" spans="1:6">
      <c r="F61" s="293"/>
    </row>
    <row r="62" spans="1:6">
      <c r="F62" s="293"/>
    </row>
    <row r="63" spans="1:6">
      <c r="F63" s="293"/>
    </row>
    <row r="64" spans="1:6">
      <c r="F64" s="293"/>
    </row>
    <row r="65" spans="6:6">
      <c r="F65" s="293"/>
    </row>
    <row r="66" spans="6:6">
      <c r="F66" s="293"/>
    </row>
    <row r="67" spans="6:6">
      <c r="F67" s="293"/>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2" tint="-0.249977111117893"/>
    <pageSetUpPr fitToPage="1"/>
  </sheetPr>
  <dimension ref="A1:F43"/>
  <sheetViews>
    <sheetView view="pageBreakPreview" zoomScale="60" zoomScaleNormal="100" workbookViewId="0">
      <pane xSplit="1" ySplit="5" topLeftCell="B15" activePane="bottomRight" state="frozen"/>
      <selection activeCell="P24" sqref="P24:Q24"/>
      <selection pane="topRight" activeCell="P24" sqref="P24:Q24"/>
      <selection pane="bottomLeft" activeCell="P24" sqref="P24:Q24"/>
      <selection pane="bottomRight" activeCell="C41" sqref="C41"/>
    </sheetView>
  </sheetViews>
  <sheetFormatPr defaultRowHeight="15.75"/>
  <cols>
    <col min="1" max="1" width="10.7109375" style="301" customWidth="1"/>
    <col min="2" max="2" width="91.85546875" style="301" customWidth="1"/>
    <col min="3" max="3" width="53.140625" style="301" customWidth="1"/>
    <col min="4" max="4" width="32.28515625" style="301" customWidth="1"/>
    <col min="5" max="5" width="9.42578125" customWidth="1"/>
  </cols>
  <sheetData>
    <row r="1" spans="1:6">
      <c r="A1" s="300" t="s">
        <v>27</v>
      </c>
      <c r="B1" s="21" t="str">
        <f>'1. key ratios'!B1</f>
        <v>სს ტერაბანკი</v>
      </c>
      <c r="E1" s="21"/>
      <c r="F1" s="21"/>
    </row>
    <row r="2" spans="1:6" s="209" customFormat="1" ht="15.75" customHeight="1">
      <c r="A2" s="302" t="s">
        <v>29</v>
      </c>
      <c r="B2" s="86">
        <f>'1. key ratios'!B2</f>
        <v>43100</v>
      </c>
    </row>
    <row r="3" spans="1:6" s="209" customFormat="1" ht="15.75" customHeight="1">
      <c r="A3" s="302"/>
    </row>
    <row r="4" spans="1:6" s="209" customFormat="1" ht="15.75" customHeight="1" thickBot="1">
      <c r="A4" s="209" t="s">
        <v>328</v>
      </c>
      <c r="B4" s="303" t="s">
        <v>21</v>
      </c>
      <c r="D4" s="304" t="s">
        <v>78</v>
      </c>
    </row>
    <row r="5" spans="1:6" ht="38.25">
      <c r="A5" s="305" t="s">
        <v>31</v>
      </c>
      <c r="B5" s="306" t="s">
        <v>266</v>
      </c>
      <c r="C5" s="307" t="s">
        <v>329</v>
      </c>
      <c r="D5" s="308" t="s">
        <v>330</v>
      </c>
    </row>
    <row r="6" spans="1:6">
      <c r="A6" s="309">
        <v>1</v>
      </c>
      <c r="B6" s="310" t="s">
        <v>85</v>
      </c>
      <c r="C6" s="311">
        <f>'2. RC'!E7</f>
        <v>42289484.480000004</v>
      </c>
      <c r="D6" s="312"/>
      <c r="E6" s="313"/>
    </row>
    <row r="7" spans="1:6">
      <c r="A7" s="309">
        <v>2</v>
      </c>
      <c r="B7" s="314" t="s">
        <v>86</v>
      </c>
      <c r="C7" s="311">
        <f>'2. RC'!E8</f>
        <v>92123843.370000005</v>
      </c>
      <c r="D7" s="315"/>
      <c r="E7" s="313"/>
    </row>
    <row r="8" spans="1:6">
      <c r="A8" s="309">
        <v>3</v>
      </c>
      <c r="B8" s="314" t="s">
        <v>87</v>
      </c>
      <c r="C8" s="311">
        <f>'2. RC'!E9</f>
        <v>32971821.84</v>
      </c>
      <c r="D8" s="315"/>
      <c r="E8" s="313"/>
    </row>
    <row r="9" spans="1:6">
      <c r="A9" s="309">
        <v>4</v>
      </c>
      <c r="B9" s="314" t="s">
        <v>88</v>
      </c>
      <c r="C9" s="311">
        <f>'2. RC'!E10</f>
        <v>0</v>
      </c>
      <c r="D9" s="315"/>
      <c r="E9" s="313"/>
    </row>
    <row r="10" spans="1:6">
      <c r="A10" s="309">
        <v>5</v>
      </c>
      <c r="B10" s="314" t="s">
        <v>89</v>
      </c>
      <c r="C10" s="311">
        <f>'2. RC'!E11</f>
        <v>51915692.320000008</v>
      </c>
      <c r="D10" s="315"/>
      <c r="E10" s="313"/>
    </row>
    <row r="11" spans="1:6">
      <c r="A11" s="309">
        <v>6.1</v>
      </c>
      <c r="B11" s="314" t="s">
        <v>90</v>
      </c>
      <c r="C11" s="316">
        <f>'2. RC'!E12</f>
        <v>591195068.37000072</v>
      </c>
      <c r="D11" s="317"/>
      <c r="E11" s="318"/>
    </row>
    <row r="12" spans="1:6">
      <c r="A12" s="309">
        <v>6.2</v>
      </c>
      <c r="B12" s="319" t="s">
        <v>91</v>
      </c>
      <c r="C12" s="316">
        <f>'2. RC'!E13</f>
        <v>-42919692.970000148</v>
      </c>
      <c r="D12" s="320" t="s">
        <v>331</v>
      </c>
      <c r="E12" s="318"/>
    </row>
    <row r="13" spans="1:6">
      <c r="A13" s="309" t="s">
        <v>332</v>
      </c>
      <c r="B13" s="319" t="s">
        <v>333</v>
      </c>
      <c r="C13" s="321">
        <f>-'5. RWA'!C6*1.25%</f>
        <v>-7953296.0407255134</v>
      </c>
      <c r="D13" s="320" t="s">
        <v>331</v>
      </c>
      <c r="E13" s="318"/>
    </row>
    <row r="14" spans="1:6">
      <c r="A14" s="309" t="s">
        <v>334</v>
      </c>
      <c r="B14" s="319" t="s">
        <v>335</v>
      </c>
      <c r="C14" s="321">
        <v>-10180858.080000026</v>
      </c>
      <c r="D14" s="320" t="s">
        <v>331</v>
      </c>
      <c r="E14" s="318"/>
    </row>
    <row r="15" spans="1:6">
      <c r="A15" s="309">
        <v>6</v>
      </c>
      <c r="B15" s="314" t="s">
        <v>92</v>
      </c>
      <c r="C15" s="322">
        <f>C11+C12</f>
        <v>548275375.40000057</v>
      </c>
      <c r="D15" s="317"/>
      <c r="E15" s="313"/>
    </row>
    <row r="16" spans="1:6">
      <c r="A16" s="309">
        <v>7</v>
      </c>
      <c r="B16" s="314" t="s">
        <v>93</v>
      </c>
      <c r="C16" s="323">
        <f>'2. RC'!E15</f>
        <v>5718600.2700000005</v>
      </c>
      <c r="D16" s="315"/>
      <c r="E16" s="313"/>
    </row>
    <row r="17" spans="1:5">
      <c r="A17" s="309">
        <v>8</v>
      </c>
      <c r="B17" s="314" t="s">
        <v>94</v>
      </c>
      <c r="C17" s="323">
        <f>'2. RC'!E16</f>
        <v>5922475.5299999993</v>
      </c>
      <c r="D17" s="315"/>
      <c r="E17" s="313"/>
    </row>
    <row r="18" spans="1:5">
      <c r="A18" s="309">
        <v>9</v>
      </c>
      <c r="B18" s="314" t="s">
        <v>95</v>
      </c>
      <c r="C18" s="323">
        <f>'2. RC'!E17</f>
        <v>0</v>
      </c>
      <c r="D18" s="315"/>
      <c r="E18" s="313"/>
    </row>
    <row r="19" spans="1:5">
      <c r="A19" s="309">
        <v>9.1999999999999993</v>
      </c>
      <c r="B19" s="324" t="s">
        <v>336</v>
      </c>
      <c r="C19" s="325">
        <v>0</v>
      </c>
      <c r="D19" s="315"/>
      <c r="E19" s="313"/>
    </row>
    <row r="20" spans="1:5">
      <c r="A20" s="309">
        <v>10</v>
      </c>
      <c r="B20" s="314" t="s">
        <v>96</v>
      </c>
      <c r="C20" s="323">
        <f>'2. RC'!E18</f>
        <v>45304257.00999999</v>
      </c>
      <c r="D20" s="315"/>
      <c r="E20" s="313"/>
    </row>
    <row r="21" spans="1:5">
      <c r="A21" s="309">
        <v>10.1</v>
      </c>
      <c r="B21" s="324" t="s">
        <v>337</v>
      </c>
      <c r="C21" s="323">
        <f>'9. Capital'!C15</f>
        <v>28369793</v>
      </c>
      <c r="D21" s="320" t="s">
        <v>338</v>
      </c>
      <c r="E21" s="313"/>
    </row>
    <row r="22" spans="1:5">
      <c r="A22" s="309">
        <v>11</v>
      </c>
      <c r="B22" s="326" t="s">
        <v>97</v>
      </c>
      <c r="C22" s="327">
        <f>'2. RC'!E19</f>
        <v>3393144.0261999997</v>
      </c>
      <c r="D22" s="328"/>
      <c r="E22" s="313"/>
    </row>
    <row r="23" spans="1:5">
      <c r="A23" s="309">
        <v>12</v>
      </c>
      <c r="B23" s="329" t="s">
        <v>98</v>
      </c>
      <c r="C23" s="330">
        <f>SUM(C6:C10,C15:C18,C20,C22)</f>
        <v>827914694.24620056</v>
      </c>
      <c r="D23" s="331"/>
      <c r="E23" s="332"/>
    </row>
    <row r="24" spans="1:5">
      <c r="A24" s="309">
        <v>13</v>
      </c>
      <c r="B24" s="314" t="s">
        <v>100</v>
      </c>
      <c r="C24" s="333">
        <f>'2. RC'!E22</f>
        <v>16937395.670000002</v>
      </c>
      <c r="D24" s="334"/>
      <c r="E24" s="313"/>
    </row>
    <row r="25" spans="1:5">
      <c r="A25" s="309">
        <v>14</v>
      </c>
      <c r="B25" s="314" t="s">
        <v>101</v>
      </c>
      <c r="C25" s="333">
        <f>'2. RC'!E23</f>
        <v>141291651.03000051</v>
      </c>
      <c r="D25" s="315"/>
      <c r="E25" s="313"/>
    </row>
    <row r="26" spans="1:5">
      <c r="A26" s="309">
        <v>15</v>
      </c>
      <c r="B26" s="314" t="s">
        <v>102</v>
      </c>
      <c r="C26" s="333">
        <f>'2. RC'!E24</f>
        <v>223206665.02000001</v>
      </c>
      <c r="D26" s="315"/>
      <c r="E26" s="313"/>
    </row>
    <row r="27" spans="1:5">
      <c r="A27" s="309">
        <v>16</v>
      </c>
      <c r="B27" s="314" t="s">
        <v>103</v>
      </c>
      <c r="C27" s="333">
        <f>'2. RC'!E25</f>
        <v>215288099.03000006</v>
      </c>
      <c r="D27" s="315"/>
      <c r="E27" s="313"/>
    </row>
    <row r="28" spans="1:5">
      <c r="A28" s="309">
        <v>17</v>
      </c>
      <c r="B28" s="314" t="s">
        <v>104</v>
      </c>
      <c r="C28" s="333">
        <f>'2. RC'!E26</f>
        <v>0</v>
      </c>
      <c r="D28" s="315"/>
      <c r="E28" s="313"/>
    </row>
    <row r="29" spans="1:5">
      <c r="A29" s="309">
        <v>18</v>
      </c>
      <c r="B29" s="314" t="s">
        <v>105</v>
      </c>
      <c r="C29" s="333">
        <f>'2. RC'!E27</f>
        <v>64762789</v>
      </c>
      <c r="D29" s="315"/>
      <c r="E29" s="313"/>
    </row>
    <row r="30" spans="1:5">
      <c r="A30" s="309">
        <v>19</v>
      </c>
      <c r="B30" s="314" t="s">
        <v>106</v>
      </c>
      <c r="C30" s="333">
        <f>'2. RC'!E28</f>
        <v>2995890.8</v>
      </c>
      <c r="D30" s="315"/>
      <c r="E30" s="313"/>
    </row>
    <row r="31" spans="1:5">
      <c r="A31" s="309">
        <v>20</v>
      </c>
      <c r="B31" s="314" t="s">
        <v>107</v>
      </c>
      <c r="C31" s="333">
        <f>'2. RC'!E29</f>
        <v>17016816.859999999</v>
      </c>
      <c r="D31" s="320" t="s">
        <v>331</v>
      </c>
      <c r="E31" s="313"/>
    </row>
    <row r="32" spans="1:5">
      <c r="A32" s="309">
        <v>20.100000000000001</v>
      </c>
      <c r="B32" s="326" t="s">
        <v>339</v>
      </c>
      <c r="C32" s="335">
        <v>887198.09000000032</v>
      </c>
      <c r="D32" s="320" t="s">
        <v>331</v>
      </c>
      <c r="E32" s="313"/>
    </row>
    <row r="33" spans="1:5">
      <c r="A33" s="309">
        <v>21</v>
      </c>
      <c r="B33" s="326" t="s">
        <v>108</v>
      </c>
      <c r="C33" s="333">
        <f>'2. RC'!E30</f>
        <v>31626971.84</v>
      </c>
      <c r="D33" s="328"/>
      <c r="E33" s="313"/>
    </row>
    <row r="34" spans="1:5">
      <c r="A34" s="309">
        <v>21.1</v>
      </c>
      <c r="B34" s="336" t="s">
        <v>340</v>
      </c>
      <c r="C34" s="333">
        <v>27737872.390000001</v>
      </c>
      <c r="D34" s="320" t="s">
        <v>341</v>
      </c>
      <c r="E34" s="313"/>
    </row>
    <row r="35" spans="1:5">
      <c r="A35" s="309">
        <v>22</v>
      </c>
      <c r="B35" s="329" t="s">
        <v>109</v>
      </c>
      <c r="C35" s="330">
        <f>SUM(C24:C31)+C33</f>
        <v>713126279.2500006</v>
      </c>
      <c r="D35" s="331"/>
      <c r="E35" s="332"/>
    </row>
    <row r="36" spans="1:5">
      <c r="A36" s="309">
        <v>23</v>
      </c>
      <c r="B36" s="326" t="s">
        <v>111</v>
      </c>
      <c r="C36" s="323">
        <f>'2. RC'!E33</f>
        <v>121372000</v>
      </c>
      <c r="D36" s="320" t="s">
        <v>342</v>
      </c>
      <c r="E36" s="313"/>
    </row>
    <row r="37" spans="1:5">
      <c r="A37" s="309">
        <v>24</v>
      </c>
      <c r="B37" s="326" t="s">
        <v>112</v>
      </c>
      <c r="C37" s="337">
        <f>'2. RC'!E34</f>
        <v>0</v>
      </c>
      <c r="D37" s="315"/>
      <c r="E37" s="313"/>
    </row>
    <row r="38" spans="1:5">
      <c r="A38" s="309">
        <v>25</v>
      </c>
      <c r="B38" s="326" t="s">
        <v>343</v>
      </c>
      <c r="C38" s="337">
        <f>'2. RC'!E35</f>
        <v>0</v>
      </c>
      <c r="D38" s="315"/>
      <c r="E38" s="313"/>
    </row>
    <row r="39" spans="1:5">
      <c r="A39" s="309">
        <v>26</v>
      </c>
      <c r="B39" s="326" t="s">
        <v>114</v>
      </c>
      <c r="C39" s="337">
        <f>'2. RC'!E36</f>
        <v>0</v>
      </c>
      <c r="D39" s="315"/>
      <c r="E39" s="313"/>
    </row>
    <row r="40" spans="1:5">
      <c r="A40" s="309">
        <v>27</v>
      </c>
      <c r="B40" s="326" t="s">
        <v>115</v>
      </c>
      <c r="C40" s="337">
        <f>'2. RC'!E37</f>
        <v>0</v>
      </c>
      <c r="D40" s="315"/>
      <c r="E40" s="313"/>
    </row>
    <row r="41" spans="1:5">
      <c r="A41" s="309">
        <v>28</v>
      </c>
      <c r="B41" s="326" t="s">
        <v>116</v>
      </c>
      <c r="C41" s="338">
        <f>'2. RC'!E38</f>
        <v>-6583586.0000000075</v>
      </c>
      <c r="D41" s="320" t="s">
        <v>344</v>
      </c>
      <c r="E41" s="313"/>
    </row>
    <row r="42" spans="1:5">
      <c r="A42" s="309">
        <v>29</v>
      </c>
      <c r="B42" s="326" t="s">
        <v>292</v>
      </c>
      <c r="C42" s="337">
        <f>'2. RC'!E39</f>
        <v>0</v>
      </c>
      <c r="D42" s="320" t="s">
        <v>345</v>
      </c>
      <c r="E42" s="313"/>
    </row>
    <row r="43" spans="1:5" ht="16.5" thickBot="1">
      <c r="A43" s="339">
        <v>30</v>
      </c>
      <c r="B43" s="340" t="s">
        <v>118</v>
      </c>
      <c r="C43" s="341">
        <f>SUM(C36:C42)</f>
        <v>114788414</v>
      </c>
      <c r="D43" s="342"/>
      <c r="E43" s="332"/>
    </row>
  </sheetData>
  <pageMargins left="0.7" right="0.7" top="0.75" bottom="0.75" header="0.3" footer="0.3"/>
  <pageSetup paperSize="9" scale="46"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view="pageBreakPreview" zoomScale="60" zoomScaleNormal="100" workbookViewId="0">
      <pane xSplit="2" ySplit="7" topLeftCell="C8" activePane="bottomRight" state="frozen"/>
      <selection activeCell="P24" sqref="P24:Q24"/>
      <selection pane="topRight" activeCell="P24" sqref="P24:Q24"/>
      <selection pane="bottomLeft" activeCell="P24" sqref="P24:Q24"/>
      <selection pane="bottomRight" activeCell="P34" sqref="P34"/>
    </sheetView>
  </sheetViews>
  <sheetFormatPr defaultColWidth="9.140625" defaultRowHeight="12.75"/>
  <cols>
    <col min="1" max="1" width="10.5703125" style="21" bestFit="1" customWidth="1"/>
    <col min="2" max="2" width="105.140625" style="21" bestFit="1" customWidth="1"/>
    <col min="3" max="3" width="11.28515625" style="21" bestFit="1" customWidth="1"/>
    <col min="4" max="4" width="13.28515625" style="21" bestFit="1" customWidth="1"/>
    <col min="5" max="5" width="11" style="21" bestFit="1" customWidth="1"/>
    <col min="6" max="6" width="13.28515625" style="21" bestFit="1" customWidth="1"/>
    <col min="7" max="7" width="9.42578125" style="21" bestFit="1" customWidth="1"/>
    <col min="8" max="8" width="13.28515625" style="21" bestFit="1" customWidth="1"/>
    <col min="9" max="9" width="11" style="21" bestFit="1" customWidth="1"/>
    <col min="10" max="10" width="13.28515625" style="21" bestFit="1" customWidth="1"/>
    <col min="11" max="11" width="12" style="21" bestFit="1" customWidth="1"/>
    <col min="12" max="12" width="13.28515625" style="21" bestFit="1" customWidth="1"/>
    <col min="13" max="13" width="12" style="21" bestFit="1" customWidth="1"/>
    <col min="14" max="14" width="13.28515625" style="21" bestFit="1" customWidth="1"/>
    <col min="15" max="15" width="10" style="21" bestFit="1" customWidth="1"/>
    <col min="16" max="16" width="13.28515625" style="21" bestFit="1" customWidth="1"/>
    <col min="17" max="17" width="9.42578125" style="21" bestFit="1" customWidth="1"/>
    <col min="18" max="18" width="13.28515625" style="21" bestFit="1" customWidth="1"/>
    <col min="19" max="19" width="33" style="21" bestFit="1" customWidth="1"/>
    <col min="20" max="16384" width="9.140625" style="132"/>
  </cols>
  <sheetData>
    <row r="1" spans="1:19">
      <c r="A1" s="21" t="s">
        <v>27</v>
      </c>
      <c r="B1" s="21" t="str">
        <f>'1. key ratios'!B1</f>
        <v>სს ტერაბანკი</v>
      </c>
    </row>
    <row r="2" spans="1:19">
      <c r="A2" s="21" t="s">
        <v>29</v>
      </c>
      <c r="B2" s="86">
        <f>'1. key ratios'!B2</f>
        <v>43100</v>
      </c>
    </row>
    <row r="4" spans="1:19" ht="26.25" thickBot="1">
      <c r="A4" s="343" t="s">
        <v>346</v>
      </c>
      <c r="B4" s="344" t="s">
        <v>347</v>
      </c>
    </row>
    <row r="5" spans="1:19">
      <c r="A5" s="345"/>
      <c r="B5" s="346"/>
      <c r="C5" s="347" t="s">
        <v>263</v>
      </c>
      <c r="D5" s="347" t="s">
        <v>264</v>
      </c>
      <c r="E5" s="347" t="s">
        <v>265</v>
      </c>
      <c r="F5" s="347" t="s">
        <v>348</v>
      </c>
      <c r="G5" s="347" t="s">
        <v>349</v>
      </c>
      <c r="H5" s="347" t="s">
        <v>350</v>
      </c>
      <c r="I5" s="347" t="s">
        <v>351</v>
      </c>
      <c r="J5" s="347" t="s">
        <v>352</v>
      </c>
      <c r="K5" s="347" t="s">
        <v>353</v>
      </c>
      <c r="L5" s="347" t="s">
        <v>354</v>
      </c>
      <c r="M5" s="347" t="s">
        <v>355</v>
      </c>
      <c r="N5" s="347" t="s">
        <v>356</v>
      </c>
      <c r="O5" s="347" t="s">
        <v>357</v>
      </c>
      <c r="P5" s="347" t="s">
        <v>358</v>
      </c>
      <c r="Q5" s="347" t="s">
        <v>359</v>
      </c>
      <c r="R5" s="348" t="s">
        <v>360</v>
      </c>
      <c r="S5" s="349" t="s">
        <v>361</v>
      </c>
    </row>
    <row r="6" spans="1:19" ht="46.5" customHeight="1">
      <c r="A6" s="350"/>
      <c r="B6" s="503" t="s">
        <v>362</v>
      </c>
      <c r="C6" s="499">
        <v>0</v>
      </c>
      <c r="D6" s="500"/>
      <c r="E6" s="499">
        <v>0.2</v>
      </c>
      <c r="F6" s="500"/>
      <c r="G6" s="499">
        <v>0.35</v>
      </c>
      <c r="H6" s="500"/>
      <c r="I6" s="499">
        <v>0.5</v>
      </c>
      <c r="J6" s="500"/>
      <c r="K6" s="499">
        <v>0.75</v>
      </c>
      <c r="L6" s="500"/>
      <c r="M6" s="499">
        <v>1</v>
      </c>
      <c r="N6" s="500"/>
      <c r="O6" s="499">
        <v>1.5</v>
      </c>
      <c r="P6" s="500"/>
      <c r="Q6" s="499">
        <v>2.5</v>
      </c>
      <c r="R6" s="500"/>
      <c r="S6" s="501" t="s">
        <v>363</v>
      </c>
    </row>
    <row r="7" spans="1:19">
      <c r="A7" s="350"/>
      <c r="B7" s="504"/>
      <c r="C7" s="351" t="s">
        <v>364</v>
      </c>
      <c r="D7" s="351" t="s">
        <v>365</v>
      </c>
      <c r="E7" s="351" t="s">
        <v>364</v>
      </c>
      <c r="F7" s="351" t="s">
        <v>365</v>
      </c>
      <c r="G7" s="351" t="s">
        <v>364</v>
      </c>
      <c r="H7" s="351" t="s">
        <v>365</v>
      </c>
      <c r="I7" s="351" t="s">
        <v>364</v>
      </c>
      <c r="J7" s="351" t="s">
        <v>365</v>
      </c>
      <c r="K7" s="351" t="s">
        <v>364</v>
      </c>
      <c r="L7" s="351" t="s">
        <v>365</v>
      </c>
      <c r="M7" s="351" t="s">
        <v>364</v>
      </c>
      <c r="N7" s="351" t="s">
        <v>365</v>
      </c>
      <c r="O7" s="351" t="s">
        <v>364</v>
      </c>
      <c r="P7" s="351" t="s">
        <v>365</v>
      </c>
      <c r="Q7" s="351" t="s">
        <v>364</v>
      </c>
      <c r="R7" s="351" t="s">
        <v>365</v>
      </c>
      <c r="S7" s="502"/>
    </row>
    <row r="8" spans="1:19" s="357" customFormat="1">
      <c r="A8" s="352">
        <v>1</v>
      </c>
      <c r="B8" s="353" t="s">
        <v>366</v>
      </c>
      <c r="C8" s="354">
        <v>69683448.530000001</v>
      </c>
      <c r="D8" s="355"/>
      <c r="E8" s="354">
        <v>0</v>
      </c>
      <c r="F8" s="356"/>
      <c r="G8" s="354">
        <v>0</v>
      </c>
      <c r="H8" s="355"/>
      <c r="I8" s="354">
        <v>0</v>
      </c>
      <c r="J8" s="355"/>
      <c r="K8" s="354">
        <v>0</v>
      </c>
      <c r="L8" s="355"/>
      <c r="M8" s="354">
        <v>76745957.320000008</v>
      </c>
      <c r="N8" s="355"/>
      <c r="O8" s="354">
        <v>0</v>
      </c>
      <c r="P8" s="355"/>
      <c r="Q8" s="354">
        <v>0</v>
      </c>
      <c r="R8" s="356"/>
      <c r="S8" s="474">
        <f>$C$6*SUM(C8:D8)+$E$6*SUM(E8:F8)+$G$6*SUM(G8:H8)+$I$6*SUM(I8:J8)+$K$6*SUM(K8:L8)+$M$6*SUM(M8:N8)+$O$6*SUM(O8:P8)+$Q$6*SUM(Q8:R8)</f>
        <v>76745957.320000008</v>
      </c>
    </row>
    <row r="9" spans="1:19" s="357" customFormat="1">
      <c r="A9" s="352">
        <v>2</v>
      </c>
      <c r="B9" s="353" t="s">
        <v>367</v>
      </c>
      <c r="C9" s="354">
        <v>0</v>
      </c>
      <c r="D9" s="355"/>
      <c r="E9" s="354">
        <v>0</v>
      </c>
      <c r="F9" s="355"/>
      <c r="G9" s="354">
        <v>0</v>
      </c>
      <c r="H9" s="355"/>
      <c r="I9" s="354">
        <v>0</v>
      </c>
      <c r="J9" s="355"/>
      <c r="K9" s="354">
        <v>0</v>
      </c>
      <c r="L9" s="355"/>
      <c r="M9" s="354">
        <v>0</v>
      </c>
      <c r="N9" s="355"/>
      <c r="O9" s="354">
        <v>0</v>
      </c>
      <c r="P9" s="355"/>
      <c r="Q9" s="354">
        <v>0</v>
      </c>
      <c r="R9" s="356"/>
      <c r="S9" s="474">
        <f t="shared" ref="S9:S21" si="0">$C$6*SUM(C9:D9)+$E$6*SUM(E9:F9)+$G$6*SUM(G9:H9)+$I$6*SUM(I9:J9)+$K$6*SUM(K9:L9)+$M$6*SUM(M9:N9)+$O$6*SUM(O9:P9)+$Q$6*SUM(Q9:R9)</f>
        <v>0</v>
      </c>
    </row>
    <row r="10" spans="1:19" s="357" customFormat="1">
      <c r="A10" s="352">
        <v>3</v>
      </c>
      <c r="B10" s="353" t="s">
        <v>368</v>
      </c>
      <c r="C10" s="354">
        <v>0</v>
      </c>
      <c r="D10" s="355"/>
      <c r="E10" s="354">
        <v>0</v>
      </c>
      <c r="F10" s="355"/>
      <c r="G10" s="354">
        <v>0</v>
      </c>
      <c r="H10" s="355"/>
      <c r="I10" s="354">
        <v>0</v>
      </c>
      <c r="J10" s="355"/>
      <c r="K10" s="354">
        <v>0</v>
      </c>
      <c r="L10" s="355"/>
      <c r="M10" s="354">
        <v>0</v>
      </c>
      <c r="N10" s="355"/>
      <c r="O10" s="354">
        <v>0</v>
      </c>
      <c r="P10" s="355"/>
      <c r="Q10" s="354">
        <v>0</v>
      </c>
      <c r="R10" s="356"/>
      <c r="S10" s="474">
        <f t="shared" si="0"/>
        <v>0</v>
      </c>
    </row>
    <row r="11" spans="1:19" s="357" customFormat="1">
      <c r="A11" s="352">
        <v>4</v>
      </c>
      <c r="B11" s="353" t="s">
        <v>369</v>
      </c>
      <c r="C11" s="354">
        <v>0</v>
      </c>
      <c r="D11" s="355"/>
      <c r="E11" s="354">
        <v>0</v>
      </c>
      <c r="F11" s="355"/>
      <c r="G11" s="354">
        <v>0</v>
      </c>
      <c r="H11" s="355"/>
      <c r="I11" s="354">
        <v>0</v>
      </c>
      <c r="J11" s="355"/>
      <c r="K11" s="354">
        <v>0</v>
      </c>
      <c r="L11" s="355"/>
      <c r="M11" s="354">
        <v>0</v>
      </c>
      <c r="N11" s="355"/>
      <c r="O11" s="354">
        <v>0</v>
      </c>
      <c r="P11" s="355"/>
      <c r="Q11" s="354">
        <v>0</v>
      </c>
      <c r="R11" s="356"/>
      <c r="S11" s="474">
        <f t="shared" si="0"/>
        <v>0</v>
      </c>
    </row>
    <row r="12" spans="1:19" s="357" customFormat="1">
      <c r="A12" s="352">
        <v>5</v>
      </c>
      <c r="B12" s="353" t="s">
        <v>370</v>
      </c>
      <c r="C12" s="354">
        <v>0</v>
      </c>
      <c r="D12" s="355"/>
      <c r="E12" s="354">
        <v>0</v>
      </c>
      <c r="F12" s="355"/>
      <c r="G12" s="354">
        <v>0</v>
      </c>
      <c r="H12" s="355"/>
      <c r="I12" s="354">
        <v>0</v>
      </c>
      <c r="J12" s="355"/>
      <c r="K12" s="354">
        <v>0</v>
      </c>
      <c r="L12" s="355"/>
      <c r="M12" s="354">
        <v>0</v>
      </c>
      <c r="N12" s="355"/>
      <c r="O12" s="354">
        <v>0</v>
      </c>
      <c r="P12" s="355"/>
      <c r="Q12" s="354">
        <v>0</v>
      </c>
      <c r="R12" s="356"/>
      <c r="S12" s="474">
        <f t="shared" si="0"/>
        <v>0</v>
      </c>
    </row>
    <row r="13" spans="1:19" s="357" customFormat="1">
      <c r="A13" s="352">
        <v>6</v>
      </c>
      <c r="B13" s="353" t="s">
        <v>371</v>
      </c>
      <c r="C13" s="354">
        <v>0</v>
      </c>
      <c r="D13" s="355"/>
      <c r="E13" s="354">
        <v>21955103.779999997</v>
      </c>
      <c r="F13" s="355"/>
      <c r="G13" s="354">
        <v>0</v>
      </c>
      <c r="H13" s="355"/>
      <c r="I13" s="354">
        <v>10723933.629999997</v>
      </c>
      <c r="J13" s="355"/>
      <c r="K13" s="354">
        <v>0</v>
      </c>
      <c r="L13" s="355"/>
      <c r="M13" s="354">
        <v>355907.86</v>
      </c>
      <c r="N13" s="355"/>
      <c r="O13" s="354">
        <v>0</v>
      </c>
      <c r="P13" s="355"/>
      <c r="Q13" s="354">
        <v>0</v>
      </c>
      <c r="R13" s="356"/>
      <c r="S13" s="474">
        <f t="shared" si="0"/>
        <v>10108895.430999998</v>
      </c>
    </row>
    <row r="14" spans="1:19" s="357" customFormat="1">
      <c r="A14" s="352">
        <v>7</v>
      </c>
      <c r="B14" s="353" t="s">
        <v>372</v>
      </c>
      <c r="C14" s="354">
        <v>0</v>
      </c>
      <c r="D14" s="355"/>
      <c r="E14" s="354">
        <v>0</v>
      </c>
      <c r="F14" s="355"/>
      <c r="G14" s="354">
        <v>0</v>
      </c>
      <c r="H14" s="355"/>
      <c r="I14" s="354">
        <v>0</v>
      </c>
      <c r="J14" s="355"/>
      <c r="K14" s="354">
        <v>0</v>
      </c>
      <c r="L14" s="355"/>
      <c r="M14" s="354">
        <v>103440348.08000001</v>
      </c>
      <c r="N14" s="355">
        <v>22026335.239999998</v>
      </c>
      <c r="O14" s="354">
        <v>0</v>
      </c>
      <c r="P14" s="355"/>
      <c r="Q14" s="354">
        <v>0</v>
      </c>
      <c r="R14" s="356"/>
      <c r="S14" s="474">
        <f t="shared" si="0"/>
        <v>125466683.32000001</v>
      </c>
    </row>
    <row r="15" spans="1:19" s="357" customFormat="1">
      <c r="A15" s="352">
        <v>8</v>
      </c>
      <c r="B15" s="353" t="s">
        <v>373</v>
      </c>
      <c r="C15" s="354">
        <v>0</v>
      </c>
      <c r="D15" s="355"/>
      <c r="E15" s="354">
        <v>0</v>
      </c>
      <c r="F15" s="355"/>
      <c r="G15" s="354">
        <v>0</v>
      </c>
      <c r="H15" s="355"/>
      <c r="I15" s="354">
        <v>0</v>
      </c>
      <c r="J15" s="355"/>
      <c r="K15" s="354">
        <v>201332687.81999883</v>
      </c>
      <c r="L15" s="355">
        <v>6445363.5360000087</v>
      </c>
      <c r="M15" s="354">
        <v>0</v>
      </c>
      <c r="N15" s="355"/>
      <c r="O15" s="354">
        <v>0</v>
      </c>
      <c r="P15" s="355"/>
      <c r="Q15" s="354">
        <v>0</v>
      </c>
      <c r="R15" s="356"/>
      <c r="S15" s="474">
        <f t="shared" si="0"/>
        <v>155833538.51699913</v>
      </c>
    </row>
    <row r="16" spans="1:19" s="357" customFormat="1">
      <c r="A16" s="352">
        <v>9</v>
      </c>
      <c r="B16" s="353" t="s">
        <v>374</v>
      </c>
      <c r="C16" s="354">
        <v>0</v>
      </c>
      <c r="D16" s="355"/>
      <c r="E16" s="354">
        <v>0</v>
      </c>
      <c r="F16" s="355"/>
      <c r="G16" s="354">
        <v>0</v>
      </c>
      <c r="H16" s="355"/>
      <c r="I16" s="354">
        <v>0</v>
      </c>
      <c r="J16" s="355"/>
      <c r="K16" s="354">
        <v>0</v>
      </c>
      <c r="L16" s="355"/>
      <c r="M16" s="354">
        <v>0</v>
      </c>
      <c r="N16" s="355"/>
      <c r="O16" s="354">
        <v>0</v>
      </c>
      <c r="P16" s="355"/>
      <c r="Q16" s="354">
        <v>0</v>
      </c>
      <c r="R16" s="356"/>
      <c r="S16" s="474">
        <f t="shared" si="0"/>
        <v>0</v>
      </c>
    </row>
    <row r="17" spans="1:19" s="357" customFormat="1">
      <c r="A17" s="352">
        <v>10</v>
      </c>
      <c r="B17" s="353" t="s">
        <v>375</v>
      </c>
      <c r="C17" s="354">
        <v>0</v>
      </c>
      <c r="D17" s="355"/>
      <c r="E17" s="354">
        <v>0</v>
      </c>
      <c r="F17" s="355"/>
      <c r="G17" s="354">
        <v>0</v>
      </c>
      <c r="H17" s="355"/>
      <c r="I17" s="354">
        <v>0</v>
      </c>
      <c r="J17" s="355"/>
      <c r="K17" s="354">
        <v>0</v>
      </c>
      <c r="L17" s="355"/>
      <c r="M17" s="354">
        <v>15421491.240000013</v>
      </c>
      <c r="N17" s="355"/>
      <c r="O17" s="354">
        <v>1824032.1400000001</v>
      </c>
      <c r="P17" s="355"/>
      <c r="Q17" s="354">
        <v>0</v>
      </c>
      <c r="R17" s="356"/>
      <c r="S17" s="474">
        <f t="shared" si="0"/>
        <v>18157539.450000014</v>
      </c>
    </row>
    <row r="18" spans="1:19" s="357" customFormat="1">
      <c r="A18" s="352">
        <v>11</v>
      </c>
      <c r="B18" s="353" t="s">
        <v>376</v>
      </c>
      <c r="C18" s="354">
        <v>0</v>
      </c>
      <c r="D18" s="355"/>
      <c r="E18" s="354">
        <v>0</v>
      </c>
      <c r="F18" s="355"/>
      <c r="G18" s="354">
        <v>0</v>
      </c>
      <c r="H18" s="355"/>
      <c r="I18" s="354">
        <v>0</v>
      </c>
      <c r="J18" s="355"/>
      <c r="K18" s="354">
        <v>0</v>
      </c>
      <c r="L18" s="355"/>
      <c r="M18" s="354">
        <v>27883213.640000001</v>
      </c>
      <c r="N18" s="355"/>
      <c r="O18" s="354">
        <v>8969373.4200000018</v>
      </c>
      <c r="P18" s="355"/>
      <c r="Q18" s="354">
        <v>0</v>
      </c>
      <c r="R18" s="356"/>
      <c r="S18" s="474">
        <f t="shared" si="0"/>
        <v>41337273.770000003</v>
      </c>
    </row>
    <row r="19" spans="1:19" s="357" customFormat="1">
      <c r="A19" s="352">
        <v>12</v>
      </c>
      <c r="B19" s="353" t="s">
        <v>377</v>
      </c>
      <c r="C19" s="354">
        <v>0</v>
      </c>
      <c r="D19" s="355"/>
      <c r="E19" s="354">
        <v>0</v>
      </c>
      <c r="F19" s="355"/>
      <c r="G19" s="354">
        <v>0</v>
      </c>
      <c r="H19" s="355"/>
      <c r="I19" s="354">
        <v>0</v>
      </c>
      <c r="J19" s="355"/>
      <c r="K19" s="354">
        <v>0</v>
      </c>
      <c r="L19" s="355"/>
      <c r="M19" s="354">
        <v>0</v>
      </c>
      <c r="N19" s="355"/>
      <c r="O19" s="354">
        <v>0</v>
      </c>
      <c r="P19" s="355"/>
      <c r="Q19" s="354">
        <v>0</v>
      </c>
      <c r="R19" s="356"/>
      <c r="S19" s="474">
        <f t="shared" si="0"/>
        <v>0</v>
      </c>
    </row>
    <row r="20" spans="1:19" s="357" customFormat="1">
      <c r="A20" s="352">
        <v>13</v>
      </c>
      <c r="B20" s="353" t="s">
        <v>378</v>
      </c>
      <c r="C20" s="354">
        <v>0</v>
      </c>
      <c r="D20" s="355"/>
      <c r="E20" s="354">
        <v>0</v>
      </c>
      <c r="F20" s="355"/>
      <c r="G20" s="354">
        <v>0</v>
      </c>
      <c r="H20" s="355"/>
      <c r="I20" s="354">
        <v>0</v>
      </c>
      <c r="J20" s="355"/>
      <c r="K20" s="354">
        <v>0</v>
      </c>
      <c r="L20" s="355"/>
      <c r="M20" s="354">
        <v>0</v>
      </c>
      <c r="N20" s="355"/>
      <c r="O20" s="354">
        <v>0</v>
      </c>
      <c r="P20" s="355"/>
      <c r="Q20" s="354">
        <v>0</v>
      </c>
      <c r="R20" s="356"/>
      <c r="S20" s="474">
        <f t="shared" si="0"/>
        <v>0</v>
      </c>
    </row>
    <row r="21" spans="1:19" s="357" customFormat="1">
      <c r="A21" s="352">
        <v>14</v>
      </c>
      <c r="B21" s="353" t="s">
        <v>379</v>
      </c>
      <c r="C21" s="354">
        <v>42276518.780000001</v>
      </c>
      <c r="D21" s="355"/>
      <c r="E21" s="354">
        <v>12965.7</v>
      </c>
      <c r="F21" s="355"/>
      <c r="G21" s="354">
        <v>0</v>
      </c>
      <c r="H21" s="355"/>
      <c r="I21" s="354">
        <v>0</v>
      </c>
      <c r="J21" s="355">
        <v>0</v>
      </c>
      <c r="K21" s="354">
        <v>0</v>
      </c>
      <c r="L21" s="355"/>
      <c r="M21" s="354">
        <v>229100777.02620178</v>
      </c>
      <c r="N21" s="355">
        <v>9482086.4319999982</v>
      </c>
      <c r="O21" s="354">
        <v>0</v>
      </c>
      <c r="P21" s="355"/>
      <c r="Q21" s="354">
        <v>0</v>
      </c>
      <c r="R21" s="356"/>
      <c r="S21" s="474">
        <f t="shared" si="0"/>
        <v>238585456.59820178</v>
      </c>
    </row>
    <row r="22" spans="1:19" ht="13.5" thickBot="1">
      <c r="A22" s="358"/>
      <c r="B22" s="359" t="s">
        <v>84</v>
      </c>
      <c r="C22" s="360">
        <f>SUM(C8:C21)</f>
        <v>111959967.31</v>
      </c>
      <c r="D22" s="360">
        <f t="shared" ref="D22:S22" si="1">SUM(D8:D21)</f>
        <v>0</v>
      </c>
      <c r="E22" s="360">
        <f t="shared" si="1"/>
        <v>21968069.479999997</v>
      </c>
      <c r="F22" s="360">
        <f t="shared" si="1"/>
        <v>0</v>
      </c>
      <c r="G22" s="360">
        <f t="shared" si="1"/>
        <v>0</v>
      </c>
      <c r="H22" s="360">
        <f t="shared" si="1"/>
        <v>0</v>
      </c>
      <c r="I22" s="360">
        <f>SUM(I8:I21)</f>
        <v>10723933.629999997</v>
      </c>
      <c r="J22" s="360">
        <f t="shared" si="1"/>
        <v>0</v>
      </c>
      <c r="K22" s="360">
        <f t="shared" si="1"/>
        <v>201332687.81999883</v>
      </c>
      <c r="L22" s="360">
        <f t="shared" si="1"/>
        <v>6445363.5360000087</v>
      </c>
      <c r="M22" s="360">
        <f t="shared" si="1"/>
        <v>452947695.16620183</v>
      </c>
      <c r="N22" s="360">
        <f>SUM(N8:N21)</f>
        <v>31508421.671999998</v>
      </c>
      <c r="O22" s="360">
        <f t="shared" si="1"/>
        <v>10793405.560000002</v>
      </c>
      <c r="P22" s="360">
        <f t="shared" si="1"/>
        <v>0</v>
      </c>
      <c r="Q22" s="360">
        <f t="shared" si="1"/>
        <v>0</v>
      </c>
      <c r="R22" s="360">
        <f t="shared" si="1"/>
        <v>0</v>
      </c>
      <c r="S22" s="475">
        <f t="shared" si="1"/>
        <v>666235344.40620089</v>
      </c>
    </row>
    <row r="24" spans="1:19">
      <c r="S24" s="191"/>
    </row>
    <row r="25" spans="1:19">
      <c r="N25" s="299"/>
      <c r="S25" s="191"/>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view="pageBreakPreview" zoomScale="60" zoomScaleNormal="100" workbookViewId="0">
      <pane xSplit="2" ySplit="6" topLeftCell="G7" activePane="bottomRight" state="frozen"/>
      <selection activeCell="P24" sqref="P24:Q24"/>
      <selection pane="topRight" activeCell="P24" sqref="P24:Q24"/>
      <selection pane="bottomLeft" activeCell="P24" sqref="P24:Q24"/>
      <selection pane="bottomRight" activeCell="V23" sqref="V23:V25"/>
    </sheetView>
  </sheetViews>
  <sheetFormatPr defaultColWidth="9.140625" defaultRowHeight="12.75"/>
  <cols>
    <col min="1" max="1" width="10.5703125" style="21" bestFit="1" customWidth="1"/>
    <col min="2" max="2" width="74.5703125" style="21" customWidth="1"/>
    <col min="3" max="3" width="19" style="21" customWidth="1"/>
    <col min="4" max="4" width="19.5703125" style="21" customWidth="1"/>
    <col min="5" max="5" width="31.140625" style="21" customWidth="1"/>
    <col min="6" max="6" width="29.140625" style="21" customWidth="1"/>
    <col min="7" max="7" width="28.5703125" style="21" customWidth="1"/>
    <col min="8" max="8" width="26.42578125" style="21" customWidth="1"/>
    <col min="9" max="9" width="23.7109375" style="21" customWidth="1"/>
    <col min="10" max="10" width="21.5703125" style="21" customWidth="1"/>
    <col min="11" max="11" width="15.7109375" style="21" customWidth="1"/>
    <col min="12" max="12" width="13.28515625" style="21" customWidth="1"/>
    <col min="13" max="13" width="20.85546875" style="21" customWidth="1"/>
    <col min="14" max="14" width="19.28515625" style="21" customWidth="1"/>
    <col min="15" max="15" width="18.42578125" style="21" customWidth="1"/>
    <col min="16" max="16" width="19" style="21" customWidth="1"/>
    <col min="17" max="17" width="20.28515625" style="21" customWidth="1"/>
    <col min="18" max="18" width="18" style="21" customWidth="1"/>
    <col min="19" max="19" width="36" style="21" customWidth="1"/>
    <col min="20" max="20" width="19.42578125" style="21" customWidth="1"/>
    <col min="21" max="21" width="19.140625" style="21" customWidth="1"/>
    <col min="22" max="22" width="20" style="21" customWidth="1"/>
    <col min="23" max="16384" width="9.140625" style="132"/>
  </cols>
  <sheetData>
    <row r="1" spans="1:22">
      <c r="A1" s="21" t="s">
        <v>27</v>
      </c>
      <c r="B1" s="21" t="str">
        <f>'1. key ratios'!B1</f>
        <v>სს ტერაბანკი</v>
      </c>
    </row>
    <row r="2" spans="1:22">
      <c r="A2" s="21" t="s">
        <v>29</v>
      </c>
      <c r="B2" s="86">
        <f>'1. key ratios'!B2</f>
        <v>43100</v>
      </c>
    </row>
    <row r="4" spans="1:22" ht="27.75" thickBot="1">
      <c r="A4" s="21" t="s">
        <v>380</v>
      </c>
      <c r="B4" s="361" t="s">
        <v>381</v>
      </c>
      <c r="V4" s="304" t="s">
        <v>78</v>
      </c>
    </row>
    <row r="5" spans="1:22">
      <c r="A5" s="362"/>
      <c r="B5" s="363"/>
      <c r="C5" s="505" t="s">
        <v>382</v>
      </c>
      <c r="D5" s="506"/>
      <c r="E5" s="506"/>
      <c r="F5" s="506"/>
      <c r="G5" s="506"/>
      <c r="H5" s="506"/>
      <c r="I5" s="506"/>
      <c r="J5" s="506"/>
      <c r="K5" s="506"/>
      <c r="L5" s="507"/>
      <c r="M5" s="505" t="s">
        <v>383</v>
      </c>
      <c r="N5" s="506"/>
      <c r="O5" s="506"/>
      <c r="P5" s="506"/>
      <c r="Q5" s="506"/>
      <c r="R5" s="506"/>
      <c r="S5" s="507"/>
      <c r="T5" s="508" t="s">
        <v>384</v>
      </c>
      <c r="U5" s="508" t="s">
        <v>385</v>
      </c>
      <c r="V5" s="510" t="s">
        <v>386</v>
      </c>
    </row>
    <row r="6" spans="1:22" s="343" customFormat="1" ht="140.25">
      <c r="A6" s="247"/>
      <c r="B6" s="364"/>
      <c r="C6" s="365" t="s">
        <v>387</v>
      </c>
      <c r="D6" s="366" t="s">
        <v>388</v>
      </c>
      <c r="E6" s="367" t="s">
        <v>389</v>
      </c>
      <c r="F6" s="368" t="s">
        <v>390</v>
      </c>
      <c r="G6" s="366" t="s">
        <v>391</v>
      </c>
      <c r="H6" s="366" t="s">
        <v>392</v>
      </c>
      <c r="I6" s="366" t="s">
        <v>393</v>
      </c>
      <c r="J6" s="366" t="s">
        <v>394</v>
      </c>
      <c r="K6" s="366" t="s">
        <v>395</v>
      </c>
      <c r="L6" s="369" t="s">
        <v>396</v>
      </c>
      <c r="M6" s="365" t="s">
        <v>397</v>
      </c>
      <c r="N6" s="366" t="s">
        <v>398</v>
      </c>
      <c r="O6" s="366" t="s">
        <v>399</v>
      </c>
      <c r="P6" s="366" t="s">
        <v>400</v>
      </c>
      <c r="Q6" s="366" t="s">
        <v>401</v>
      </c>
      <c r="R6" s="366" t="s">
        <v>402</v>
      </c>
      <c r="S6" s="369" t="s">
        <v>403</v>
      </c>
      <c r="T6" s="509"/>
      <c r="U6" s="509"/>
      <c r="V6" s="511"/>
    </row>
    <row r="7" spans="1:22" s="357" customFormat="1">
      <c r="A7" s="370">
        <v>1</v>
      </c>
      <c r="B7" s="371" t="s">
        <v>366</v>
      </c>
      <c r="C7" s="372">
        <v>0</v>
      </c>
      <c r="D7" s="354">
        <v>0</v>
      </c>
      <c r="E7" s="354">
        <v>0</v>
      </c>
      <c r="F7" s="354">
        <v>0</v>
      </c>
      <c r="G7" s="354">
        <v>0</v>
      </c>
      <c r="H7" s="354">
        <v>0</v>
      </c>
      <c r="I7" s="354">
        <v>0</v>
      </c>
      <c r="J7" s="354">
        <v>0</v>
      </c>
      <c r="K7" s="354">
        <v>0</v>
      </c>
      <c r="L7" s="354">
        <v>0</v>
      </c>
      <c r="M7" s="373"/>
      <c r="N7" s="355"/>
      <c r="O7" s="355"/>
      <c r="P7" s="355"/>
      <c r="Q7" s="355"/>
      <c r="R7" s="355"/>
      <c r="S7" s="374"/>
      <c r="T7" s="375">
        <v>0</v>
      </c>
      <c r="U7" s="376"/>
      <c r="V7" s="377">
        <f>SUM(C7:S7)</f>
        <v>0</v>
      </c>
    </row>
    <row r="8" spans="1:22" s="357" customFormat="1">
      <c r="A8" s="370">
        <v>2</v>
      </c>
      <c r="B8" s="371" t="s">
        <v>367</v>
      </c>
      <c r="C8" s="372">
        <v>0</v>
      </c>
      <c r="D8" s="354">
        <v>0</v>
      </c>
      <c r="E8" s="354">
        <v>0</v>
      </c>
      <c r="F8" s="354">
        <v>0</v>
      </c>
      <c r="G8" s="354">
        <v>0</v>
      </c>
      <c r="H8" s="354">
        <v>0</v>
      </c>
      <c r="I8" s="354">
        <v>0</v>
      </c>
      <c r="J8" s="354">
        <v>0</v>
      </c>
      <c r="K8" s="354">
        <v>0</v>
      </c>
      <c r="L8" s="354">
        <v>0</v>
      </c>
      <c r="M8" s="373"/>
      <c r="N8" s="355"/>
      <c r="O8" s="355"/>
      <c r="P8" s="355"/>
      <c r="Q8" s="355"/>
      <c r="R8" s="355"/>
      <c r="S8" s="374"/>
      <c r="T8" s="375">
        <v>0</v>
      </c>
      <c r="U8" s="376"/>
      <c r="V8" s="377">
        <f t="shared" ref="V8:V20" si="0">SUM(C8:S8)</f>
        <v>0</v>
      </c>
    </row>
    <row r="9" spans="1:22" s="357" customFormat="1">
      <c r="A9" s="370">
        <v>3</v>
      </c>
      <c r="B9" s="371" t="s">
        <v>368</v>
      </c>
      <c r="C9" s="372">
        <v>0</v>
      </c>
      <c r="D9" s="354">
        <v>0</v>
      </c>
      <c r="E9" s="354">
        <v>0</v>
      </c>
      <c r="F9" s="354">
        <v>0</v>
      </c>
      <c r="G9" s="354">
        <v>0</v>
      </c>
      <c r="H9" s="354">
        <v>0</v>
      </c>
      <c r="I9" s="354">
        <v>0</v>
      </c>
      <c r="J9" s="354">
        <v>0</v>
      </c>
      <c r="K9" s="354">
        <v>0</v>
      </c>
      <c r="L9" s="354">
        <v>0</v>
      </c>
      <c r="M9" s="373"/>
      <c r="N9" s="355"/>
      <c r="O9" s="355"/>
      <c r="P9" s="355"/>
      <c r="Q9" s="355"/>
      <c r="R9" s="355"/>
      <c r="S9" s="374"/>
      <c r="T9" s="375">
        <v>0</v>
      </c>
      <c r="U9" s="376"/>
      <c r="V9" s="377">
        <f>SUM(C9:S9)</f>
        <v>0</v>
      </c>
    </row>
    <row r="10" spans="1:22" s="357" customFormat="1">
      <c r="A10" s="370">
        <v>4</v>
      </c>
      <c r="B10" s="371" t="s">
        <v>369</v>
      </c>
      <c r="C10" s="372">
        <v>0</v>
      </c>
      <c r="D10" s="354">
        <v>0</v>
      </c>
      <c r="E10" s="354">
        <v>0</v>
      </c>
      <c r="F10" s="354">
        <v>0</v>
      </c>
      <c r="G10" s="354">
        <v>0</v>
      </c>
      <c r="H10" s="354">
        <v>0</v>
      </c>
      <c r="I10" s="354">
        <v>0</v>
      </c>
      <c r="J10" s="354">
        <v>0</v>
      </c>
      <c r="K10" s="354">
        <v>0</v>
      </c>
      <c r="L10" s="354">
        <v>0</v>
      </c>
      <c r="M10" s="373"/>
      <c r="N10" s="355"/>
      <c r="O10" s="355"/>
      <c r="P10" s="355"/>
      <c r="Q10" s="355"/>
      <c r="R10" s="355"/>
      <c r="S10" s="374"/>
      <c r="T10" s="375">
        <v>0</v>
      </c>
      <c r="U10" s="376"/>
      <c r="V10" s="377">
        <f t="shared" si="0"/>
        <v>0</v>
      </c>
    </row>
    <row r="11" spans="1:22" s="357" customFormat="1">
      <c r="A11" s="370">
        <v>5</v>
      </c>
      <c r="B11" s="371" t="s">
        <v>370</v>
      </c>
      <c r="C11" s="372">
        <v>0</v>
      </c>
      <c r="D11" s="354">
        <v>0</v>
      </c>
      <c r="E11" s="354">
        <v>0</v>
      </c>
      <c r="F11" s="354">
        <v>0</v>
      </c>
      <c r="G11" s="354">
        <v>0</v>
      </c>
      <c r="H11" s="354">
        <v>0</v>
      </c>
      <c r="I11" s="354">
        <v>0</v>
      </c>
      <c r="J11" s="354">
        <v>0</v>
      </c>
      <c r="K11" s="354">
        <v>0</v>
      </c>
      <c r="L11" s="354">
        <v>0</v>
      </c>
      <c r="M11" s="373"/>
      <c r="N11" s="355"/>
      <c r="O11" s="355"/>
      <c r="P11" s="355"/>
      <c r="Q11" s="355"/>
      <c r="R11" s="355"/>
      <c r="S11" s="374"/>
      <c r="T11" s="375">
        <v>0</v>
      </c>
      <c r="U11" s="376"/>
      <c r="V11" s="377">
        <f t="shared" si="0"/>
        <v>0</v>
      </c>
    </row>
    <row r="12" spans="1:22" s="357" customFormat="1">
      <c r="A12" s="370">
        <v>6</v>
      </c>
      <c r="B12" s="371" t="s">
        <v>371</v>
      </c>
      <c r="C12" s="372">
        <v>0</v>
      </c>
      <c r="D12" s="354">
        <v>0</v>
      </c>
      <c r="E12" s="354">
        <v>0</v>
      </c>
      <c r="F12" s="354">
        <v>0</v>
      </c>
      <c r="G12" s="354">
        <v>0</v>
      </c>
      <c r="H12" s="354">
        <v>0</v>
      </c>
      <c r="I12" s="354">
        <v>0</v>
      </c>
      <c r="J12" s="354">
        <v>0</v>
      </c>
      <c r="K12" s="354">
        <v>0</v>
      </c>
      <c r="L12" s="354">
        <v>0</v>
      </c>
      <c r="M12" s="373"/>
      <c r="N12" s="355"/>
      <c r="O12" s="355"/>
      <c r="P12" s="355"/>
      <c r="Q12" s="355"/>
      <c r="R12" s="355"/>
      <c r="S12" s="374"/>
      <c r="T12" s="375">
        <v>0</v>
      </c>
      <c r="U12" s="376"/>
      <c r="V12" s="377">
        <f t="shared" si="0"/>
        <v>0</v>
      </c>
    </row>
    <row r="13" spans="1:22" s="357" customFormat="1">
      <c r="A13" s="370">
        <v>7</v>
      </c>
      <c r="B13" s="371" t="s">
        <v>372</v>
      </c>
      <c r="C13" s="372">
        <v>0</v>
      </c>
      <c r="D13" s="354">
        <v>18441406.307709999</v>
      </c>
      <c r="E13" s="354">
        <v>0</v>
      </c>
      <c r="F13" s="354">
        <v>0</v>
      </c>
      <c r="G13" s="354">
        <v>0</v>
      </c>
      <c r="H13" s="354">
        <v>0</v>
      </c>
      <c r="I13" s="354">
        <v>0</v>
      </c>
      <c r="J13" s="354">
        <v>0</v>
      </c>
      <c r="K13" s="354">
        <v>0</v>
      </c>
      <c r="L13" s="354">
        <v>0</v>
      </c>
      <c r="M13" s="373"/>
      <c r="N13" s="355"/>
      <c r="O13" s="355"/>
      <c r="P13" s="355"/>
      <c r="Q13" s="355"/>
      <c r="R13" s="355"/>
      <c r="S13" s="374"/>
      <c r="T13" s="375">
        <v>10340421.178780001</v>
      </c>
      <c r="U13" s="376">
        <v>8100985.1289300006</v>
      </c>
      <c r="V13" s="377">
        <f t="shared" si="0"/>
        <v>18441406.307709999</v>
      </c>
    </row>
    <row r="14" spans="1:22" s="357" customFormat="1">
      <c r="A14" s="370">
        <v>8</v>
      </c>
      <c r="B14" s="371" t="s">
        <v>373</v>
      </c>
      <c r="C14" s="372">
        <v>0</v>
      </c>
      <c r="D14" s="354">
        <v>1654062.7316999999</v>
      </c>
      <c r="E14" s="354">
        <v>0</v>
      </c>
      <c r="F14" s="354">
        <v>0</v>
      </c>
      <c r="G14" s="354">
        <v>0</v>
      </c>
      <c r="H14" s="354">
        <v>0</v>
      </c>
      <c r="I14" s="354">
        <v>0</v>
      </c>
      <c r="J14" s="354">
        <v>0</v>
      </c>
      <c r="K14" s="354">
        <v>0</v>
      </c>
      <c r="L14" s="354">
        <v>0</v>
      </c>
      <c r="M14" s="373"/>
      <c r="N14" s="355"/>
      <c r="O14" s="355"/>
      <c r="P14" s="355"/>
      <c r="Q14" s="355"/>
      <c r="R14" s="355"/>
      <c r="S14" s="374"/>
      <c r="T14" s="375">
        <v>809310.2135249998</v>
      </c>
      <c r="U14" s="376">
        <v>844752.51817499998</v>
      </c>
      <c r="V14" s="377">
        <f t="shared" si="0"/>
        <v>1654062.7316999999</v>
      </c>
    </row>
    <row r="15" spans="1:22" s="357" customFormat="1">
      <c r="A15" s="370">
        <v>9</v>
      </c>
      <c r="B15" s="371" t="s">
        <v>374</v>
      </c>
      <c r="C15" s="372">
        <v>0</v>
      </c>
      <c r="D15" s="354">
        <v>0</v>
      </c>
      <c r="E15" s="354">
        <v>0</v>
      </c>
      <c r="F15" s="354">
        <v>0</v>
      </c>
      <c r="G15" s="354">
        <v>0</v>
      </c>
      <c r="H15" s="354">
        <v>0</v>
      </c>
      <c r="I15" s="354">
        <v>0</v>
      </c>
      <c r="J15" s="354">
        <v>0</v>
      </c>
      <c r="K15" s="354">
        <v>0</v>
      </c>
      <c r="L15" s="354">
        <v>0</v>
      </c>
      <c r="M15" s="373"/>
      <c r="N15" s="355"/>
      <c r="O15" s="355"/>
      <c r="P15" s="355"/>
      <c r="Q15" s="355"/>
      <c r="R15" s="355"/>
      <c r="S15" s="374"/>
      <c r="T15" s="375">
        <v>0</v>
      </c>
      <c r="U15" s="376"/>
      <c r="V15" s="377">
        <f t="shared" si="0"/>
        <v>0</v>
      </c>
    </row>
    <row r="16" spans="1:22" s="357" customFormat="1">
      <c r="A16" s="370">
        <v>10</v>
      </c>
      <c r="B16" s="371" t="s">
        <v>375</v>
      </c>
      <c r="C16" s="372">
        <v>0</v>
      </c>
      <c r="D16" s="354">
        <v>0</v>
      </c>
      <c r="E16" s="354">
        <v>0</v>
      </c>
      <c r="F16" s="354">
        <v>0</v>
      </c>
      <c r="G16" s="354">
        <v>0</v>
      </c>
      <c r="H16" s="354">
        <v>0</v>
      </c>
      <c r="I16" s="354">
        <v>0</v>
      </c>
      <c r="J16" s="354">
        <v>0</v>
      </c>
      <c r="K16" s="354">
        <v>0</v>
      </c>
      <c r="L16" s="354">
        <v>0</v>
      </c>
      <c r="M16" s="373"/>
      <c r="N16" s="355"/>
      <c r="O16" s="355"/>
      <c r="P16" s="355"/>
      <c r="Q16" s="355"/>
      <c r="R16" s="355"/>
      <c r="S16" s="374"/>
      <c r="T16" s="375">
        <v>0</v>
      </c>
      <c r="U16" s="376"/>
      <c r="V16" s="377">
        <f t="shared" si="0"/>
        <v>0</v>
      </c>
    </row>
    <row r="17" spans="1:22" s="357" customFormat="1">
      <c r="A17" s="370">
        <v>11</v>
      </c>
      <c r="B17" s="371" t="s">
        <v>376</v>
      </c>
      <c r="C17" s="372">
        <v>0</v>
      </c>
      <c r="D17" s="354">
        <v>0</v>
      </c>
      <c r="E17" s="354">
        <v>0</v>
      </c>
      <c r="F17" s="354">
        <v>0</v>
      </c>
      <c r="G17" s="354">
        <v>0</v>
      </c>
      <c r="H17" s="354">
        <v>0</v>
      </c>
      <c r="I17" s="354">
        <v>0</v>
      </c>
      <c r="J17" s="354">
        <v>0</v>
      </c>
      <c r="K17" s="354">
        <v>0</v>
      </c>
      <c r="L17" s="354">
        <v>0</v>
      </c>
      <c r="M17" s="373"/>
      <c r="N17" s="355"/>
      <c r="O17" s="355"/>
      <c r="P17" s="355"/>
      <c r="Q17" s="355"/>
      <c r="R17" s="355"/>
      <c r="S17" s="374"/>
      <c r="T17" s="375">
        <v>0</v>
      </c>
      <c r="U17" s="376"/>
      <c r="V17" s="377">
        <f t="shared" si="0"/>
        <v>0</v>
      </c>
    </row>
    <row r="18" spans="1:22" s="357" customFormat="1">
      <c r="A18" s="370">
        <v>12</v>
      </c>
      <c r="B18" s="371" t="s">
        <v>377</v>
      </c>
      <c r="C18" s="372">
        <v>0</v>
      </c>
      <c r="D18" s="354">
        <v>0</v>
      </c>
      <c r="E18" s="354">
        <v>0</v>
      </c>
      <c r="F18" s="354">
        <v>0</v>
      </c>
      <c r="G18" s="354">
        <v>0</v>
      </c>
      <c r="H18" s="354">
        <v>0</v>
      </c>
      <c r="I18" s="354">
        <v>0</v>
      </c>
      <c r="J18" s="354">
        <v>0</v>
      </c>
      <c r="K18" s="354">
        <v>0</v>
      </c>
      <c r="L18" s="354">
        <v>0</v>
      </c>
      <c r="M18" s="373"/>
      <c r="N18" s="355"/>
      <c r="O18" s="355"/>
      <c r="P18" s="355"/>
      <c r="Q18" s="355"/>
      <c r="R18" s="355"/>
      <c r="S18" s="374"/>
      <c r="T18" s="375">
        <v>0</v>
      </c>
      <c r="U18" s="376"/>
      <c r="V18" s="377">
        <f t="shared" si="0"/>
        <v>0</v>
      </c>
    </row>
    <row r="19" spans="1:22" s="357" customFormat="1">
      <c r="A19" s="370">
        <v>13</v>
      </c>
      <c r="B19" s="371" t="s">
        <v>378</v>
      </c>
      <c r="C19" s="372">
        <v>0</v>
      </c>
      <c r="D19" s="354">
        <v>0</v>
      </c>
      <c r="E19" s="354">
        <v>0</v>
      </c>
      <c r="F19" s="354">
        <v>0</v>
      </c>
      <c r="G19" s="354">
        <v>0</v>
      </c>
      <c r="H19" s="354">
        <v>0</v>
      </c>
      <c r="I19" s="354">
        <v>0</v>
      </c>
      <c r="J19" s="354">
        <v>0</v>
      </c>
      <c r="K19" s="354">
        <v>0</v>
      </c>
      <c r="L19" s="354">
        <v>0</v>
      </c>
      <c r="M19" s="373"/>
      <c r="N19" s="355"/>
      <c r="O19" s="355"/>
      <c r="P19" s="355"/>
      <c r="Q19" s="355"/>
      <c r="R19" s="355"/>
      <c r="S19" s="374"/>
      <c r="T19" s="375">
        <v>0</v>
      </c>
      <c r="U19" s="376"/>
      <c r="V19" s="377">
        <f t="shared" si="0"/>
        <v>0</v>
      </c>
    </row>
    <row r="20" spans="1:22" s="357" customFormat="1">
      <c r="A20" s="370">
        <v>14</v>
      </c>
      <c r="B20" s="371" t="s">
        <v>379</v>
      </c>
      <c r="C20" s="372">
        <v>0</v>
      </c>
      <c r="D20" s="354">
        <v>10526471.40075</v>
      </c>
      <c r="E20" s="354">
        <v>0</v>
      </c>
      <c r="F20" s="354">
        <v>0</v>
      </c>
      <c r="G20" s="354">
        <v>0</v>
      </c>
      <c r="H20" s="354">
        <v>0</v>
      </c>
      <c r="I20" s="354">
        <v>0</v>
      </c>
      <c r="J20" s="354">
        <v>0</v>
      </c>
      <c r="K20" s="354">
        <v>0</v>
      </c>
      <c r="L20" s="354">
        <v>0</v>
      </c>
      <c r="M20" s="373"/>
      <c r="N20" s="355"/>
      <c r="O20" s="355"/>
      <c r="P20" s="355"/>
      <c r="Q20" s="355"/>
      <c r="R20" s="355"/>
      <c r="S20" s="374"/>
      <c r="T20" s="375">
        <v>9522471.9132000003</v>
      </c>
      <c r="U20" s="376">
        <v>1003999.4875500001</v>
      </c>
      <c r="V20" s="377">
        <f t="shared" si="0"/>
        <v>10526471.40075</v>
      </c>
    </row>
    <row r="21" spans="1:22" ht="13.5" thickBot="1">
      <c r="A21" s="358"/>
      <c r="B21" s="378" t="s">
        <v>84</v>
      </c>
      <c r="C21" s="379">
        <f>SUM(C7:C20)</f>
        <v>0</v>
      </c>
      <c r="D21" s="360">
        <f t="shared" ref="D21:V21" si="1">SUM(D7:D20)</f>
        <v>30621940.440159999</v>
      </c>
      <c r="E21" s="360">
        <f t="shared" si="1"/>
        <v>0</v>
      </c>
      <c r="F21" s="360">
        <f t="shared" si="1"/>
        <v>0</v>
      </c>
      <c r="G21" s="360">
        <f t="shared" si="1"/>
        <v>0</v>
      </c>
      <c r="H21" s="360">
        <f t="shared" si="1"/>
        <v>0</v>
      </c>
      <c r="I21" s="360">
        <f t="shared" si="1"/>
        <v>0</v>
      </c>
      <c r="J21" s="360">
        <f t="shared" si="1"/>
        <v>0</v>
      </c>
      <c r="K21" s="360">
        <f t="shared" si="1"/>
        <v>0</v>
      </c>
      <c r="L21" s="380">
        <f t="shared" si="1"/>
        <v>0</v>
      </c>
      <c r="M21" s="379">
        <f t="shared" si="1"/>
        <v>0</v>
      </c>
      <c r="N21" s="360">
        <f t="shared" si="1"/>
        <v>0</v>
      </c>
      <c r="O21" s="360">
        <f t="shared" si="1"/>
        <v>0</v>
      </c>
      <c r="P21" s="360">
        <f t="shared" si="1"/>
        <v>0</v>
      </c>
      <c r="Q21" s="360">
        <f t="shared" si="1"/>
        <v>0</v>
      </c>
      <c r="R21" s="360">
        <f t="shared" si="1"/>
        <v>0</v>
      </c>
      <c r="S21" s="380">
        <f t="shared" si="1"/>
        <v>0</v>
      </c>
      <c r="T21" s="380">
        <f>SUM(T7:T20)</f>
        <v>20672203.305505</v>
      </c>
      <c r="U21" s="380">
        <f t="shared" si="1"/>
        <v>9949737.1346550006</v>
      </c>
      <c r="V21" s="381">
        <f t="shared" si="1"/>
        <v>30621940.440159999</v>
      </c>
    </row>
    <row r="24" spans="1:22">
      <c r="A24" s="26"/>
      <c r="B24" s="26"/>
      <c r="C24" s="382"/>
      <c r="D24" s="382"/>
      <c r="E24" s="382"/>
    </row>
    <row r="25" spans="1:22">
      <c r="A25" s="383"/>
      <c r="B25" s="383"/>
      <c r="C25" s="26"/>
      <c r="D25" s="382"/>
      <c r="E25" s="382"/>
      <c r="V25" s="239"/>
    </row>
    <row r="26" spans="1:22">
      <c r="A26" s="383"/>
      <c r="B26" s="384"/>
      <c r="C26" s="26"/>
      <c r="D26" s="382"/>
      <c r="E26" s="382"/>
    </row>
    <row r="27" spans="1:22">
      <c r="A27" s="383"/>
      <c r="B27" s="383"/>
      <c r="C27" s="26"/>
      <c r="D27" s="382"/>
      <c r="E27" s="382"/>
    </row>
    <row r="28" spans="1:22">
      <c r="A28" s="383"/>
      <c r="B28" s="384"/>
      <c r="C28" s="26"/>
      <c r="D28" s="382"/>
      <c r="E28" s="382"/>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view="pageBreakPreview" zoomScale="60" zoomScaleNormal="100" workbookViewId="0">
      <pane xSplit="1" ySplit="7" topLeftCell="B8" activePane="bottomRight" state="frozen"/>
      <selection activeCell="P24" sqref="P24:Q24"/>
      <selection pane="topRight" activeCell="P24" sqref="P24:Q24"/>
      <selection pane="bottomLeft" activeCell="P24" sqref="P24:Q24"/>
      <selection pane="bottomRight" activeCell="C23" sqref="C23:F29"/>
    </sheetView>
  </sheetViews>
  <sheetFormatPr defaultColWidth="9.140625" defaultRowHeight="12.75"/>
  <cols>
    <col min="1" max="1" width="10.5703125" style="21" bestFit="1" customWidth="1"/>
    <col min="2" max="2" width="101.85546875" style="21" customWidth="1"/>
    <col min="3" max="3" width="13.7109375" style="21" customWidth="1"/>
    <col min="4" max="4" width="14.85546875" style="21" bestFit="1" customWidth="1"/>
    <col min="5" max="5" width="17.7109375" style="21" customWidth="1"/>
    <col min="6" max="6" width="15.85546875" style="21" customWidth="1"/>
    <col min="7" max="7" width="17.42578125" style="21" customWidth="1"/>
    <col min="8" max="8" width="15.28515625" style="21" customWidth="1"/>
    <col min="9" max="16384" width="9.140625" style="132"/>
  </cols>
  <sheetData>
    <row r="1" spans="1:9">
      <c r="A1" s="21" t="s">
        <v>27</v>
      </c>
      <c r="B1" s="21" t="str">
        <f>'1. key ratios'!B1</f>
        <v>სს ტერაბანკი</v>
      </c>
    </row>
    <row r="2" spans="1:9">
      <c r="A2" s="21" t="s">
        <v>29</v>
      </c>
      <c r="B2" s="86">
        <f>'1. key ratios'!B2</f>
        <v>43100</v>
      </c>
    </row>
    <row r="4" spans="1:9" ht="13.5" thickBot="1">
      <c r="A4" s="21" t="s">
        <v>404</v>
      </c>
      <c r="B4" s="385" t="s">
        <v>405</v>
      </c>
    </row>
    <row r="5" spans="1:9">
      <c r="A5" s="362"/>
      <c r="B5" s="386"/>
      <c r="C5" s="387" t="s">
        <v>263</v>
      </c>
      <c r="D5" s="387" t="s">
        <v>264</v>
      </c>
      <c r="E5" s="387" t="s">
        <v>265</v>
      </c>
      <c r="F5" s="387" t="s">
        <v>348</v>
      </c>
      <c r="G5" s="388" t="s">
        <v>349</v>
      </c>
      <c r="H5" s="389" t="s">
        <v>350</v>
      </c>
      <c r="I5" s="390"/>
    </row>
    <row r="6" spans="1:9" ht="15" customHeight="1">
      <c r="A6" s="350"/>
      <c r="B6" s="391"/>
      <c r="C6" s="512" t="s">
        <v>406</v>
      </c>
      <c r="D6" s="514" t="s">
        <v>407</v>
      </c>
      <c r="E6" s="515"/>
      <c r="F6" s="512" t="s">
        <v>408</v>
      </c>
      <c r="G6" s="512" t="s">
        <v>409</v>
      </c>
      <c r="H6" s="516" t="s">
        <v>410</v>
      </c>
      <c r="I6" s="390"/>
    </row>
    <row r="7" spans="1:9" ht="76.5">
      <c r="A7" s="350"/>
      <c r="B7" s="391"/>
      <c r="C7" s="513"/>
      <c r="D7" s="392" t="s">
        <v>411</v>
      </c>
      <c r="E7" s="392" t="s">
        <v>412</v>
      </c>
      <c r="F7" s="513"/>
      <c r="G7" s="513"/>
      <c r="H7" s="517"/>
      <c r="I7" s="390"/>
    </row>
    <row r="8" spans="1:9">
      <c r="A8" s="393">
        <v>1</v>
      </c>
      <c r="B8" s="283" t="s">
        <v>366</v>
      </c>
      <c r="C8" s="394">
        <v>146429405.85000002</v>
      </c>
      <c r="D8" s="395">
        <v>0</v>
      </c>
      <c r="E8" s="394">
        <v>0</v>
      </c>
      <c r="F8" s="394">
        <f>'11. CRWA'!S8</f>
        <v>76745957.320000008</v>
      </c>
      <c r="G8" s="396">
        <f>'11. CRWA'!S8-'12. CRM'!V7</f>
        <v>76745957.320000008</v>
      </c>
      <c r="H8" s="397">
        <f>IFERROR(G8/(C8+E8),"")</f>
        <v>0.52411574624988477</v>
      </c>
    </row>
    <row r="9" spans="1:9" ht="15" customHeight="1">
      <c r="A9" s="393">
        <v>2</v>
      </c>
      <c r="B9" s="283" t="s">
        <v>367</v>
      </c>
      <c r="C9" s="394">
        <v>0</v>
      </c>
      <c r="D9" s="395">
        <v>0</v>
      </c>
      <c r="E9" s="394">
        <v>0</v>
      </c>
      <c r="F9" s="394">
        <f>'11. CRWA'!S9</f>
        <v>0</v>
      </c>
      <c r="G9" s="396">
        <f>'11. CRWA'!S9-'12. CRM'!V8</f>
        <v>0</v>
      </c>
      <c r="H9" s="397" t="str">
        <f t="shared" ref="H9:H22" si="0">IFERROR(G9/(C9+E9),"")</f>
        <v/>
      </c>
    </row>
    <row r="10" spans="1:9">
      <c r="A10" s="393">
        <v>3</v>
      </c>
      <c r="B10" s="283" t="s">
        <v>368</v>
      </c>
      <c r="C10" s="394">
        <v>0</v>
      </c>
      <c r="D10" s="395">
        <v>0</v>
      </c>
      <c r="E10" s="394">
        <v>0</v>
      </c>
      <c r="F10" s="394">
        <f>'11. CRWA'!S10</f>
        <v>0</v>
      </c>
      <c r="G10" s="396">
        <f>'11. CRWA'!S10-'12. CRM'!V9</f>
        <v>0</v>
      </c>
      <c r="H10" s="397" t="str">
        <f t="shared" si="0"/>
        <v/>
      </c>
    </row>
    <row r="11" spans="1:9">
      <c r="A11" s="393">
        <v>4</v>
      </c>
      <c r="B11" s="283" t="s">
        <v>369</v>
      </c>
      <c r="C11" s="394">
        <v>0</v>
      </c>
      <c r="D11" s="395">
        <v>0</v>
      </c>
      <c r="E11" s="394">
        <v>0</v>
      </c>
      <c r="F11" s="394">
        <f>'11. CRWA'!S11</f>
        <v>0</v>
      </c>
      <c r="G11" s="396">
        <f>'11. CRWA'!S11-'12. CRM'!V10</f>
        <v>0</v>
      </c>
      <c r="H11" s="397" t="str">
        <f t="shared" si="0"/>
        <v/>
      </c>
    </row>
    <row r="12" spans="1:9">
      <c r="A12" s="393">
        <v>5</v>
      </c>
      <c r="B12" s="283" t="s">
        <v>370</v>
      </c>
      <c r="C12" s="394">
        <v>0</v>
      </c>
      <c r="D12" s="395">
        <v>0</v>
      </c>
      <c r="E12" s="394">
        <v>0</v>
      </c>
      <c r="F12" s="394">
        <f>'11. CRWA'!S12</f>
        <v>0</v>
      </c>
      <c r="G12" s="396">
        <f>'11. CRWA'!S12-'12. CRM'!V11</f>
        <v>0</v>
      </c>
      <c r="H12" s="397" t="str">
        <f t="shared" si="0"/>
        <v/>
      </c>
    </row>
    <row r="13" spans="1:9">
      <c r="A13" s="393">
        <v>6</v>
      </c>
      <c r="B13" s="283" t="s">
        <v>371</v>
      </c>
      <c r="C13" s="394">
        <v>33034945.269999996</v>
      </c>
      <c r="D13" s="395">
        <v>0</v>
      </c>
      <c r="E13" s="394">
        <v>0</v>
      </c>
      <c r="F13" s="394">
        <f>'11. CRWA'!S13</f>
        <v>10108895.430999998</v>
      </c>
      <c r="G13" s="396">
        <f>'11. CRWA'!S13-'12. CRM'!V12</f>
        <v>10108895.430999998</v>
      </c>
      <c r="H13" s="397">
        <f t="shared" si="0"/>
        <v>0.30600612013667183</v>
      </c>
    </row>
    <row r="14" spans="1:9">
      <c r="A14" s="393">
        <v>7</v>
      </c>
      <c r="B14" s="283" t="s">
        <v>372</v>
      </c>
      <c r="C14" s="394">
        <v>103440348.08000001</v>
      </c>
      <c r="D14" s="395">
        <v>42766904.75999999</v>
      </c>
      <c r="E14" s="394">
        <v>22026335.239999998</v>
      </c>
      <c r="F14" s="394">
        <f>'11. CRWA'!S14</f>
        <v>125466683.32000001</v>
      </c>
      <c r="G14" s="396">
        <f>'11. CRWA'!S14-'12. CRM'!V13</f>
        <v>107025277.01229</v>
      </c>
      <c r="H14" s="397">
        <f t="shared" si="0"/>
        <v>0.85301750377288921</v>
      </c>
    </row>
    <row r="15" spans="1:9">
      <c r="A15" s="393">
        <v>8</v>
      </c>
      <c r="B15" s="283" t="s">
        <v>373</v>
      </c>
      <c r="C15" s="394">
        <v>201332687.81999883</v>
      </c>
      <c r="D15" s="395">
        <v>12733110.610000018</v>
      </c>
      <c r="E15" s="394">
        <v>6445363.5360000087</v>
      </c>
      <c r="F15" s="394">
        <f>'11. CRWA'!S15</f>
        <v>155833538.51699913</v>
      </c>
      <c r="G15" s="396">
        <f>'11. CRWA'!S15-'12. CRM'!V14</f>
        <v>154179475.78529912</v>
      </c>
      <c r="H15" s="397">
        <f t="shared" si="0"/>
        <v>0.7420392807570132</v>
      </c>
    </row>
    <row r="16" spans="1:9">
      <c r="A16" s="393">
        <v>9</v>
      </c>
      <c r="B16" s="283" t="s">
        <v>374</v>
      </c>
      <c r="C16" s="394">
        <v>0</v>
      </c>
      <c r="D16" s="395">
        <v>0</v>
      </c>
      <c r="E16" s="394">
        <v>0</v>
      </c>
      <c r="F16" s="394">
        <f>'11. CRWA'!S16</f>
        <v>0</v>
      </c>
      <c r="G16" s="396">
        <f>'11. CRWA'!S16-'12. CRM'!V15</f>
        <v>0</v>
      </c>
      <c r="H16" s="397" t="str">
        <f t="shared" si="0"/>
        <v/>
      </c>
    </row>
    <row r="17" spans="1:8">
      <c r="A17" s="393">
        <v>10</v>
      </c>
      <c r="B17" s="283" t="s">
        <v>375</v>
      </c>
      <c r="C17" s="394">
        <v>17245523.380000014</v>
      </c>
      <c r="D17" s="395">
        <v>0</v>
      </c>
      <c r="E17" s="394">
        <v>0</v>
      </c>
      <c r="F17" s="394">
        <f>'11. CRWA'!S17</f>
        <v>18157539.450000014</v>
      </c>
      <c r="G17" s="396">
        <f>'11. CRWA'!S17-'12. CRM'!V16</f>
        <v>18157539.450000014</v>
      </c>
      <c r="H17" s="397">
        <f t="shared" si="0"/>
        <v>1.0528842210180576</v>
      </c>
    </row>
    <row r="18" spans="1:8">
      <c r="A18" s="393">
        <v>11</v>
      </c>
      <c r="B18" s="283" t="s">
        <v>376</v>
      </c>
      <c r="C18" s="394">
        <v>36852587.060000002</v>
      </c>
      <c r="D18" s="395">
        <v>0</v>
      </c>
      <c r="E18" s="394">
        <v>0</v>
      </c>
      <c r="F18" s="394">
        <f>'11. CRWA'!S18</f>
        <v>41337273.770000003</v>
      </c>
      <c r="G18" s="396">
        <f>'11. CRWA'!S18-'12. CRM'!V17</f>
        <v>41337273.770000003</v>
      </c>
      <c r="H18" s="397">
        <f t="shared" si="0"/>
        <v>1.1216925884388644</v>
      </c>
    </row>
    <row r="19" spans="1:8">
      <c r="A19" s="393">
        <v>12</v>
      </c>
      <c r="B19" s="283" t="s">
        <v>377</v>
      </c>
      <c r="C19" s="394">
        <v>0</v>
      </c>
      <c r="D19" s="395">
        <v>0</v>
      </c>
      <c r="E19" s="394">
        <v>0</v>
      </c>
      <c r="F19" s="394">
        <f>'11. CRWA'!S19</f>
        <v>0</v>
      </c>
      <c r="G19" s="396">
        <f>'11. CRWA'!S19-'12. CRM'!V18</f>
        <v>0</v>
      </c>
      <c r="H19" s="397" t="str">
        <f t="shared" si="0"/>
        <v/>
      </c>
    </row>
    <row r="20" spans="1:8">
      <c r="A20" s="393">
        <v>13</v>
      </c>
      <c r="B20" s="283" t="s">
        <v>378</v>
      </c>
      <c r="C20" s="394">
        <v>0</v>
      </c>
      <c r="D20" s="395">
        <v>0</v>
      </c>
      <c r="E20" s="394">
        <v>0</v>
      </c>
      <c r="F20" s="394">
        <f>'11. CRWA'!S20</f>
        <v>0</v>
      </c>
      <c r="G20" s="396">
        <f>'11. CRWA'!S20-'12. CRM'!V19</f>
        <v>0</v>
      </c>
      <c r="H20" s="397" t="str">
        <f t="shared" si="0"/>
        <v/>
      </c>
    </row>
    <row r="21" spans="1:8">
      <c r="A21" s="393">
        <v>14</v>
      </c>
      <c r="B21" s="283" t="s">
        <v>379</v>
      </c>
      <c r="C21" s="394">
        <v>271390261.5062018</v>
      </c>
      <c r="D21" s="395">
        <v>19938841.149999999</v>
      </c>
      <c r="E21" s="394">
        <v>9482086.4319999982</v>
      </c>
      <c r="F21" s="394">
        <f>'11. CRWA'!S21</f>
        <v>238585456.59820178</v>
      </c>
      <c r="G21" s="396">
        <f>'11. CRWA'!S21-'12. CRM'!V20</f>
        <v>228058985.19745177</v>
      </c>
      <c r="H21" s="397">
        <f t="shared" si="0"/>
        <v>0.81196667052332916</v>
      </c>
    </row>
    <row r="22" spans="1:8" ht="13.5" thickBot="1">
      <c r="A22" s="398"/>
      <c r="B22" s="399" t="s">
        <v>84</v>
      </c>
      <c r="C22" s="400">
        <f>SUM(C8:C21)</f>
        <v>809725758.96620059</v>
      </c>
      <c r="D22" s="400">
        <f>SUM(D8:D21)</f>
        <v>75438856.520000011</v>
      </c>
      <c r="E22" s="400">
        <f>SUM(E8:E21)</f>
        <v>37953785.208000004</v>
      </c>
      <c r="F22" s="400">
        <f>SUM(F8:F21)</f>
        <v>666235344.40620089</v>
      </c>
      <c r="G22" s="400">
        <f>SUM(G8:G21)</f>
        <v>635613403.96604085</v>
      </c>
      <c r="H22" s="401">
        <f t="shared" si="0"/>
        <v>0.74982746526607291</v>
      </c>
    </row>
    <row r="24" spans="1:8">
      <c r="C24" s="191"/>
      <c r="D24" s="191"/>
      <c r="E24" s="191"/>
    </row>
    <row r="25" spans="1:8">
      <c r="C25" s="111"/>
      <c r="D25" s="111"/>
      <c r="E25" s="111"/>
    </row>
    <row r="28" spans="1:8" ht="10.5" customHeight="1"/>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9"/>
  <sheetViews>
    <sheetView view="pageBreakPreview" zoomScale="60" zoomScaleNormal="90" workbookViewId="0">
      <pane xSplit="2" ySplit="6" topLeftCell="C7" activePane="bottomRight" state="frozen"/>
      <selection activeCell="P24" sqref="P24:Q24"/>
      <selection pane="topRight" activeCell="P24" sqref="P24:Q24"/>
      <selection pane="bottomLeft" activeCell="P24" sqref="P24:Q24"/>
      <selection pane="bottomRight" activeCell="F23" sqref="F23:F25"/>
    </sheetView>
  </sheetViews>
  <sheetFormatPr defaultColWidth="9.140625" defaultRowHeight="12.75"/>
  <cols>
    <col min="1" max="1" width="10.5703125" style="21" bestFit="1" customWidth="1"/>
    <col min="2" max="2" width="104.140625" style="21" customWidth="1"/>
    <col min="3" max="3" width="12.7109375" style="21" customWidth="1"/>
    <col min="4" max="4" width="14.5703125" style="21" bestFit="1" customWidth="1"/>
    <col min="5" max="11" width="12.7109375" style="21" customWidth="1"/>
    <col min="12" max="16384" width="9.140625" style="21"/>
  </cols>
  <sheetData>
    <row r="1" spans="1:11">
      <c r="A1" s="21" t="s">
        <v>27</v>
      </c>
    </row>
    <row r="2" spans="1:11">
      <c r="A2" s="21" t="s">
        <v>29</v>
      </c>
      <c r="B2" s="19"/>
      <c r="C2" s="19"/>
      <c r="D2" s="19"/>
    </row>
    <row r="3" spans="1:11">
      <c r="B3" s="19"/>
      <c r="C3" s="19"/>
      <c r="D3" s="19"/>
    </row>
    <row r="4" spans="1:11" ht="13.5" thickBot="1">
      <c r="A4" s="21" t="s">
        <v>413</v>
      </c>
      <c r="B4" s="385" t="s">
        <v>25</v>
      </c>
      <c r="C4" s="19"/>
      <c r="D4" s="19"/>
    </row>
    <row r="5" spans="1:11" ht="30" customHeight="1">
      <c r="A5" s="518"/>
      <c r="B5" s="519"/>
      <c r="C5" s="520" t="s">
        <v>414</v>
      </c>
      <c r="D5" s="520"/>
      <c r="E5" s="520"/>
      <c r="F5" s="520" t="s">
        <v>415</v>
      </c>
      <c r="G5" s="520"/>
      <c r="H5" s="520"/>
      <c r="I5" s="520" t="s">
        <v>416</v>
      </c>
      <c r="J5" s="520"/>
      <c r="K5" s="521"/>
    </row>
    <row r="6" spans="1:11">
      <c r="A6" s="402"/>
      <c r="B6" s="403"/>
      <c r="C6" s="392" t="s">
        <v>82</v>
      </c>
      <c r="D6" s="392" t="s">
        <v>122</v>
      </c>
      <c r="E6" s="392" t="s">
        <v>84</v>
      </c>
      <c r="F6" s="392" t="s">
        <v>82</v>
      </c>
      <c r="G6" s="392" t="s">
        <v>122</v>
      </c>
      <c r="H6" s="392" t="s">
        <v>84</v>
      </c>
      <c r="I6" s="392" t="s">
        <v>82</v>
      </c>
      <c r="J6" s="392" t="s">
        <v>122</v>
      </c>
      <c r="K6" s="404" t="s">
        <v>84</v>
      </c>
    </row>
    <row r="7" spans="1:11">
      <c r="A7" s="405" t="s">
        <v>417</v>
      </c>
      <c r="B7" s="406"/>
      <c r="C7" s="406"/>
      <c r="D7" s="406"/>
      <c r="E7" s="406"/>
      <c r="F7" s="406"/>
      <c r="G7" s="406"/>
      <c r="H7" s="406"/>
      <c r="I7" s="406"/>
      <c r="J7" s="406"/>
      <c r="K7" s="407"/>
    </row>
    <row r="8" spans="1:11">
      <c r="A8" s="408">
        <v>1</v>
      </c>
      <c r="B8" s="409" t="s">
        <v>417</v>
      </c>
      <c r="C8" s="39"/>
      <c r="D8" s="39"/>
      <c r="E8" s="39"/>
      <c r="F8" s="410">
        <v>64259170.530000001</v>
      </c>
      <c r="G8" s="410">
        <v>115004927.49427499</v>
      </c>
      <c r="H8" s="410">
        <v>179264098.02427498</v>
      </c>
      <c r="I8" s="410">
        <v>64115789.07</v>
      </c>
      <c r="J8" s="410">
        <v>103270698.8478</v>
      </c>
      <c r="K8" s="411">
        <v>167386487.91780001</v>
      </c>
    </row>
    <row r="9" spans="1:11">
      <c r="A9" s="405" t="s">
        <v>418</v>
      </c>
      <c r="B9" s="406"/>
      <c r="C9" s="406"/>
      <c r="D9" s="406"/>
      <c r="E9" s="406"/>
      <c r="F9" s="406"/>
      <c r="G9" s="406"/>
      <c r="H9" s="406"/>
      <c r="I9" s="406"/>
      <c r="J9" s="406"/>
      <c r="K9" s="407"/>
    </row>
    <row r="10" spans="1:11">
      <c r="A10" s="153">
        <v>2</v>
      </c>
      <c r="B10" s="412" t="s">
        <v>419</v>
      </c>
      <c r="C10" s="413">
        <v>32071728.749999736</v>
      </c>
      <c r="D10" s="414">
        <v>172687730.35455501</v>
      </c>
      <c r="E10" s="414">
        <f>SUM(C10:D10)</f>
        <v>204759459.10455474</v>
      </c>
      <c r="F10" s="414">
        <v>6351051.3688609479</v>
      </c>
      <c r="G10" s="414">
        <v>33476401.688328501</v>
      </c>
      <c r="H10" s="414">
        <f>SUM(F10:G10)</f>
        <v>39827453.05718945</v>
      </c>
      <c r="I10" s="414">
        <v>1616552.5241699871</v>
      </c>
      <c r="J10" s="414">
        <v>8033278.4516565008</v>
      </c>
      <c r="K10" s="415">
        <f>SUM(I10:J10)</f>
        <v>9649830.9758264869</v>
      </c>
    </row>
    <row r="11" spans="1:11">
      <c r="A11" s="153">
        <v>3</v>
      </c>
      <c r="B11" s="412" t="s">
        <v>420</v>
      </c>
      <c r="C11" s="413">
        <v>205159218.56200004</v>
      </c>
      <c r="D11" s="416">
        <v>258204843.48846501</v>
      </c>
      <c r="E11" s="414">
        <f t="shared" ref="E11:E21" si="0">SUM(C11:D11)</f>
        <v>463364062.05046505</v>
      </c>
      <c r="F11" s="414">
        <v>53495616.69372002</v>
      </c>
      <c r="G11" s="414">
        <v>86208122.062867522</v>
      </c>
      <c r="H11" s="414">
        <f t="shared" ref="H11:H21" si="1">SUM(F11:G11)</f>
        <v>139703738.75658754</v>
      </c>
      <c r="I11" s="414">
        <v>49099482.973900013</v>
      </c>
      <c r="J11" s="414">
        <v>71456721.198264986</v>
      </c>
      <c r="K11" s="415">
        <f t="shared" ref="K11:K16" si="2">SUM(I11:J11)</f>
        <v>120556204.17216501</v>
      </c>
    </row>
    <row r="12" spans="1:11">
      <c r="A12" s="153">
        <v>4</v>
      </c>
      <c r="B12" s="412" t="s">
        <v>421</v>
      </c>
      <c r="C12" s="413">
        <v>24000000</v>
      </c>
      <c r="D12" s="414">
        <v>0</v>
      </c>
      <c r="E12" s="414">
        <f t="shared" si="0"/>
        <v>24000000</v>
      </c>
      <c r="F12" s="414">
        <v>0</v>
      </c>
      <c r="G12" s="414">
        <v>0</v>
      </c>
      <c r="H12" s="414">
        <f t="shared" si="1"/>
        <v>0</v>
      </c>
      <c r="I12" s="414">
        <v>0</v>
      </c>
      <c r="J12" s="414">
        <v>0</v>
      </c>
      <c r="K12" s="415">
        <f t="shared" si="2"/>
        <v>0</v>
      </c>
    </row>
    <row r="13" spans="1:11">
      <c r="A13" s="153">
        <v>5</v>
      </c>
      <c r="B13" s="412" t="s">
        <v>422</v>
      </c>
      <c r="C13" s="413">
        <v>9425331.640000008</v>
      </c>
      <c r="D13" s="414">
        <v>9187437.9512000009</v>
      </c>
      <c r="E13" s="414">
        <f t="shared" si="0"/>
        <v>18612769.591200009</v>
      </c>
      <c r="F13" s="414">
        <v>2232795.5556000015</v>
      </c>
      <c r="G13" s="414">
        <v>2722214.8492099997</v>
      </c>
      <c r="H13" s="414">
        <f t="shared" si="1"/>
        <v>4955010.4048100011</v>
      </c>
      <c r="I13" s="414">
        <v>644825.93150000041</v>
      </c>
      <c r="J13" s="414">
        <v>868893.17739000008</v>
      </c>
      <c r="K13" s="415">
        <f t="shared" si="2"/>
        <v>1513719.1088900005</v>
      </c>
    </row>
    <row r="14" spans="1:11">
      <c r="A14" s="153">
        <v>6</v>
      </c>
      <c r="B14" s="412" t="s">
        <v>423</v>
      </c>
      <c r="C14" s="413">
        <v>5149857.3100000005</v>
      </c>
      <c r="D14" s="414">
        <v>1461373.1064000004</v>
      </c>
      <c r="E14" s="414">
        <f t="shared" si="0"/>
        <v>6611230.4164000005</v>
      </c>
      <c r="F14" s="414">
        <v>0</v>
      </c>
      <c r="G14" s="414">
        <v>0</v>
      </c>
      <c r="H14" s="414">
        <f t="shared" si="1"/>
        <v>0</v>
      </c>
      <c r="I14" s="414">
        <v>0</v>
      </c>
      <c r="J14" s="414">
        <v>0</v>
      </c>
      <c r="K14" s="415">
        <f t="shared" si="2"/>
        <v>0</v>
      </c>
    </row>
    <row r="15" spans="1:11">
      <c r="A15" s="153">
        <v>7</v>
      </c>
      <c r="B15" s="412" t="s">
        <v>424</v>
      </c>
      <c r="C15" s="413">
        <v>3570757.1100000003</v>
      </c>
      <c r="D15" s="414">
        <v>8554390.057599999</v>
      </c>
      <c r="E15" s="414">
        <f t="shared" si="0"/>
        <v>12125147.167599998</v>
      </c>
      <c r="F15" s="414">
        <v>2249159.1</v>
      </c>
      <c r="G15" s="414">
        <v>7249514.3669999996</v>
      </c>
      <c r="H15" s="414">
        <f t="shared" si="1"/>
        <v>9498673.4670000002</v>
      </c>
      <c r="I15" s="414">
        <v>2249159.1</v>
      </c>
      <c r="J15" s="414">
        <v>7249514.3669999996</v>
      </c>
      <c r="K15" s="415">
        <f t="shared" si="2"/>
        <v>9498673.4670000002</v>
      </c>
    </row>
    <row r="16" spans="1:11">
      <c r="A16" s="153">
        <v>8</v>
      </c>
      <c r="B16" s="417" t="s">
        <v>425</v>
      </c>
      <c r="C16" s="413">
        <f>SUM(C10:C15)</f>
        <v>279376893.3719998</v>
      </c>
      <c r="D16" s="414">
        <f>SUM(D10:D15)</f>
        <v>450095774.95822006</v>
      </c>
      <c r="E16" s="414">
        <f t="shared" si="0"/>
        <v>729472668.33021986</v>
      </c>
      <c r="F16" s="414">
        <f>SUM(F10:F15)</f>
        <v>64328622.718180969</v>
      </c>
      <c r="G16" s="414">
        <f>SUM(G10:G15)</f>
        <v>129656252.96740602</v>
      </c>
      <c r="H16" s="414">
        <f t="shared" si="1"/>
        <v>193984875.68558699</v>
      </c>
      <c r="I16" s="414">
        <f>SUM(I10:I15)</f>
        <v>53610020.529570006</v>
      </c>
      <c r="J16" s="414">
        <f>SUM(J10:J15)</f>
        <v>87608407.194311485</v>
      </c>
      <c r="K16" s="415">
        <f t="shared" si="2"/>
        <v>141218427.72388148</v>
      </c>
    </row>
    <row r="17" spans="1:11">
      <c r="A17" s="405" t="s">
        <v>426</v>
      </c>
      <c r="B17" s="406"/>
      <c r="C17" s="418"/>
      <c r="D17" s="418"/>
      <c r="E17" s="418"/>
      <c r="F17" s="418"/>
      <c r="G17" s="418"/>
      <c r="H17" s="418"/>
      <c r="I17" s="418"/>
      <c r="J17" s="418"/>
      <c r="K17" s="419"/>
    </row>
    <row r="18" spans="1:11">
      <c r="A18" s="153">
        <v>9</v>
      </c>
      <c r="B18" s="412" t="s">
        <v>427</v>
      </c>
      <c r="C18" s="413">
        <v>0</v>
      </c>
      <c r="D18" s="414">
        <v>0</v>
      </c>
      <c r="E18" s="414">
        <f t="shared" si="0"/>
        <v>0</v>
      </c>
      <c r="F18" s="414">
        <v>0</v>
      </c>
      <c r="G18" s="414">
        <v>0</v>
      </c>
      <c r="H18" s="414">
        <f t="shared" si="1"/>
        <v>0</v>
      </c>
      <c r="I18" s="414">
        <v>0</v>
      </c>
      <c r="J18" s="414">
        <v>0</v>
      </c>
      <c r="K18" s="415">
        <f>SUM(I18:J18)</f>
        <v>0</v>
      </c>
    </row>
    <row r="19" spans="1:11">
      <c r="A19" s="153">
        <v>10</v>
      </c>
      <c r="B19" s="412" t="s">
        <v>428</v>
      </c>
      <c r="C19" s="413">
        <v>197714768.0399996</v>
      </c>
      <c r="D19" s="414">
        <v>342712314.9915998</v>
      </c>
      <c r="E19" s="414">
        <f t="shared" si="0"/>
        <v>540427083.0315994</v>
      </c>
      <c r="F19" s="414">
        <v>20488758.499999996</v>
      </c>
      <c r="G19" s="414">
        <v>20807045.015250005</v>
      </c>
      <c r="H19" s="414">
        <f t="shared" si="1"/>
        <v>41295803.515249997</v>
      </c>
      <c r="I19" s="414">
        <v>20632139.959999997</v>
      </c>
      <c r="J19" s="414">
        <v>51875909.378850006</v>
      </c>
      <c r="K19" s="415">
        <f>SUM(I19:J19)</f>
        <v>72508049.338850006</v>
      </c>
    </row>
    <row r="20" spans="1:11">
      <c r="A20" s="153">
        <v>11</v>
      </c>
      <c r="B20" s="412" t="s">
        <v>429</v>
      </c>
      <c r="C20" s="413">
        <v>1466167.4200000002</v>
      </c>
      <c r="D20" s="414">
        <v>18414.6371</v>
      </c>
      <c r="E20" s="414">
        <f t="shared" si="0"/>
        <v>1484582.0571000001</v>
      </c>
      <c r="F20" s="414">
        <v>1109850.8900000001</v>
      </c>
      <c r="G20" s="414">
        <v>0</v>
      </c>
      <c r="H20" s="414">
        <f t="shared" si="1"/>
        <v>1109850.8900000001</v>
      </c>
      <c r="I20" s="414">
        <v>1109850.8900000001</v>
      </c>
      <c r="J20" s="414">
        <v>0</v>
      </c>
      <c r="K20" s="415">
        <f>SUM(I20:J20)</f>
        <v>1109850.8900000001</v>
      </c>
    </row>
    <row r="21" spans="1:11" ht="13.5" thickBot="1">
      <c r="A21" s="160">
        <v>12</v>
      </c>
      <c r="B21" s="420" t="s">
        <v>430</v>
      </c>
      <c r="C21" s="421">
        <f>SUM(C18:C20)</f>
        <v>199180935.45999959</v>
      </c>
      <c r="D21" s="421">
        <f>SUM(D18:D20)</f>
        <v>342730729.62869978</v>
      </c>
      <c r="E21" s="421">
        <f t="shared" si="0"/>
        <v>541911665.08869934</v>
      </c>
      <c r="F21" s="422">
        <f>SUM(F18:F20)</f>
        <v>21598609.389999997</v>
      </c>
      <c r="G21" s="422">
        <f>SUM(G18:G20)</f>
        <v>20807045.015250005</v>
      </c>
      <c r="H21" s="414">
        <f t="shared" si="1"/>
        <v>42405654.405249998</v>
      </c>
      <c r="I21" s="422">
        <f>SUM(I18:I20)</f>
        <v>21741990.849999998</v>
      </c>
      <c r="J21" s="422">
        <f>SUM(J18:J20)</f>
        <v>51875909.378850006</v>
      </c>
      <c r="K21" s="415">
        <f>SUM(I21:J21)</f>
        <v>73617900.228850007</v>
      </c>
    </row>
    <row r="22" spans="1:11" ht="38.25" customHeight="1" thickBot="1">
      <c r="A22" s="423"/>
      <c r="B22" s="424"/>
      <c r="C22" s="424"/>
      <c r="D22" s="424"/>
      <c r="E22" s="424"/>
      <c r="F22" s="522" t="s">
        <v>431</v>
      </c>
      <c r="G22" s="520"/>
      <c r="H22" s="520"/>
      <c r="I22" s="522" t="s">
        <v>432</v>
      </c>
      <c r="J22" s="520"/>
      <c r="K22" s="521"/>
    </row>
    <row r="23" spans="1:11">
      <c r="A23" s="425">
        <v>13</v>
      </c>
      <c r="B23" s="426" t="s">
        <v>417</v>
      </c>
      <c r="C23" s="427"/>
      <c r="D23" s="427"/>
      <c r="E23" s="427"/>
      <c r="F23" s="428">
        <f t="shared" ref="F23:K23" si="3">F8</f>
        <v>64259170.530000001</v>
      </c>
      <c r="G23" s="428">
        <f t="shared" si="3"/>
        <v>115004927.49427499</v>
      </c>
      <c r="H23" s="428">
        <f t="shared" si="3"/>
        <v>179264098.02427498</v>
      </c>
      <c r="I23" s="428">
        <f t="shared" si="3"/>
        <v>64115789.07</v>
      </c>
      <c r="J23" s="428">
        <f t="shared" si="3"/>
        <v>103270698.8478</v>
      </c>
      <c r="K23" s="429">
        <f t="shared" si="3"/>
        <v>167386487.91780001</v>
      </c>
    </row>
    <row r="24" spans="1:11" ht="13.5" thickBot="1">
      <c r="A24" s="430">
        <v>14</v>
      </c>
      <c r="B24" s="431" t="s">
        <v>433</v>
      </c>
      <c r="C24" s="432"/>
      <c r="D24" s="433"/>
      <c r="E24" s="434"/>
      <c r="F24" s="435">
        <f t="shared" ref="F24:K24" si="4">MAX(F16-F21,F16*0.25)</f>
        <v>42730013.328180969</v>
      </c>
      <c r="G24" s="435">
        <f t="shared" si="4"/>
        <v>108849207.95215601</v>
      </c>
      <c r="H24" s="435">
        <f t="shared" si="4"/>
        <v>151579221.28033698</v>
      </c>
      <c r="I24" s="435">
        <f t="shared" si="4"/>
        <v>31868029.679570008</v>
      </c>
      <c r="J24" s="435">
        <f t="shared" si="4"/>
        <v>35732497.815461479</v>
      </c>
      <c r="K24" s="436">
        <f t="shared" si="4"/>
        <v>67600527.495031476</v>
      </c>
    </row>
    <row r="25" spans="1:11" ht="13.5" thickBot="1">
      <c r="A25" s="437">
        <v>15</v>
      </c>
      <c r="B25" s="438" t="s">
        <v>72</v>
      </c>
      <c r="C25" s="439"/>
      <c r="D25" s="439"/>
      <c r="E25" s="439"/>
      <c r="F25" s="440">
        <f t="shared" ref="F25:K25" si="5">F23/F24</f>
        <v>1.5038415746905534</v>
      </c>
      <c r="G25" s="440">
        <f t="shared" si="5"/>
        <v>1.056552727005829</v>
      </c>
      <c r="H25" s="440">
        <f t="shared" si="5"/>
        <v>1.1826429540282202</v>
      </c>
      <c r="I25" s="440">
        <f t="shared" si="5"/>
        <v>2.011915694653172</v>
      </c>
      <c r="J25" s="440">
        <f t="shared" si="5"/>
        <v>2.8901057905645402</v>
      </c>
      <c r="K25" s="441">
        <f t="shared" si="5"/>
        <v>2.4761121565227819</v>
      </c>
    </row>
    <row r="28" spans="1:11" ht="38.25">
      <c r="B28" s="442" t="s">
        <v>434</v>
      </c>
    </row>
    <row r="29" spans="1:11">
      <c r="B29" s="21" t="s">
        <v>435</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N22"/>
  <sheetViews>
    <sheetView view="pageBreakPreview" zoomScaleNormal="100" zoomScaleSheetLayoutView="100" workbookViewId="0">
      <pane xSplit="1" ySplit="5" topLeftCell="C7" activePane="bottomRight" state="frozen"/>
      <selection activeCell="P24" sqref="P24:Q24"/>
      <selection pane="topRight" activeCell="P24" sqref="P24:Q24"/>
      <selection pane="bottomLeft" activeCell="P24" sqref="P24:Q24"/>
      <selection pane="bottomRight" activeCell="V28" sqref="V28"/>
    </sheetView>
  </sheetViews>
  <sheetFormatPr defaultColWidth="9.140625" defaultRowHeight="15"/>
  <cols>
    <col min="1" max="1" width="10.5703125" style="301" bestFit="1" customWidth="1"/>
    <col min="2" max="2" width="95" style="301" customWidth="1"/>
    <col min="3" max="3" width="14.7109375" style="301" bestFit="1" customWidth="1"/>
    <col min="4" max="4" width="10" style="301" bestFit="1" customWidth="1"/>
    <col min="5" max="5" width="18.28515625" style="301" bestFit="1" customWidth="1"/>
    <col min="6" max="10" width="4.85546875" style="301" bestFit="1" customWidth="1"/>
    <col min="11" max="11" width="11" style="301" bestFit="1" customWidth="1"/>
    <col min="12" max="13" width="5.7109375" style="301" bestFit="1" customWidth="1"/>
    <col min="14" max="14" width="31" style="301" bestFit="1" customWidth="1"/>
    <col min="15" max="16384" width="9.140625" style="132"/>
  </cols>
  <sheetData>
    <row r="1" spans="1:14">
      <c r="A1" s="301" t="s">
        <v>436</v>
      </c>
      <c r="B1" s="21" t="str">
        <f>'1. key ratios'!B1</f>
        <v>სს ტერაბანკი</v>
      </c>
    </row>
    <row r="2" spans="1:14" ht="14.25" customHeight="1">
      <c r="A2" s="301" t="s">
        <v>29</v>
      </c>
      <c r="B2" s="86">
        <f>'1. key ratios'!B2</f>
        <v>43100</v>
      </c>
    </row>
    <row r="3" spans="1:14" ht="14.25" customHeight="1"/>
    <row r="4" spans="1:14" ht="15.75" thickBot="1">
      <c r="A4" s="21" t="s">
        <v>437</v>
      </c>
      <c r="B4" s="443" t="s">
        <v>26</v>
      </c>
    </row>
    <row r="5" spans="1:14" s="448" customFormat="1" ht="12.75">
      <c r="A5" s="444"/>
      <c r="B5" s="445"/>
      <c r="C5" s="446" t="s">
        <v>263</v>
      </c>
      <c r="D5" s="446" t="s">
        <v>264</v>
      </c>
      <c r="E5" s="446" t="s">
        <v>265</v>
      </c>
      <c r="F5" s="446" t="s">
        <v>348</v>
      </c>
      <c r="G5" s="446" t="s">
        <v>349</v>
      </c>
      <c r="H5" s="446" t="s">
        <v>350</v>
      </c>
      <c r="I5" s="446" t="s">
        <v>351</v>
      </c>
      <c r="J5" s="446" t="s">
        <v>352</v>
      </c>
      <c r="K5" s="446" t="s">
        <v>353</v>
      </c>
      <c r="L5" s="446" t="s">
        <v>354</v>
      </c>
      <c r="M5" s="446" t="s">
        <v>355</v>
      </c>
      <c r="N5" s="447" t="s">
        <v>356</v>
      </c>
    </row>
    <row r="6" spans="1:14" ht="45">
      <c r="A6" s="449"/>
      <c r="B6" s="450"/>
      <c r="C6" s="451" t="s">
        <v>438</v>
      </c>
      <c r="D6" s="452" t="s">
        <v>439</v>
      </c>
      <c r="E6" s="453" t="s">
        <v>440</v>
      </c>
      <c r="F6" s="454">
        <v>0</v>
      </c>
      <c r="G6" s="454">
        <v>0.2</v>
      </c>
      <c r="H6" s="454">
        <v>0.35</v>
      </c>
      <c r="I6" s="454">
        <v>0.5</v>
      </c>
      <c r="J6" s="454">
        <v>0.75</v>
      </c>
      <c r="K6" s="454">
        <v>1</v>
      </c>
      <c r="L6" s="454">
        <v>1.5</v>
      </c>
      <c r="M6" s="454">
        <v>2.5</v>
      </c>
      <c r="N6" s="455" t="s">
        <v>26</v>
      </c>
    </row>
    <row r="7" spans="1:14">
      <c r="A7" s="456">
        <v>1</v>
      </c>
      <c r="B7" s="457" t="s">
        <v>441</v>
      </c>
      <c r="C7" s="458">
        <f>SUM(C8:C13)</f>
        <v>32513964.600000001</v>
      </c>
      <c r="D7" s="450"/>
      <c r="E7" s="459">
        <f>SUM(E8:E12)</f>
        <v>650279.29200000002</v>
      </c>
      <c r="F7" s="460">
        <v>0</v>
      </c>
      <c r="G7" s="460">
        <v>0</v>
      </c>
      <c r="H7" s="460">
        <v>0</v>
      </c>
      <c r="I7" s="460">
        <v>0</v>
      </c>
      <c r="J7" s="460">
        <v>0</v>
      </c>
      <c r="K7" s="460">
        <v>650279.29200000002</v>
      </c>
      <c r="L7" s="460">
        <v>0</v>
      </c>
      <c r="M7" s="460">
        <v>0</v>
      </c>
      <c r="N7" s="461">
        <v>650279.29200000002</v>
      </c>
    </row>
    <row r="8" spans="1:14">
      <c r="A8" s="456">
        <v>1.1000000000000001</v>
      </c>
      <c r="B8" s="462" t="s">
        <v>442</v>
      </c>
      <c r="C8" s="460">
        <v>32513964.600000001</v>
      </c>
      <c r="D8" s="463">
        <v>0.02</v>
      </c>
      <c r="E8" s="459">
        <f>C8*D8</f>
        <v>650279.29200000002</v>
      </c>
      <c r="F8" s="460">
        <v>0</v>
      </c>
      <c r="G8" s="460">
        <v>0</v>
      </c>
      <c r="H8" s="460">
        <v>0</v>
      </c>
      <c r="I8" s="460">
        <v>0</v>
      </c>
      <c r="J8" s="460">
        <v>0</v>
      </c>
      <c r="K8" s="460">
        <v>650279.29200000002</v>
      </c>
      <c r="L8" s="460">
        <v>0</v>
      </c>
      <c r="M8" s="460">
        <v>0</v>
      </c>
      <c r="N8" s="461">
        <v>650279.29200000002</v>
      </c>
    </row>
    <row r="9" spans="1:14">
      <c r="A9" s="456">
        <v>1.2</v>
      </c>
      <c r="B9" s="462" t="s">
        <v>443</v>
      </c>
      <c r="C9" s="460">
        <v>0</v>
      </c>
      <c r="D9" s="463">
        <v>0.05</v>
      </c>
      <c r="E9" s="459">
        <f>C9*D9</f>
        <v>0</v>
      </c>
      <c r="F9" s="460">
        <v>0</v>
      </c>
      <c r="G9" s="460">
        <v>0</v>
      </c>
      <c r="H9" s="460">
        <v>0</v>
      </c>
      <c r="I9" s="460">
        <v>0</v>
      </c>
      <c r="J9" s="460">
        <v>0</v>
      </c>
      <c r="K9" s="460">
        <v>0</v>
      </c>
      <c r="L9" s="460">
        <v>0</v>
      </c>
      <c r="M9" s="460">
        <v>0</v>
      </c>
      <c r="N9" s="461">
        <v>0</v>
      </c>
    </row>
    <row r="10" spans="1:14">
      <c r="A10" s="456">
        <v>1.3</v>
      </c>
      <c r="B10" s="462" t="s">
        <v>444</v>
      </c>
      <c r="C10" s="460">
        <v>0</v>
      </c>
      <c r="D10" s="463">
        <v>0.08</v>
      </c>
      <c r="E10" s="459">
        <f>C10*D10</f>
        <v>0</v>
      </c>
      <c r="F10" s="460">
        <v>0</v>
      </c>
      <c r="G10" s="460">
        <v>0</v>
      </c>
      <c r="H10" s="460">
        <v>0</v>
      </c>
      <c r="I10" s="460">
        <v>0</v>
      </c>
      <c r="J10" s="460">
        <v>0</v>
      </c>
      <c r="K10" s="460">
        <v>0</v>
      </c>
      <c r="L10" s="460">
        <v>0</v>
      </c>
      <c r="M10" s="460">
        <v>0</v>
      </c>
      <c r="N10" s="461">
        <v>0</v>
      </c>
    </row>
    <row r="11" spans="1:14">
      <c r="A11" s="456">
        <v>1.4</v>
      </c>
      <c r="B11" s="462" t="s">
        <v>445</v>
      </c>
      <c r="C11" s="460">
        <v>0</v>
      </c>
      <c r="D11" s="463">
        <v>0.11</v>
      </c>
      <c r="E11" s="459">
        <f>C11*D11</f>
        <v>0</v>
      </c>
      <c r="F11" s="460">
        <v>0</v>
      </c>
      <c r="G11" s="460">
        <v>0</v>
      </c>
      <c r="H11" s="460">
        <v>0</v>
      </c>
      <c r="I11" s="460">
        <v>0</v>
      </c>
      <c r="J11" s="460">
        <v>0</v>
      </c>
      <c r="K11" s="460">
        <v>0</v>
      </c>
      <c r="L11" s="460">
        <v>0</v>
      </c>
      <c r="M11" s="460">
        <v>0</v>
      </c>
      <c r="N11" s="461">
        <v>0</v>
      </c>
    </row>
    <row r="12" spans="1:14">
      <c r="A12" s="456">
        <v>1.5</v>
      </c>
      <c r="B12" s="462" t="s">
        <v>446</v>
      </c>
      <c r="C12" s="460">
        <v>0</v>
      </c>
      <c r="D12" s="463">
        <v>0.14000000000000001</v>
      </c>
      <c r="E12" s="459">
        <f>C12*D12</f>
        <v>0</v>
      </c>
      <c r="F12" s="460">
        <v>0</v>
      </c>
      <c r="G12" s="460">
        <v>0</v>
      </c>
      <c r="H12" s="460">
        <v>0</v>
      </c>
      <c r="I12" s="460">
        <v>0</v>
      </c>
      <c r="J12" s="460">
        <v>0</v>
      </c>
      <c r="K12" s="460">
        <v>0</v>
      </c>
      <c r="L12" s="460">
        <v>0</v>
      </c>
      <c r="M12" s="460">
        <v>0</v>
      </c>
      <c r="N12" s="461">
        <v>0</v>
      </c>
    </row>
    <row r="13" spans="1:14">
      <c r="A13" s="456">
        <v>1.6</v>
      </c>
      <c r="B13" s="464" t="s">
        <v>447</v>
      </c>
      <c r="C13" s="460">
        <v>0</v>
      </c>
      <c r="D13" s="465"/>
      <c r="E13" s="460"/>
      <c r="F13" s="460">
        <v>0</v>
      </c>
      <c r="G13" s="460">
        <v>0</v>
      </c>
      <c r="H13" s="460">
        <v>0</v>
      </c>
      <c r="I13" s="460">
        <v>0</v>
      </c>
      <c r="J13" s="460">
        <v>0</v>
      </c>
      <c r="K13" s="460">
        <v>0</v>
      </c>
      <c r="L13" s="460">
        <v>0</v>
      </c>
      <c r="M13" s="460">
        <v>0</v>
      </c>
      <c r="N13" s="461">
        <v>0</v>
      </c>
    </row>
    <row r="14" spans="1:14">
      <c r="A14" s="456">
        <v>2</v>
      </c>
      <c r="B14" s="466" t="s">
        <v>448</v>
      </c>
      <c r="C14" s="458">
        <f>SUM(C15:C20)</f>
        <v>0</v>
      </c>
      <c r="D14" s="450"/>
      <c r="E14" s="459">
        <f>SUM(E15:E19)</f>
        <v>0</v>
      </c>
      <c r="F14" s="460">
        <v>0</v>
      </c>
      <c r="G14" s="460">
        <v>0</v>
      </c>
      <c r="H14" s="460">
        <v>0</v>
      </c>
      <c r="I14" s="460">
        <v>0</v>
      </c>
      <c r="J14" s="460">
        <v>0</v>
      </c>
      <c r="K14" s="460">
        <v>0</v>
      </c>
      <c r="L14" s="460">
        <v>0</v>
      </c>
      <c r="M14" s="460">
        <v>0</v>
      </c>
      <c r="N14" s="461">
        <v>0</v>
      </c>
    </row>
    <row r="15" spans="1:14">
      <c r="A15" s="456">
        <v>2.1</v>
      </c>
      <c r="B15" s="464" t="s">
        <v>442</v>
      </c>
      <c r="C15" s="460">
        <v>0</v>
      </c>
      <c r="D15" s="463">
        <v>5.0000000000000001E-3</v>
      </c>
      <c r="E15" s="459">
        <f>D15*C15</f>
        <v>0</v>
      </c>
      <c r="F15" s="460">
        <v>0</v>
      </c>
      <c r="G15" s="460">
        <v>0</v>
      </c>
      <c r="H15" s="460">
        <v>0</v>
      </c>
      <c r="I15" s="460">
        <v>0</v>
      </c>
      <c r="J15" s="460">
        <v>0</v>
      </c>
      <c r="K15" s="460">
        <v>0</v>
      </c>
      <c r="L15" s="460">
        <v>0</v>
      </c>
      <c r="M15" s="460">
        <v>0</v>
      </c>
      <c r="N15" s="461">
        <v>0</v>
      </c>
    </row>
    <row r="16" spans="1:14">
      <c r="A16" s="456">
        <v>2.2000000000000002</v>
      </c>
      <c r="B16" s="464" t="s">
        <v>443</v>
      </c>
      <c r="C16" s="460">
        <v>0</v>
      </c>
      <c r="D16" s="463">
        <v>0.01</v>
      </c>
      <c r="E16" s="459">
        <f>D16*C16</f>
        <v>0</v>
      </c>
      <c r="F16" s="460">
        <v>0</v>
      </c>
      <c r="G16" s="460">
        <v>0</v>
      </c>
      <c r="H16" s="460">
        <v>0</v>
      </c>
      <c r="I16" s="460">
        <v>0</v>
      </c>
      <c r="J16" s="460">
        <v>0</v>
      </c>
      <c r="K16" s="460">
        <v>0</v>
      </c>
      <c r="L16" s="460">
        <v>0</v>
      </c>
      <c r="M16" s="460">
        <v>0</v>
      </c>
      <c r="N16" s="461">
        <v>0</v>
      </c>
    </row>
    <row r="17" spans="1:14">
      <c r="A17" s="456">
        <v>2.2999999999999998</v>
      </c>
      <c r="B17" s="464" t="s">
        <v>444</v>
      </c>
      <c r="C17" s="460">
        <v>0</v>
      </c>
      <c r="D17" s="463">
        <v>0.02</v>
      </c>
      <c r="E17" s="459">
        <f>D17*C17</f>
        <v>0</v>
      </c>
      <c r="F17" s="460">
        <v>0</v>
      </c>
      <c r="G17" s="460">
        <v>0</v>
      </c>
      <c r="H17" s="460">
        <v>0</v>
      </c>
      <c r="I17" s="460">
        <v>0</v>
      </c>
      <c r="J17" s="460">
        <v>0</v>
      </c>
      <c r="K17" s="460">
        <v>0</v>
      </c>
      <c r="L17" s="460">
        <v>0</v>
      </c>
      <c r="M17" s="460">
        <v>0</v>
      </c>
      <c r="N17" s="461">
        <v>0</v>
      </c>
    </row>
    <row r="18" spans="1:14">
      <c r="A18" s="456">
        <v>2.4</v>
      </c>
      <c r="B18" s="464" t="s">
        <v>445</v>
      </c>
      <c r="C18" s="460">
        <v>0</v>
      </c>
      <c r="D18" s="463">
        <v>0.03</v>
      </c>
      <c r="E18" s="459">
        <f>D18*C18</f>
        <v>0</v>
      </c>
      <c r="F18" s="460">
        <v>0</v>
      </c>
      <c r="G18" s="460">
        <v>0</v>
      </c>
      <c r="H18" s="460">
        <v>0</v>
      </c>
      <c r="I18" s="460">
        <v>0</v>
      </c>
      <c r="J18" s="460">
        <v>0</v>
      </c>
      <c r="K18" s="460">
        <v>0</v>
      </c>
      <c r="L18" s="460">
        <v>0</v>
      </c>
      <c r="M18" s="460">
        <v>0</v>
      </c>
      <c r="N18" s="461">
        <v>0</v>
      </c>
    </row>
    <row r="19" spans="1:14">
      <c r="A19" s="456">
        <v>2.5</v>
      </c>
      <c r="B19" s="464" t="s">
        <v>446</v>
      </c>
      <c r="C19" s="460">
        <v>0</v>
      </c>
      <c r="D19" s="463">
        <v>0.04</v>
      </c>
      <c r="E19" s="459">
        <f>D19*C19</f>
        <v>0</v>
      </c>
      <c r="F19" s="460">
        <v>0</v>
      </c>
      <c r="G19" s="460">
        <v>0</v>
      </c>
      <c r="H19" s="460">
        <v>0</v>
      </c>
      <c r="I19" s="460">
        <v>0</v>
      </c>
      <c r="J19" s="460">
        <v>0</v>
      </c>
      <c r="K19" s="460">
        <v>0</v>
      </c>
      <c r="L19" s="460">
        <v>0</v>
      </c>
      <c r="M19" s="460">
        <v>0</v>
      </c>
      <c r="N19" s="461">
        <v>0</v>
      </c>
    </row>
    <row r="20" spans="1:14">
      <c r="A20" s="456">
        <v>2.6</v>
      </c>
      <c r="B20" s="464" t="s">
        <v>447</v>
      </c>
      <c r="C20" s="460">
        <v>0</v>
      </c>
      <c r="D20" s="465"/>
      <c r="E20" s="467"/>
      <c r="F20" s="460">
        <v>0</v>
      </c>
      <c r="G20" s="460">
        <v>0</v>
      </c>
      <c r="H20" s="460">
        <v>0</v>
      </c>
      <c r="I20" s="460">
        <v>0</v>
      </c>
      <c r="J20" s="460">
        <v>0</v>
      </c>
      <c r="K20" s="460">
        <v>0</v>
      </c>
      <c r="L20" s="460">
        <v>0</v>
      </c>
      <c r="M20" s="460">
        <v>0</v>
      </c>
      <c r="N20" s="461">
        <v>0</v>
      </c>
    </row>
    <row r="21" spans="1:14" ht="15.75" thickBot="1">
      <c r="A21" s="468">
        <v>3</v>
      </c>
      <c r="B21" s="469" t="s">
        <v>84</v>
      </c>
      <c r="C21" s="470">
        <f>C7+C14</f>
        <v>32513964.600000001</v>
      </c>
      <c r="D21" s="471"/>
      <c r="E21" s="472">
        <f>SUM(E7+E14)</f>
        <v>650279.29200000002</v>
      </c>
      <c r="F21" s="460">
        <v>0</v>
      </c>
      <c r="G21" s="460">
        <v>0</v>
      </c>
      <c r="H21" s="460">
        <v>0</v>
      </c>
      <c r="I21" s="460">
        <v>0</v>
      </c>
      <c r="J21" s="460">
        <v>0</v>
      </c>
      <c r="K21" s="460">
        <v>0</v>
      </c>
      <c r="L21" s="460">
        <v>0</v>
      </c>
      <c r="M21" s="460">
        <v>0</v>
      </c>
      <c r="N21" s="461">
        <v>650279.29200000002</v>
      </c>
    </row>
    <row r="22" spans="1:14">
      <c r="E22" s="473"/>
      <c r="F22" s="473"/>
      <c r="G22" s="473"/>
      <c r="H22" s="473"/>
      <c r="I22" s="473"/>
      <c r="J22" s="473"/>
      <c r="K22" s="473"/>
      <c r="L22" s="473"/>
      <c r="M22" s="47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H46"/>
  <sheetViews>
    <sheetView showGridLines="0" zoomScaleNormal="100" workbookViewId="0">
      <pane xSplit="1" ySplit="5" topLeftCell="B39" activePane="bottomRight" state="frozen"/>
      <selection activeCell="P24" sqref="P24:Q24"/>
      <selection pane="topRight" activeCell="P24" sqref="P24:Q24"/>
      <selection pane="bottomLeft" activeCell="P24" sqref="P24:Q24"/>
      <selection pane="bottomRight" activeCell="B2" sqref="B2"/>
    </sheetView>
  </sheetViews>
  <sheetFormatPr defaultRowHeight="15.75"/>
  <cols>
    <col min="1" max="1" width="9.5703125" style="82" bestFit="1" customWidth="1"/>
    <col min="2" max="2" width="86" style="23" customWidth="1"/>
    <col min="3" max="3" width="12.7109375" style="23" customWidth="1"/>
    <col min="4" max="4" width="12.7109375" style="21" customWidth="1"/>
    <col min="5" max="5" width="14" style="21" bestFit="1" customWidth="1"/>
    <col min="6" max="6" width="13.7109375" style="21" bestFit="1" customWidth="1"/>
    <col min="7" max="7" width="13.28515625" style="21" bestFit="1" customWidth="1"/>
    <col min="8" max="13" width="6.7109375" customWidth="1"/>
  </cols>
  <sheetData>
    <row r="1" spans="1:8">
      <c r="A1" s="22" t="s">
        <v>27</v>
      </c>
      <c r="B1" s="23" t="s">
        <v>28</v>
      </c>
    </row>
    <row r="2" spans="1:8">
      <c r="A2" s="22" t="s">
        <v>29</v>
      </c>
      <c r="B2" s="24">
        <v>43100</v>
      </c>
      <c r="C2" s="25"/>
      <c r="D2" s="26"/>
      <c r="E2" s="26"/>
      <c r="F2" s="26"/>
      <c r="G2" s="26"/>
      <c r="H2" s="27"/>
    </row>
    <row r="3" spans="1:8">
      <c r="A3" s="22"/>
      <c r="C3" s="25"/>
      <c r="D3" s="26"/>
      <c r="E3" s="26"/>
      <c r="F3" s="26"/>
      <c r="G3" s="26"/>
      <c r="H3" s="27"/>
    </row>
    <row r="4" spans="1:8" ht="16.5" thickBot="1">
      <c r="A4" s="28" t="s">
        <v>30</v>
      </c>
      <c r="B4" s="29" t="s">
        <v>12</v>
      </c>
      <c r="C4" s="30"/>
      <c r="D4" s="31"/>
      <c r="E4" s="31"/>
      <c r="F4" s="31"/>
      <c r="G4" s="31"/>
      <c r="H4" s="27"/>
    </row>
    <row r="5" spans="1:8" ht="15">
      <c r="A5" s="32" t="s">
        <v>31</v>
      </c>
      <c r="B5" s="33"/>
      <c r="C5" s="34" t="s">
        <v>32</v>
      </c>
      <c r="D5" s="35" t="s">
        <v>33</v>
      </c>
      <c r="E5" s="35" t="s">
        <v>34</v>
      </c>
      <c r="F5" s="35" t="s">
        <v>35</v>
      </c>
      <c r="G5" s="36" t="s">
        <v>36</v>
      </c>
    </row>
    <row r="6" spans="1:8" ht="15">
      <c r="A6" s="37"/>
      <c r="B6" s="38" t="s">
        <v>37</v>
      </c>
      <c r="C6" s="39"/>
      <c r="D6" s="39"/>
      <c r="E6" s="39"/>
      <c r="F6" s="39"/>
      <c r="G6" s="40"/>
    </row>
    <row r="7" spans="1:8" ht="15">
      <c r="A7" s="37"/>
      <c r="B7" s="41" t="s">
        <v>38</v>
      </c>
      <c r="C7" s="39"/>
      <c r="D7" s="39"/>
      <c r="E7" s="39"/>
      <c r="F7" s="39"/>
      <c r="G7" s="40"/>
    </row>
    <row r="8" spans="1:8" ht="15">
      <c r="A8" s="42">
        <v>1</v>
      </c>
      <c r="B8" s="43" t="s">
        <v>39</v>
      </c>
      <c r="C8" s="44">
        <v>86418620.990000039</v>
      </c>
      <c r="D8" s="45">
        <v>80276998.800000042</v>
      </c>
      <c r="E8" s="45">
        <v>76989937.570000023</v>
      </c>
      <c r="F8" s="45">
        <v>74795606.299999595</v>
      </c>
      <c r="G8" s="46">
        <v>68835342.11999996</v>
      </c>
    </row>
    <row r="9" spans="1:8" ht="15">
      <c r="A9" s="42">
        <v>2</v>
      </c>
      <c r="B9" s="43" t="s">
        <v>40</v>
      </c>
      <c r="C9" s="44">
        <v>86418620.990000039</v>
      </c>
      <c r="D9" s="45">
        <v>80276998.800000042</v>
      </c>
      <c r="E9" s="45">
        <v>76989937.570000023</v>
      </c>
      <c r="F9" s="45">
        <v>74795606.299999595</v>
      </c>
      <c r="G9" s="46">
        <v>68835342.11999996</v>
      </c>
    </row>
    <row r="10" spans="1:8" ht="15">
      <c r="A10" s="42">
        <v>3</v>
      </c>
      <c r="B10" s="43" t="s">
        <v>20</v>
      </c>
      <c r="C10" s="44">
        <v>122109789.42072555</v>
      </c>
      <c r="D10" s="45">
        <v>116230334.65000011</v>
      </c>
      <c r="E10" s="45">
        <v>112842341.49569386</v>
      </c>
      <c r="F10" s="45">
        <v>110419299.5599997</v>
      </c>
      <c r="G10" s="46">
        <v>106835223.03000006</v>
      </c>
    </row>
    <row r="11" spans="1:8" ht="15">
      <c r="A11" s="37"/>
      <c r="B11" s="38" t="s">
        <v>41</v>
      </c>
      <c r="C11" s="47"/>
      <c r="D11" s="47"/>
      <c r="E11" s="47"/>
      <c r="F11" s="47"/>
      <c r="G11" s="48"/>
    </row>
    <row r="12" spans="1:8" ht="15" customHeight="1">
      <c r="A12" s="42">
        <v>4</v>
      </c>
      <c r="B12" s="43" t="s">
        <v>42</v>
      </c>
      <c r="C12" s="49">
        <v>727269059.01679111</v>
      </c>
      <c r="D12" s="45">
        <v>820727867.01928318</v>
      </c>
      <c r="E12" s="50">
        <v>774395368.41360295</v>
      </c>
      <c r="F12" s="50">
        <v>744854807.92622995</v>
      </c>
      <c r="G12" s="51">
        <v>797372457.71658361</v>
      </c>
    </row>
    <row r="13" spans="1:8" ht="15" customHeight="1">
      <c r="A13" s="42">
        <v>5</v>
      </c>
      <c r="B13" s="43" t="s">
        <v>43</v>
      </c>
      <c r="C13" s="44">
        <v>871933160.85770094</v>
      </c>
      <c r="D13" s="45">
        <v>734438172.13749993</v>
      </c>
      <c r="E13" s="50">
        <v>694495238.74299943</v>
      </c>
      <c r="F13" s="50">
        <v>659502830.77420008</v>
      </c>
      <c r="G13" s="51">
        <v>711096383.0809989</v>
      </c>
    </row>
    <row r="14" spans="1:8" ht="15">
      <c r="A14" s="37"/>
      <c r="B14" s="38" t="s">
        <v>44</v>
      </c>
      <c r="C14" s="39"/>
      <c r="D14" s="39"/>
      <c r="E14" s="39"/>
      <c r="F14" s="39"/>
      <c r="G14" s="40"/>
    </row>
    <row r="15" spans="1:8" s="20" customFormat="1" ht="15">
      <c r="A15" s="42"/>
      <c r="B15" s="41" t="s">
        <v>45</v>
      </c>
      <c r="C15" s="39"/>
      <c r="D15" s="39"/>
      <c r="E15" s="39"/>
      <c r="F15" s="39"/>
      <c r="G15" s="40"/>
    </row>
    <row r="16" spans="1:8" ht="15">
      <c r="A16" s="52">
        <v>6</v>
      </c>
      <c r="B16" s="53" t="s">
        <v>46</v>
      </c>
      <c r="C16" s="54">
        <f>C8/C12</f>
        <v>0.1188262032030223</v>
      </c>
      <c r="D16" s="55">
        <v>9.7811956954196991E-2</v>
      </c>
      <c r="E16" s="55">
        <v>9.9419418956131794E-2</v>
      </c>
      <c r="F16" s="55">
        <v>0.10041635699209625</v>
      </c>
      <c r="G16" s="56">
        <v>8.6327714801088168E-2</v>
      </c>
    </row>
    <row r="17" spans="1:7" ht="15" customHeight="1">
      <c r="A17" s="52">
        <v>7</v>
      </c>
      <c r="B17" s="53" t="s">
        <v>47</v>
      </c>
      <c r="C17" s="54">
        <f>C9/C12</f>
        <v>0.1188262032030223</v>
      </c>
      <c r="D17" s="55">
        <v>9.7811956954196991E-2</v>
      </c>
      <c r="E17" s="55">
        <v>9.9419418956131794E-2</v>
      </c>
      <c r="F17" s="55">
        <v>0.10041635699209625</v>
      </c>
      <c r="G17" s="56">
        <v>8.6327714801088168E-2</v>
      </c>
    </row>
    <row r="18" spans="1:7" ht="15">
      <c r="A18" s="52">
        <v>8</v>
      </c>
      <c r="B18" s="53" t="s">
        <v>48</v>
      </c>
      <c r="C18" s="54">
        <f>C10/C12</f>
        <v>0.16790180732534959</v>
      </c>
      <c r="D18" s="55">
        <v>0.14161860382799607</v>
      </c>
      <c r="E18" s="55">
        <v>0.14571670505578876</v>
      </c>
      <c r="F18" s="55">
        <v>0.14824271574136846</v>
      </c>
      <c r="G18" s="56">
        <v>0.1339840898642794</v>
      </c>
    </row>
    <row r="19" spans="1:7" s="20" customFormat="1" ht="15">
      <c r="A19" s="42"/>
      <c r="B19" s="41" t="s">
        <v>49</v>
      </c>
      <c r="C19" s="57"/>
      <c r="D19" s="58"/>
      <c r="E19" s="58"/>
      <c r="F19" s="58"/>
      <c r="G19" s="59"/>
    </row>
    <row r="20" spans="1:7" ht="15">
      <c r="A20" s="52">
        <v>9</v>
      </c>
      <c r="B20" s="53" t="s">
        <v>50</v>
      </c>
      <c r="C20" s="60">
        <v>8.0462005884702981E-2</v>
      </c>
      <c r="D20" s="55">
        <v>9.4775541033518582E-2</v>
      </c>
      <c r="E20" s="55">
        <v>9.9440486078776799E-2</v>
      </c>
      <c r="F20" s="55">
        <v>0.10516748963545665</v>
      </c>
      <c r="G20" s="56">
        <v>0.11658265296022034</v>
      </c>
    </row>
    <row r="21" spans="1:7" ht="15">
      <c r="A21" s="52">
        <v>10</v>
      </c>
      <c r="B21" s="53" t="s">
        <v>51</v>
      </c>
      <c r="C21" s="60">
        <v>0.14361714311544191</v>
      </c>
      <c r="D21" s="55">
        <v>0.15825748049250316</v>
      </c>
      <c r="E21" s="55">
        <v>0.16254369155117274</v>
      </c>
      <c r="F21" s="55">
        <v>0.16742809038495993</v>
      </c>
      <c r="G21" s="56">
        <v>0.15024014405348313</v>
      </c>
    </row>
    <row r="22" spans="1:7" ht="15">
      <c r="A22" s="37"/>
      <c r="B22" s="38" t="s">
        <v>52</v>
      </c>
      <c r="C22" s="61"/>
      <c r="D22" s="61"/>
      <c r="E22" s="61"/>
      <c r="F22" s="61"/>
      <c r="G22" s="62"/>
    </row>
    <row r="23" spans="1:7" ht="15" customHeight="1">
      <c r="A23" s="63">
        <v>11</v>
      </c>
      <c r="B23" s="64" t="s">
        <v>53</v>
      </c>
      <c r="C23" s="65">
        <v>8.4892746707452449E-2</v>
      </c>
      <c r="D23" s="66">
        <v>8.4367337093536471E-2</v>
      </c>
      <c r="E23" s="66">
        <v>8.3581928966828076E-2</v>
      </c>
      <c r="F23" s="66">
        <v>8.266983911440598E-2</v>
      </c>
      <c r="G23" s="67">
        <v>9.0782559195747015E-2</v>
      </c>
    </row>
    <row r="24" spans="1:7" ht="15">
      <c r="A24" s="63">
        <v>12</v>
      </c>
      <c r="B24" s="64" t="s">
        <v>54</v>
      </c>
      <c r="C24" s="65">
        <v>4.1080132040917809E-2</v>
      </c>
      <c r="D24" s="66">
        <v>4.1014626567217452E-2</v>
      </c>
      <c r="E24" s="66">
        <v>4.1196113379557274E-2</v>
      </c>
      <c r="F24" s="66">
        <v>4.2297634596985725E-2</v>
      </c>
      <c r="G24" s="67">
        <v>5.4756954309301921E-2</v>
      </c>
    </row>
    <row r="25" spans="1:7" ht="15">
      <c r="A25" s="63">
        <v>13</v>
      </c>
      <c r="B25" s="64" t="s">
        <v>55</v>
      </c>
      <c r="C25" s="65">
        <v>2.0091008076554968E-2</v>
      </c>
      <c r="D25" s="66">
        <v>2.7341690073535697E-2</v>
      </c>
      <c r="E25" s="66">
        <v>2.8878472911685538E-2</v>
      </c>
      <c r="F25" s="66">
        <v>1.9789349218024686E-2</v>
      </c>
      <c r="G25" s="67">
        <v>1.4489234734212673E-2</v>
      </c>
    </row>
    <row r="26" spans="1:7" ht="15">
      <c r="A26" s="63">
        <v>14</v>
      </c>
      <c r="B26" s="64" t="s">
        <v>56</v>
      </c>
      <c r="C26" s="65">
        <v>4.381261466653464E-2</v>
      </c>
      <c r="D26" s="66">
        <v>4.3352710526319026E-2</v>
      </c>
      <c r="E26" s="66">
        <v>4.2385815587270802E-2</v>
      </c>
      <c r="F26" s="66">
        <v>4.0372204517420268E-2</v>
      </c>
      <c r="G26" s="67">
        <v>3.602560488644508E-2</v>
      </c>
    </row>
    <row r="27" spans="1:7" ht="15">
      <c r="A27" s="63">
        <v>15</v>
      </c>
      <c r="B27" s="64" t="s">
        <v>57</v>
      </c>
      <c r="C27" s="65">
        <v>2.2564253094255991E-2</v>
      </c>
      <c r="D27" s="66">
        <v>2.0408431019269015E-2</v>
      </c>
      <c r="E27" s="66">
        <v>2.313427262294393E-2</v>
      </c>
      <c r="F27" s="66">
        <v>3.1943245079547419E-2</v>
      </c>
      <c r="G27" s="67">
        <v>-2.0513570475940841E-2</v>
      </c>
    </row>
    <row r="28" spans="1:7" ht="15">
      <c r="A28" s="63">
        <v>16</v>
      </c>
      <c r="B28" s="64" t="s">
        <v>58</v>
      </c>
      <c r="C28" s="65">
        <v>0.15264656626361772</v>
      </c>
      <c r="D28" s="66">
        <v>0.13602644401600769</v>
      </c>
      <c r="E28" s="66">
        <v>0.15366679493746499</v>
      </c>
      <c r="F28" s="66">
        <v>0.21239922454252888</v>
      </c>
      <c r="G28" s="67">
        <v>-0.15003322133099659</v>
      </c>
    </row>
    <row r="29" spans="1:7" ht="15">
      <c r="A29" s="37"/>
      <c r="B29" s="38" t="s">
        <v>59</v>
      </c>
      <c r="C29" s="61"/>
      <c r="D29" s="61"/>
      <c r="E29" s="61"/>
      <c r="F29" s="61"/>
      <c r="G29" s="62"/>
    </row>
    <row r="30" spans="1:7" ht="15">
      <c r="A30" s="63">
        <v>17</v>
      </c>
      <c r="B30" s="64" t="s">
        <v>60</v>
      </c>
      <c r="C30" s="65">
        <v>9.7262617647571561E-2</v>
      </c>
      <c r="D30" s="66">
        <v>0.1091019663675519</v>
      </c>
      <c r="E30" s="66">
        <v>0.10739597136539608</v>
      </c>
      <c r="F30" s="66">
        <v>0.11266427797653586</v>
      </c>
      <c r="G30" s="67">
        <v>0.11784423055789221</v>
      </c>
    </row>
    <row r="31" spans="1:7" ht="15" customHeight="1">
      <c r="A31" s="63">
        <v>18</v>
      </c>
      <c r="B31" s="64" t="s">
        <v>61</v>
      </c>
      <c r="C31" s="65">
        <f>-'2. RC'!E13/'2. RC'!E12</f>
        <v>7.2598191808898455E-2</v>
      </c>
      <c r="D31" s="66">
        <v>7.8455755268035554E-2</v>
      </c>
      <c r="E31" s="66">
        <v>7.9771539451083062E-2</v>
      </c>
      <c r="F31" s="66">
        <v>8.3342300094396068E-2</v>
      </c>
      <c r="G31" s="67">
        <v>8.7354858522005668E-2</v>
      </c>
    </row>
    <row r="32" spans="1:7" ht="15">
      <c r="A32" s="63">
        <v>19</v>
      </c>
      <c r="B32" s="64" t="s">
        <v>62</v>
      </c>
      <c r="C32" s="65">
        <f>'2. RC'!D12/'2. RC'!E12</f>
        <v>0.60033070747450434</v>
      </c>
      <c r="D32" s="66">
        <v>0.59185938601929944</v>
      </c>
      <c r="E32" s="66">
        <v>0.59440885081266359</v>
      </c>
      <c r="F32" s="66">
        <v>0.62051160848880715</v>
      </c>
      <c r="G32" s="67">
        <v>0.63312424297501102</v>
      </c>
    </row>
    <row r="33" spans="1:7" ht="15" customHeight="1">
      <c r="A33" s="63">
        <v>20</v>
      </c>
      <c r="B33" s="64" t="s">
        <v>63</v>
      </c>
      <c r="C33" s="65">
        <f>'2. RC'!D20/'2. RC'!E20</f>
        <v>0.56665000812329047</v>
      </c>
      <c r="D33" s="66">
        <v>0.55869863553493837</v>
      </c>
      <c r="E33" s="66">
        <v>0.5563357530136922</v>
      </c>
      <c r="F33" s="66">
        <v>0.58083741303898262</v>
      </c>
      <c r="G33" s="67">
        <v>0.60529217265042612</v>
      </c>
    </row>
    <row r="34" spans="1:7" ht="15">
      <c r="A34" s="63">
        <v>21</v>
      </c>
      <c r="B34" s="64" t="s">
        <v>64</v>
      </c>
      <c r="C34" s="65">
        <v>0.2169869978670782</v>
      </c>
      <c r="D34" s="66">
        <v>6.3938086151056603E-2</v>
      </c>
      <c r="E34" s="66">
        <v>9.8898369682243192E-4</v>
      </c>
      <c r="F34" s="66">
        <v>-6.7967914156280756E-2</v>
      </c>
      <c r="G34" s="67">
        <v>-2.8964424097628338E-3</v>
      </c>
    </row>
    <row r="35" spans="1:7" ht="15" customHeight="1">
      <c r="A35" s="37"/>
      <c r="B35" s="38" t="s">
        <v>65</v>
      </c>
      <c r="C35" s="61"/>
      <c r="D35" s="61"/>
      <c r="E35" s="61"/>
      <c r="F35" s="61"/>
      <c r="G35" s="62"/>
    </row>
    <row r="36" spans="1:7" ht="15" customHeight="1">
      <c r="A36" s="63">
        <v>22</v>
      </c>
      <c r="B36" s="64" t="s">
        <v>66</v>
      </c>
      <c r="C36" s="65">
        <v>0.20260758152481739</v>
      </c>
      <c r="D36" s="65">
        <v>0.22836243902034337</v>
      </c>
      <c r="E36" s="65">
        <v>0.22801127678310126</v>
      </c>
      <c r="F36" s="65">
        <v>0.1892198861190354</v>
      </c>
      <c r="G36" s="68">
        <v>0.25303196982807985</v>
      </c>
    </row>
    <row r="37" spans="1:7" ht="15" customHeight="1">
      <c r="A37" s="63">
        <v>23</v>
      </c>
      <c r="B37" s="64" t="s">
        <v>67</v>
      </c>
      <c r="C37" s="65">
        <f>'2. RC'!D31/'2. RC'!E31</f>
        <v>0.61988190364392592</v>
      </c>
      <c r="D37" s="65">
        <v>0.63515488048026492</v>
      </c>
      <c r="E37" s="65">
        <v>0.63566945281139131</v>
      </c>
      <c r="F37" s="65">
        <v>0.63496136663117886</v>
      </c>
      <c r="G37" s="68">
        <v>0.68896195757633838</v>
      </c>
    </row>
    <row r="38" spans="1:7" ht="15">
      <c r="A38" s="63">
        <v>24</v>
      </c>
      <c r="B38" s="69" t="s">
        <v>68</v>
      </c>
      <c r="C38" s="65">
        <f>('2. RC'!E23+'2. RC'!E24)/'2. RC'!E20</f>
        <v>0.44026071596889438</v>
      </c>
      <c r="D38" s="65">
        <v>0.41671081771474339</v>
      </c>
      <c r="E38" s="65">
        <v>0.48095831033221031</v>
      </c>
      <c r="F38" s="65">
        <v>0.40677379176571599</v>
      </c>
      <c r="G38" s="68">
        <v>0.48651370302949992</v>
      </c>
    </row>
    <row r="39" spans="1:7" ht="15">
      <c r="A39" s="70"/>
      <c r="B39" s="38" t="s">
        <v>69</v>
      </c>
      <c r="C39" s="39"/>
      <c r="D39" s="39"/>
      <c r="E39" s="39"/>
      <c r="F39" s="39"/>
      <c r="G39" s="40"/>
    </row>
    <row r="40" spans="1:7" ht="15" customHeight="1">
      <c r="A40" s="63">
        <v>25</v>
      </c>
      <c r="B40" s="71" t="s">
        <v>70</v>
      </c>
      <c r="C40" s="72">
        <f>'14. LCR'!H23</f>
        <v>179264098.02427498</v>
      </c>
      <c r="D40" s="69"/>
      <c r="E40" s="69"/>
      <c r="F40" s="69"/>
      <c r="G40" s="73"/>
    </row>
    <row r="41" spans="1:7" ht="15">
      <c r="A41" s="63">
        <v>26</v>
      </c>
      <c r="B41" s="64" t="s">
        <v>71</v>
      </c>
      <c r="C41" s="72">
        <f>'14. LCR'!$H$24</f>
        <v>151579221.28033698</v>
      </c>
      <c r="D41" s="74"/>
      <c r="E41" s="74"/>
      <c r="F41" s="74"/>
      <c r="G41" s="75"/>
    </row>
    <row r="42" spans="1:7" thickBot="1">
      <c r="A42" s="76">
        <v>27</v>
      </c>
      <c r="B42" s="77" t="s">
        <v>72</v>
      </c>
      <c r="C42" s="78">
        <f>C40/C41</f>
        <v>1.1826429540282202</v>
      </c>
      <c r="D42" s="79"/>
      <c r="E42" s="79"/>
      <c r="F42" s="79"/>
      <c r="G42" s="80"/>
    </row>
    <row r="43" spans="1:7">
      <c r="A43" s="81"/>
    </row>
    <row r="44" spans="1:7" ht="89.25">
      <c r="B44" s="83" t="s">
        <v>73</v>
      </c>
    </row>
    <row r="45" spans="1:7" ht="39.75">
      <c r="B45" s="84" t="s">
        <v>74</v>
      </c>
    </row>
    <row r="46" spans="1:7" ht="65.25">
      <c r="B46" s="85" t="s">
        <v>75</v>
      </c>
    </row>
  </sheetData>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view="pageBreakPreview" zoomScale="60" zoomScaleNormal="100" workbookViewId="0">
      <pane xSplit="1" ySplit="5" topLeftCell="B9" activePane="bottomRight" state="frozen"/>
      <selection activeCell="P24" sqref="P24:Q24"/>
      <selection pane="topRight" activeCell="P24" sqref="P24:Q24"/>
      <selection pane="bottomLeft" activeCell="P24" sqref="P24:Q24"/>
      <selection pane="bottomRight" activeCell="H42" sqref="H42"/>
    </sheetView>
  </sheetViews>
  <sheetFormatPr defaultRowHeight="15"/>
  <cols>
    <col min="1" max="1" width="9.5703125" style="21" bestFit="1" customWidth="1"/>
    <col min="2" max="2" width="55.140625" style="21" bestFit="1" customWidth="1"/>
    <col min="3" max="3" width="11.7109375" style="21" customWidth="1"/>
    <col min="4" max="4" width="13.28515625" style="21" customWidth="1"/>
    <col min="5" max="5" width="14.5703125" style="21" customWidth="1"/>
    <col min="6" max="6" width="11.7109375" style="21" customWidth="1"/>
    <col min="7" max="7" width="13.28515625" style="21" customWidth="1"/>
    <col min="8" max="8" width="14.5703125" style="21" customWidth="1"/>
  </cols>
  <sheetData>
    <row r="1" spans="1:8" ht="15.75">
      <c r="A1" s="22" t="s">
        <v>27</v>
      </c>
      <c r="B1" s="21" t="str">
        <f>'1. key ratios'!B1</f>
        <v>სს ტერაბანკი</v>
      </c>
    </row>
    <row r="2" spans="1:8" ht="15.75">
      <c r="A2" s="22" t="s">
        <v>29</v>
      </c>
      <c r="B2" s="86">
        <f>'1. key ratios'!B2</f>
        <v>43100</v>
      </c>
    </row>
    <row r="3" spans="1:8" ht="15.75">
      <c r="A3" s="22"/>
    </row>
    <row r="4" spans="1:8" ht="16.5" thickBot="1">
      <c r="A4" s="87" t="s">
        <v>76</v>
      </c>
      <c r="B4" s="88" t="s">
        <v>77</v>
      </c>
      <c r="C4" s="87"/>
      <c r="D4" s="89"/>
      <c r="E4" s="89"/>
      <c r="F4" s="87"/>
      <c r="G4" s="89"/>
      <c r="H4" s="90" t="s">
        <v>78</v>
      </c>
    </row>
    <row r="5" spans="1:8" ht="15.75">
      <c r="A5" s="91"/>
      <c r="B5" s="92"/>
      <c r="C5" s="478" t="s">
        <v>79</v>
      </c>
      <c r="D5" s="479"/>
      <c r="E5" s="480"/>
      <c r="F5" s="478" t="s">
        <v>80</v>
      </c>
      <c r="G5" s="479"/>
      <c r="H5" s="481"/>
    </row>
    <row r="6" spans="1:8" ht="15.75">
      <c r="A6" s="93" t="s">
        <v>31</v>
      </c>
      <c r="B6" s="94" t="s">
        <v>81</v>
      </c>
      <c r="C6" s="95" t="s">
        <v>82</v>
      </c>
      <c r="D6" s="95" t="s">
        <v>83</v>
      </c>
      <c r="E6" s="95" t="s">
        <v>84</v>
      </c>
      <c r="F6" s="95" t="s">
        <v>82</v>
      </c>
      <c r="G6" s="95" t="s">
        <v>83</v>
      </c>
      <c r="H6" s="96" t="s">
        <v>84</v>
      </c>
    </row>
    <row r="7" spans="1:8" ht="15.75">
      <c r="A7" s="93">
        <v>1</v>
      </c>
      <c r="B7" s="97" t="s">
        <v>85</v>
      </c>
      <c r="C7" s="98">
        <v>15152932.09</v>
      </c>
      <c r="D7" s="98">
        <v>27136552.390000001</v>
      </c>
      <c r="E7" s="99">
        <f>C7+D7</f>
        <v>42289484.480000004</v>
      </c>
      <c r="F7" s="98">
        <v>12233663.27</v>
      </c>
      <c r="G7" s="98">
        <v>24600053.330000732</v>
      </c>
      <c r="H7" s="100">
        <f>F7+G7</f>
        <v>36833716.600000732</v>
      </c>
    </row>
    <row r="8" spans="1:8" ht="15.75">
      <c r="A8" s="93">
        <v>2</v>
      </c>
      <c r="B8" s="97" t="s">
        <v>86</v>
      </c>
      <c r="C8" s="98">
        <v>15379427.859999999</v>
      </c>
      <c r="D8" s="98">
        <v>76744415.510000005</v>
      </c>
      <c r="E8" s="99">
        <f t="shared" ref="E8:E20" si="0">C8+D8</f>
        <v>92123843.370000005</v>
      </c>
      <c r="F8" s="98">
        <v>13792959.619999999</v>
      </c>
      <c r="G8" s="98">
        <v>72608968.290000007</v>
      </c>
      <c r="H8" s="100">
        <f t="shared" ref="H8:H40" si="1">F8+G8</f>
        <v>86401927.910000011</v>
      </c>
    </row>
    <row r="9" spans="1:8" ht="15.75">
      <c r="A9" s="93">
        <v>3</v>
      </c>
      <c r="B9" s="97" t="s">
        <v>87</v>
      </c>
      <c r="C9" s="98">
        <v>143381.46</v>
      </c>
      <c r="D9" s="98">
        <v>32828440.379999999</v>
      </c>
      <c r="E9" s="99">
        <f t="shared" si="0"/>
        <v>32971821.84</v>
      </c>
      <c r="F9" s="98">
        <v>83272.72</v>
      </c>
      <c r="G9" s="98">
        <v>28634780.41</v>
      </c>
      <c r="H9" s="100">
        <f t="shared" si="1"/>
        <v>28718053.129999999</v>
      </c>
    </row>
    <row r="10" spans="1:8" ht="15.75">
      <c r="A10" s="93">
        <v>4</v>
      </c>
      <c r="B10" s="97" t="s">
        <v>88</v>
      </c>
      <c r="C10" s="98">
        <v>0</v>
      </c>
      <c r="D10" s="98">
        <v>0</v>
      </c>
      <c r="E10" s="99">
        <f t="shared" si="0"/>
        <v>0</v>
      </c>
      <c r="F10" s="98">
        <v>0</v>
      </c>
      <c r="G10" s="98">
        <v>0</v>
      </c>
      <c r="H10" s="100">
        <f t="shared" si="1"/>
        <v>0</v>
      </c>
    </row>
    <row r="11" spans="1:8" ht="15.75">
      <c r="A11" s="93">
        <v>5</v>
      </c>
      <c r="B11" s="97" t="s">
        <v>89</v>
      </c>
      <c r="C11" s="98">
        <v>51915692.320000008</v>
      </c>
      <c r="D11" s="98">
        <v>0</v>
      </c>
      <c r="E11" s="99">
        <f t="shared" si="0"/>
        <v>51915692.320000008</v>
      </c>
      <c r="F11" s="98">
        <v>28251646.75</v>
      </c>
      <c r="G11" s="98">
        <v>0</v>
      </c>
      <c r="H11" s="100">
        <f t="shared" si="1"/>
        <v>28251646.75</v>
      </c>
    </row>
    <row r="12" spans="1:8" ht="15.75">
      <c r="A12" s="93">
        <v>6.1</v>
      </c>
      <c r="B12" s="101" t="s">
        <v>90</v>
      </c>
      <c r="C12" s="98">
        <v>236282514.72000024</v>
      </c>
      <c r="D12" s="98">
        <v>354912553.65000051</v>
      </c>
      <c r="E12" s="99">
        <f t="shared" si="0"/>
        <v>591195068.37000072</v>
      </c>
      <c r="F12" s="98">
        <v>178223053.02999949</v>
      </c>
      <c r="G12" s="98">
        <v>307562801.21999985</v>
      </c>
      <c r="H12" s="100">
        <f t="shared" si="1"/>
        <v>485785854.24999934</v>
      </c>
    </row>
    <row r="13" spans="1:8" ht="15.75">
      <c r="A13" s="93">
        <v>6.2</v>
      </c>
      <c r="B13" s="101" t="s">
        <v>91</v>
      </c>
      <c r="C13" s="102">
        <v>-17652885.080000766</v>
      </c>
      <c r="D13" s="102">
        <v>-25266807.889999382</v>
      </c>
      <c r="E13" s="103">
        <f t="shared" si="0"/>
        <v>-42919692.970000148</v>
      </c>
      <c r="F13" s="102">
        <v>-17526079.529999621</v>
      </c>
      <c r="G13" s="102">
        <v>-24909675.040000737</v>
      </c>
      <c r="H13" s="100">
        <f t="shared" si="1"/>
        <v>-42435754.570000358</v>
      </c>
    </row>
    <row r="14" spans="1:8" ht="15.75">
      <c r="A14" s="93">
        <v>6</v>
      </c>
      <c r="B14" s="97" t="s">
        <v>92</v>
      </c>
      <c r="C14" s="99">
        <f>C12+C13</f>
        <v>218629629.63999948</v>
      </c>
      <c r="D14" s="99">
        <f>D12+D13</f>
        <v>329645745.76000112</v>
      </c>
      <c r="E14" s="99">
        <f t="shared" si="0"/>
        <v>548275375.40000057</v>
      </c>
      <c r="F14" s="99">
        <f>F12+F13</f>
        <v>160696973.49999988</v>
      </c>
      <c r="G14" s="99">
        <f>G12+G13</f>
        <v>282653126.17999911</v>
      </c>
      <c r="H14" s="100">
        <f t="shared" si="1"/>
        <v>443350099.67999899</v>
      </c>
    </row>
    <row r="15" spans="1:8" ht="15.75">
      <c r="A15" s="93">
        <v>7</v>
      </c>
      <c r="B15" s="97" t="s">
        <v>93</v>
      </c>
      <c r="C15" s="98">
        <v>3222887.7</v>
      </c>
      <c r="D15" s="98">
        <v>2495712.5700000003</v>
      </c>
      <c r="E15" s="99">
        <f t="shared" si="0"/>
        <v>5718600.2700000005</v>
      </c>
      <c r="F15" s="98">
        <v>2318640.4699999997</v>
      </c>
      <c r="G15" s="98">
        <v>1746251.5500000003</v>
      </c>
      <c r="H15" s="100">
        <f t="shared" si="1"/>
        <v>4064892.02</v>
      </c>
    </row>
    <row r="16" spans="1:8" ht="15.75">
      <c r="A16" s="93">
        <v>8</v>
      </c>
      <c r="B16" s="97" t="s">
        <v>94</v>
      </c>
      <c r="C16" s="98">
        <v>5922475.5299999993</v>
      </c>
      <c r="D16" s="98">
        <v>0</v>
      </c>
      <c r="E16" s="99">
        <f t="shared" si="0"/>
        <v>5922475.5299999993</v>
      </c>
      <c r="F16" s="98">
        <v>10831291.060000001</v>
      </c>
      <c r="G16" s="98">
        <v>0</v>
      </c>
      <c r="H16" s="100">
        <f t="shared" si="1"/>
        <v>10831291.060000001</v>
      </c>
    </row>
    <row r="17" spans="1:8" ht="15.75">
      <c r="A17" s="93">
        <v>9</v>
      </c>
      <c r="B17" s="97" t="s">
        <v>95</v>
      </c>
      <c r="C17" s="98">
        <v>0</v>
      </c>
      <c r="D17" s="98">
        <v>0</v>
      </c>
      <c r="E17" s="99">
        <f t="shared" si="0"/>
        <v>0</v>
      </c>
      <c r="F17" s="98">
        <v>2538</v>
      </c>
      <c r="G17" s="98">
        <v>0</v>
      </c>
      <c r="H17" s="100">
        <f t="shared" si="1"/>
        <v>2538</v>
      </c>
    </row>
    <row r="18" spans="1:8" ht="15.75">
      <c r="A18" s="93">
        <v>10</v>
      </c>
      <c r="B18" s="97" t="s">
        <v>96</v>
      </c>
      <c r="C18" s="98">
        <v>45304257.00999999</v>
      </c>
      <c r="D18" s="98">
        <v>0</v>
      </c>
      <c r="E18" s="99">
        <f t="shared" si="0"/>
        <v>45304257.00999999</v>
      </c>
      <c r="F18" s="98">
        <v>45950713.879999995</v>
      </c>
      <c r="G18" s="98">
        <v>0</v>
      </c>
      <c r="H18" s="100">
        <f t="shared" si="1"/>
        <v>45950713.879999995</v>
      </c>
    </row>
    <row r="19" spans="1:8" ht="15.75">
      <c r="A19" s="93">
        <v>11</v>
      </c>
      <c r="B19" s="97" t="s">
        <v>97</v>
      </c>
      <c r="C19" s="98">
        <v>3106142.4161999999</v>
      </c>
      <c r="D19" s="98">
        <v>287001.61</v>
      </c>
      <c r="E19" s="99">
        <f t="shared" si="0"/>
        <v>3393144.0261999997</v>
      </c>
      <c r="F19" s="98">
        <v>2429154.9500000002</v>
      </c>
      <c r="G19" s="98">
        <v>13914304.549999984</v>
      </c>
      <c r="H19" s="100">
        <f t="shared" si="1"/>
        <v>16343459.499999985</v>
      </c>
    </row>
    <row r="20" spans="1:8" ht="15.75">
      <c r="A20" s="93">
        <v>12</v>
      </c>
      <c r="B20" s="104" t="s">
        <v>98</v>
      </c>
      <c r="C20" s="99">
        <f>SUM(C7:C11)+SUM(C14:C19)</f>
        <v>358776826.02619946</v>
      </c>
      <c r="D20" s="99">
        <f>SUM(D7:D11)+SUM(D14:D19)</f>
        <v>469137868.2200011</v>
      </c>
      <c r="E20" s="99">
        <f t="shared" si="0"/>
        <v>827914694.24620056</v>
      </c>
      <c r="F20" s="99">
        <f>SUM(F7:F11)+SUM(F14:F19)</f>
        <v>276590854.21999985</v>
      </c>
      <c r="G20" s="99">
        <f>SUM(G7:G11)+SUM(G14:G19)</f>
        <v>424157484.30999988</v>
      </c>
      <c r="H20" s="100">
        <f t="shared" si="1"/>
        <v>700748338.52999973</v>
      </c>
    </row>
    <row r="21" spans="1:8" ht="15.75">
      <c r="A21" s="93"/>
      <c r="B21" s="94" t="s">
        <v>99</v>
      </c>
      <c r="C21" s="105"/>
      <c r="D21" s="105"/>
      <c r="E21" s="105"/>
      <c r="F21" s="105"/>
      <c r="G21" s="105"/>
      <c r="H21" s="106"/>
    </row>
    <row r="22" spans="1:8" ht="15.75">
      <c r="A22" s="93">
        <v>13</v>
      </c>
      <c r="B22" s="97" t="s">
        <v>100</v>
      </c>
      <c r="C22" s="98">
        <v>9006804.4800000004</v>
      </c>
      <c r="D22" s="98">
        <v>7930591.1900000004</v>
      </c>
      <c r="E22" s="99">
        <f>C22+D22</f>
        <v>16937395.670000002</v>
      </c>
      <c r="F22" s="98">
        <v>0</v>
      </c>
      <c r="G22" s="98">
        <v>385085.61</v>
      </c>
      <c r="H22" s="100">
        <f t="shared" si="1"/>
        <v>385085.61</v>
      </c>
    </row>
    <row r="23" spans="1:8" ht="15.75">
      <c r="A23" s="93">
        <v>14</v>
      </c>
      <c r="B23" s="97" t="s">
        <v>101</v>
      </c>
      <c r="C23" s="98">
        <v>52136330.910000332</v>
      </c>
      <c r="D23" s="98">
        <v>89155320.120000184</v>
      </c>
      <c r="E23" s="99">
        <f t="shared" ref="E23:E40" si="2">C23+D23</f>
        <v>141291651.03000051</v>
      </c>
      <c r="F23" s="98">
        <v>106361495.38999966</v>
      </c>
      <c r="G23" s="98">
        <v>135106775.28000015</v>
      </c>
      <c r="H23" s="100">
        <f t="shared" si="1"/>
        <v>241468270.66999981</v>
      </c>
    </row>
    <row r="24" spans="1:8" ht="15.75">
      <c r="A24" s="93">
        <v>15</v>
      </c>
      <c r="B24" s="97" t="s">
        <v>102</v>
      </c>
      <c r="C24" s="98">
        <v>74568302.5</v>
      </c>
      <c r="D24" s="98">
        <v>148638362.52000001</v>
      </c>
      <c r="E24" s="99">
        <f t="shared" si="2"/>
        <v>223206665.02000001</v>
      </c>
      <c r="F24" s="98">
        <v>35770397.320000008</v>
      </c>
      <c r="G24" s="98">
        <v>63685001.079999946</v>
      </c>
      <c r="H24" s="100">
        <f t="shared" si="1"/>
        <v>99455398.399999946</v>
      </c>
    </row>
    <row r="25" spans="1:8" ht="15.75">
      <c r="A25" s="93">
        <v>16</v>
      </c>
      <c r="B25" s="97" t="s">
        <v>103</v>
      </c>
      <c r="C25" s="98">
        <v>70654248.969999999</v>
      </c>
      <c r="D25" s="98">
        <v>144633850.06000006</v>
      </c>
      <c r="E25" s="99">
        <f t="shared" si="2"/>
        <v>215288099.03000006</v>
      </c>
      <c r="F25" s="98">
        <v>37931121.480000004</v>
      </c>
      <c r="G25" s="98">
        <v>165677455.74999988</v>
      </c>
      <c r="H25" s="100">
        <f t="shared" si="1"/>
        <v>203608577.2299999</v>
      </c>
    </row>
    <row r="26" spans="1:8" ht="15.75">
      <c r="A26" s="93">
        <v>17</v>
      </c>
      <c r="B26" s="97" t="s">
        <v>104</v>
      </c>
      <c r="C26" s="98">
        <v>0</v>
      </c>
      <c r="D26" s="98">
        <v>0</v>
      </c>
      <c r="E26" s="99">
        <f t="shared" si="2"/>
        <v>0</v>
      </c>
      <c r="F26" s="98">
        <v>0</v>
      </c>
      <c r="G26" s="98">
        <v>0</v>
      </c>
      <c r="H26" s="100">
        <f t="shared" si="1"/>
        <v>0</v>
      </c>
    </row>
    <row r="27" spans="1:8" ht="15.75">
      <c r="A27" s="93">
        <v>18</v>
      </c>
      <c r="B27" s="97" t="s">
        <v>105</v>
      </c>
      <c r="C27" s="98">
        <v>55055000</v>
      </c>
      <c r="D27" s="98">
        <v>9707789</v>
      </c>
      <c r="E27" s="99">
        <f t="shared" si="2"/>
        <v>64762789</v>
      </c>
      <c r="F27" s="98">
        <v>0</v>
      </c>
      <c r="G27" s="98">
        <v>10587200</v>
      </c>
      <c r="H27" s="100">
        <f t="shared" si="1"/>
        <v>10587200</v>
      </c>
    </row>
    <row r="28" spans="1:8" ht="15.75">
      <c r="A28" s="93">
        <v>19</v>
      </c>
      <c r="B28" s="97" t="s">
        <v>106</v>
      </c>
      <c r="C28" s="98">
        <v>1534517.7</v>
      </c>
      <c r="D28" s="98">
        <v>1461373.1</v>
      </c>
      <c r="E28" s="99">
        <f t="shared" si="2"/>
        <v>2995890.8</v>
      </c>
      <c r="F28" s="98">
        <v>881030.69000000018</v>
      </c>
      <c r="G28" s="98">
        <v>2630984.9300000002</v>
      </c>
      <c r="H28" s="100">
        <f t="shared" si="1"/>
        <v>3512015.62</v>
      </c>
    </row>
    <row r="29" spans="1:8" ht="15.75">
      <c r="A29" s="93">
        <v>20</v>
      </c>
      <c r="B29" s="97" t="s">
        <v>107</v>
      </c>
      <c r="C29" s="98">
        <v>8116999.1699999999</v>
      </c>
      <c r="D29" s="98">
        <v>8899817.6899999995</v>
      </c>
      <c r="E29" s="99">
        <f t="shared" si="2"/>
        <v>17016816.859999999</v>
      </c>
      <c r="F29" s="98">
        <v>6369612.9899999984</v>
      </c>
      <c r="G29" s="98">
        <v>3218085.0799999991</v>
      </c>
      <c r="H29" s="100">
        <f t="shared" si="1"/>
        <v>9587698.0699999966</v>
      </c>
    </row>
    <row r="30" spans="1:8" ht="15.75">
      <c r="A30" s="93">
        <v>21</v>
      </c>
      <c r="B30" s="97" t="s">
        <v>108</v>
      </c>
      <c r="C30" s="98">
        <v>0</v>
      </c>
      <c r="D30" s="98">
        <v>31626971.84</v>
      </c>
      <c r="E30" s="99">
        <f t="shared" si="2"/>
        <v>31626971.84</v>
      </c>
      <c r="F30" s="98">
        <v>0</v>
      </c>
      <c r="G30" s="98">
        <v>33616808.810000002</v>
      </c>
      <c r="H30" s="100">
        <f t="shared" si="1"/>
        <v>33616808.810000002</v>
      </c>
    </row>
    <row r="31" spans="1:8" ht="15.75">
      <c r="A31" s="93">
        <v>22</v>
      </c>
      <c r="B31" s="104" t="s">
        <v>109</v>
      </c>
      <c r="C31" s="99">
        <f>SUM(C22:C30)</f>
        <v>271072203.73000032</v>
      </c>
      <c r="D31" s="99">
        <f>SUM(D22:D30)</f>
        <v>442054075.52000022</v>
      </c>
      <c r="E31" s="99">
        <f>C31+D31</f>
        <v>713126279.25000048</v>
      </c>
      <c r="F31" s="99">
        <f>SUM(F22:F30)</f>
        <v>187313657.86999971</v>
      </c>
      <c r="G31" s="99">
        <f>SUM(G22:G30)</f>
        <v>414907396.54000002</v>
      </c>
      <c r="H31" s="100">
        <f t="shared" si="1"/>
        <v>602221054.40999973</v>
      </c>
    </row>
    <row r="32" spans="1:8" ht="15.75">
      <c r="A32" s="93"/>
      <c r="B32" s="94" t="s">
        <v>110</v>
      </c>
      <c r="C32" s="105"/>
      <c r="D32" s="105"/>
      <c r="E32" s="98"/>
      <c r="F32" s="105"/>
      <c r="G32" s="105"/>
      <c r="H32" s="106"/>
    </row>
    <row r="33" spans="1:8" ht="15.75">
      <c r="A33" s="93">
        <v>23</v>
      </c>
      <c r="B33" s="97" t="s">
        <v>111</v>
      </c>
      <c r="C33" s="98">
        <v>121372000</v>
      </c>
      <c r="D33" s="105"/>
      <c r="E33" s="99">
        <f t="shared" si="2"/>
        <v>121372000</v>
      </c>
      <c r="F33" s="98">
        <v>121372000</v>
      </c>
      <c r="G33" s="105"/>
      <c r="H33" s="100">
        <f t="shared" si="1"/>
        <v>121372000</v>
      </c>
    </row>
    <row r="34" spans="1:8" ht="15.75">
      <c r="A34" s="93">
        <v>24</v>
      </c>
      <c r="B34" s="97" t="s">
        <v>112</v>
      </c>
      <c r="C34" s="98">
        <v>0</v>
      </c>
      <c r="D34" s="105"/>
      <c r="E34" s="99">
        <f t="shared" si="2"/>
        <v>0</v>
      </c>
      <c r="F34" s="98">
        <v>0</v>
      </c>
      <c r="G34" s="105"/>
      <c r="H34" s="100">
        <f t="shared" si="1"/>
        <v>0</v>
      </c>
    </row>
    <row r="35" spans="1:8" ht="15.75">
      <c r="A35" s="93">
        <v>25</v>
      </c>
      <c r="B35" s="101" t="s">
        <v>113</v>
      </c>
      <c r="C35" s="98">
        <v>0</v>
      </c>
      <c r="D35" s="105"/>
      <c r="E35" s="99">
        <f t="shared" si="2"/>
        <v>0</v>
      </c>
      <c r="F35" s="98">
        <v>0</v>
      </c>
      <c r="G35" s="105"/>
      <c r="H35" s="100">
        <f t="shared" si="1"/>
        <v>0</v>
      </c>
    </row>
    <row r="36" spans="1:8" ht="15.75">
      <c r="A36" s="93">
        <v>26</v>
      </c>
      <c r="B36" s="97" t="s">
        <v>114</v>
      </c>
      <c r="C36" s="98">
        <v>0</v>
      </c>
      <c r="D36" s="105"/>
      <c r="E36" s="99">
        <f t="shared" si="2"/>
        <v>0</v>
      </c>
      <c r="F36" s="98">
        <v>0</v>
      </c>
      <c r="G36" s="105"/>
      <c r="H36" s="100">
        <f t="shared" si="1"/>
        <v>0</v>
      </c>
    </row>
    <row r="37" spans="1:8" ht="15.75">
      <c r="A37" s="93">
        <v>27</v>
      </c>
      <c r="B37" s="97" t="s">
        <v>115</v>
      </c>
      <c r="C37" s="98">
        <v>0</v>
      </c>
      <c r="D37" s="105"/>
      <c r="E37" s="99">
        <f t="shared" si="2"/>
        <v>0</v>
      </c>
      <c r="F37" s="98">
        <v>0</v>
      </c>
      <c r="G37" s="105"/>
      <c r="H37" s="100">
        <f t="shared" si="1"/>
        <v>0</v>
      </c>
    </row>
    <row r="38" spans="1:8" ht="15.75">
      <c r="A38" s="93">
        <v>28</v>
      </c>
      <c r="B38" s="97" t="s">
        <v>116</v>
      </c>
      <c r="C38" s="98">
        <v>-6583586.0000000075</v>
      </c>
      <c r="D38" s="105"/>
      <c r="E38" s="99">
        <f t="shared" si="2"/>
        <v>-6583586.0000000075</v>
      </c>
      <c r="F38" s="98">
        <v>-22844715.880000003</v>
      </c>
      <c r="G38" s="105"/>
      <c r="H38" s="100">
        <f t="shared" si="1"/>
        <v>-22844715.880000003</v>
      </c>
    </row>
    <row r="39" spans="1:8" ht="15.75">
      <c r="A39" s="93">
        <v>29</v>
      </c>
      <c r="B39" s="97" t="s">
        <v>117</v>
      </c>
      <c r="C39" s="98">
        <v>0</v>
      </c>
      <c r="D39" s="105"/>
      <c r="E39" s="99">
        <f t="shared" si="2"/>
        <v>0</v>
      </c>
      <c r="F39" s="98">
        <v>0</v>
      </c>
      <c r="G39" s="105"/>
      <c r="H39" s="100">
        <f t="shared" si="1"/>
        <v>0</v>
      </c>
    </row>
    <row r="40" spans="1:8" ht="15.75">
      <c r="A40" s="93">
        <v>30</v>
      </c>
      <c r="B40" s="104" t="s">
        <v>118</v>
      </c>
      <c r="C40" s="98">
        <v>114788414</v>
      </c>
      <c r="D40" s="105"/>
      <c r="E40" s="99">
        <f t="shared" si="2"/>
        <v>114788414</v>
      </c>
      <c r="F40" s="98">
        <v>98527284.120000005</v>
      </c>
      <c r="G40" s="105"/>
      <c r="H40" s="100">
        <f t="shared" si="1"/>
        <v>98527284.120000005</v>
      </c>
    </row>
    <row r="41" spans="1:8" ht="16.5" thickBot="1">
      <c r="A41" s="107">
        <v>31</v>
      </c>
      <c r="B41" s="108" t="s">
        <v>119</v>
      </c>
      <c r="C41" s="109">
        <f>C31+C40</f>
        <v>385860617.73000032</v>
      </c>
      <c r="D41" s="109">
        <f>D31+D40</f>
        <v>442054075.52000022</v>
      </c>
      <c r="E41" s="109">
        <f>C41+D41</f>
        <v>827914693.25000048</v>
      </c>
      <c r="F41" s="109">
        <f>F31+F40</f>
        <v>285840941.98999971</v>
      </c>
      <c r="G41" s="109">
        <f>G31+G40</f>
        <v>414907396.54000002</v>
      </c>
      <c r="H41" s="110">
        <f>F41+G41</f>
        <v>700748338.52999973</v>
      </c>
    </row>
    <row r="42" spans="1:8">
      <c r="C42" s="111"/>
      <c r="D42" s="111"/>
      <c r="E42" s="111"/>
      <c r="F42" s="111"/>
      <c r="G42" s="111"/>
      <c r="H42" s="111"/>
    </row>
    <row r="43" spans="1:8">
      <c r="B43" s="112"/>
    </row>
  </sheetData>
  <mergeCells count="2">
    <mergeCell ref="C5:E5"/>
    <mergeCell ref="F5:H5"/>
  </mergeCell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view="pageBreakPreview" zoomScale="60" zoomScaleNormal="100" workbookViewId="0">
      <pane xSplit="1" ySplit="6" topLeftCell="B40" activePane="bottomRight" state="frozen"/>
      <selection activeCell="P24" sqref="P24:Q24"/>
      <selection pane="topRight" activeCell="P24" sqref="P24:Q24"/>
      <selection pane="bottomLeft" activeCell="P24" sqref="P24:Q24"/>
      <selection pane="bottomRight" activeCell="D60" sqref="D60"/>
    </sheetView>
  </sheetViews>
  <sheetFormatPr defaultColWidth="9.140625" defaultRowHeight="15"/>
  <cols>
    <col min="1" max="1" width="9.5703125" style="21" bestFit="1" customWidth="1"/>
    <col min="2" max="2" width="89.140625" style="21" customWidth="1"/>
    <col min="3" max="8" width="12.7109375" style="21" customWidth="1"/>
    <col min="9" max="9" width="8.85546875" customWidth="1"/>
    <col min="10" max="10" width="12.5703125" style="132" bestFit="1" customWidth="1"/>
    <col min="11" max="16384" width="9.140625" style="132"/>
  </cols>
  <sheetData>
    <row r="1" spans="1:8" ht="15.75">
      <c r="A1" s="22" t="s">
        <v>27</v>
      </c>
      <c r="B1" s="21" t="str">
        <f>'1. key ratios'!B1</f>
        <v>სს ტერაბანკი</v>
      </c>
      <c r="C1" s="23"/>
      <c r="F1" s="23"/>
    </row>
    <row r="2" spans="1:8" ht="15.75">
      <c r="A2" s="22" t="s">
        <v>29</v>
      </c>
      <c r="B2" s="86">
        <f>'1. key ratios'!B2</f>
        <v>43100</v>
      </c>
      <c r="C2" s="25"/>
      <c r="D2" s="26"/>
      <c r="E2" s="26"/>
      <c r="F2" s="25"/>
      <c r="G2" s="26"/>
      <c r="H2" s="26"/>
    </row>
    <row r="3" spans="1:8" ht="15.75">
      <c r="A3" s="22"/>
      <c r="B3" s="23"/>
      <c r="C3" s="25"/>
      <c r="D3" s="26"/>
      <c r="E3" s="26"/>
      <c r="F3" s="25"/>
      <c r="G3" s="26"/>
      <c r="H3" s="26"/>
    </row>
    <row r="4" spans="1:8" ht="16.5" thickBot="1">
      <c r="A4" s="113" t="s">
        <v>120</v>
      </c>
      <c r="B4" s="114" t="s">
        <v>121</v>
      </c>
      <c r="C4" s="115"/>
      <c r="D4" s="115"/>
      <c r="E4" s="115"/>
      <c r="F4" s="115"/>
      <c r="G4" s="115"/>
      <c r="H4" s="116" t="s">
        <v>78</v>
      </c>
    </row>
    <row r="5" spans="1:8" ht="15.75">
      <c r="A5" s="117"/>
      <c r="B5" s="118"/>
      <c r="C5" s="478" t="s">
        <v>79</v>
      </c>
      <c r="D5" s="479"/>
      <c r="E5" s="480"/>
      <c r="F5" s="478" t="s">
        <v>80</v>
      </c>
      <c r="G5" s="479"/>
      <c r="H5" s="481"/>
    </row>
    <row r="6" spans="1:8">
      <c r="A6" s="119" t="s">
        <v>31</v>
      </c>
      <c r="B6" s="120"/>
      <c r="C6" s="121" t="s">
        <v>82</v>
      </c>
      <c r="D6" s="121" t="s">
        <v>122</v>
      </c>
      <c r="E6" s="121" t="s">
        <v>84</v>
      </c>
      <c r="F6" s="121" t="s">
        <v>82</v>
      </c>
      <c r="G6" s="121" t="s">
        <v>122</v>
      </c>
      <c r="H6" s="122" t="s">
        <v>84</v>
      </c>
    </row>
    <row r="7" spans="1:8">
      <c r="A7" s="123"/>
      <c r="B7" s="124" t="s">
        <v>123</v>
      </c>
      <c r="C7" s="125"/>
      <c r="D7" s="125"/>
      <c r="E7" s="125"/>
      <c r="F7" s="125"/>
      <c r="G7" s="125"/>
      <c r="H7" s="126"/>
    </row>
    <row r="8" spans="1:8" ht="15.75">
      <c r="A8" s="123">
        <v>1</v>
      </c>
      <c r="B8" s="127" t="s">
        <v>124</v>
      </c>
      <c r="C8" s="128">
        <v>726579.79999999993</v>
      </c>
      <c r="D8" s="129">
        <v>185647.61</v>
      </c>
      <c r="E8" s="99">
        <f>C8+D8</f>
        <v>912227.40999999992</v>
      </c>
      <c r="F8" s="128">
        <v>1174101.2899999998</v>
      </c>
      <c r="G8" s="129">
        <v>-4054.34</v>
      </c>
      <c r="H8" s="100">
        <f>F8+G8</f>
        <v>1170046.9499999997</v>
      </c>
    </row>
    <row r="9" spans="1:8" ht="15.75">
      <c r="A9" s="123">
        <v>2</v>
      </c>
      <c r="B9" s="127" t="s">
        <v>125</v>
      </c>
      <c r="C9" s="130">
        <f>SUM(C10:C18)</f>
        <v>23971952.43</v>
      </c>
      <c r="D9" s="130">
        <f>SUM(D10:D18)</f>
        <v>29079528.550000001</v>
      </c>
      <c r="E9" s="99">
        <f t="shared" ref="E9:E67" si="0">C9+D9</f>
        <v>53051480.980000004</v>
      </c>
      <c r="F9" s="130">
        <f>SUM(F10:F18)</f>
        <v>23606879.489999998</v>
      </c>
      <c r="G9" s="130">
        <f>SUM(G10:G18)</f>
        <v>30688583.32</v>
      </c>
      <c r="H9" s="100">
        <f t="shared" ref="H9:H67" si="1">F9+G9</f>
        <v>54295462.810000002</v>
      </c>
    </row>
    <row r="10" spans="1:8" ht="15.75">
      <c r="A10" s="123">
        <v>2.1</v>
      </c>
      <c r="B10" s="131" t="s">
        <v>126</v>
      </c>
      <c r="C10" s="128">
        <v>0</v>
      </c>
      <c r="D10" s="128">
        <v>0</v>
      </c>
      <c r="E10" s="99">
        <f t="shared" si="0"/>
        <v>0</v>
      </c>
      <c r="F10" s="128">
        <v>0</v>
      </c>
      <c r="G10" s="128">
        <v>0</v>
      </c>
      <c r="H10" s="100">
        <f t="shared" si="1"/>
        <v>0</v>
      </c>
    </row>
    <row r="11" spans="1:8" ht="15.75">
      <c r="A11" s="123">
        <v>2.2000000000000002</v>
      </c>
      <c r="B11" s="131" t="s">
        <v>127</v>
      </c>
      <c r="C11" s="128">
        <v>5074223.0700000012</v>
      </c>
      <c r="D11" s="128">
        <v>10727326.710000001</v>
      </c>
      <c r="E11" s="99">
        <f t="shared" si="0"/>
        <v>15801549.780000001</v>
      </c>
      <c r="F11" s="128">
        <v>4820993.41</v>
      </c>
      <c r="G11" s="128">
        <v>7602553.3899999997</v>
      </c>
      <c r="H11" s="100">
        <f t="shared" si="1"/>
        <v>12423546.800000001</v>
      </c>
    </row>
    <row r="12" spans="1:8" ht="15.75">
      <c r="A12" s="123">
        <v>2.2999999999999998</v>
      </c>
      <c r="B12" s="131" t="s">
        <v>128</v>
      </c>
      <c r="C12" s="128">
        <v>23681.77</v>
      </c>
      <c r="D12" s="128">
        <v>68632.03</v>
      </c>
      <c r="E12" s="99">
        <f t="shared" si="0"/>
        <v>92313.8</v>
      </c>
      <c r="F12" s="128">
        <v>52875.380000000005</v>
      </c>
      <c r="G12" s="128">
        <v>0</v>
      </c>
      <c r="H12" s="100">
        <f t="shared" si="1"/>
        <v>52875.380000000005</v>
      </c>
    </row>
    <row r="13" spans="1:8" ht="15.75">
      <c r="A13" s="123">
        <v>2.4</v>
      </c>
      <c r="B13" s="131" t="s">
        <v>129</v>
      </c>
      <c r="C13" s="128">
        <v>782225.72</v>
      </c>
      <c r="D13" s="128">
        <v>598630.72000000009</v>
      </c>
      <c r="E13" s="99">
        <f t="shared" si="0"/>
        <v>1380856.44</v>
      </c>
      <c r="F13" s="128">
        <v>594693.89</v>
      </c>
      <c r="G13" s="128">
        <v>615400.95000000007</v>
      </c>
      <c r="H13" s="100">
        <f t="shared" si="1"/>
        <v>1210094.8400000001</v>
      </c>
    </row>
    <row r="14" spans="1:8" ht="15.75">
      <c r="A14" s="123">
        <v>2.5</v>
      </c>
      <c r="B14" s="131" t="s">
        <v>130</v>
      </c>
      <c r="C14" s="128">
        <v>739250.51</v>
      </c>
      <c r="D14" s="128">
        <v>3341349.7800000003</v>
      </c>
      <c r="E14" s="99">
        <f t="shared" si="0"/>
        <v>4080600.29</v>
      </c>
      <c r="F14" s="128">
        <v>1004946.65</v>
      </c>
      <c r="G14" s="128">
        <v>2012113.93</v>
      </c>
      <c r="H14" s="100">
        <f t="shared" si="1"/>
        <v>3017060.58</v>
      </c>
    </row>
    <row r="15" spans="1:8" ht="15.75">
      <c r="A15" s="123">
        <v>2.6</v>
      </c>
      <c r="B15" s="131" t="s">
        <v>131</v>
      </c>
      <c r="C15" s="128">
        <v>36.159999999999997</v>
      </c>
      <c r="D15" s="128">
        <v>0</v>
      </c>
      <c r="E15" s="99">
        <f t="shared" si="0"/>
        <v>36.159999999999997</v>
      </c>
      <c r="F15" s="128">
        <v>0</v>
      </c>
      <c r="G15" s="128">
        <v>0</v>
      </c>
      <c r="H15" s="100">
        <f t="shared" si="1"/>
        <v>0</v>
      </c>
    </row>
    <row r="16" spans="1:8" ht="15.75">
      <c r="A16" s="123">
        <v>2.7</v>
      </c>
      <c r="B16" s="131" t="s">
        <v>132</v>
      </c>
      <c r="C16" s="128">
        <v>2817.4700000000003</v>
      </c>
      <c r="D16" s="128">
        <v>16187.7</v>
      </c>
      <c r="E16" s="99">
        <f t="shared" si="0"/>
        <v>19005.170000000002</v>
      </c>
      <c r="F16" s="128">
        <v>4035.84</v>
      </c>
      <c r="G16" s="128">
        <v>14725.919999999998</v>
      </c>
      <c r="H16" s="100">
        <f t="shared" si="1"/>
        <v>18761.759999999998</v>
      </c>
    </row>
    <row r="17" spans="1:10" ht="15.75">
      <c r="A17" s="123">
        <v>2.8</v>
      </c>
      <c r="B17" s="131" t="s">
        <v>133</v>
      </c>
      <c r="C17" s="128">
        <v>12652956.34</v>
      </c>
      <c r="D17" s="128">
        <v>8010993.4800000004</v>
      </c>
      <c r="E17" s="99">
        <f t="shared" si="0"/>
        <v>20663949.82</v>
      </c>
      <c r="F17" s="128">
        <v>12121119.65</v>
      </c>
      <c r="G17" s="128">
        <v>7082667.1300000008</v>
      </c>
      <c r="H17" s="100">
        <f t="shared" si="1"/>
        <v>19203786.780000001</v>
      </c>
    </row>
    <row r="18" spans="1:10" ht="15.75">
      <c r="A18" s="123">
        <v>2.9</v>
      </c>
      <c r="B18" s="131" t="s">
        <v>134</v>
      </c>
      <c r="C18" s="128">
        <v>4696761.3900000006</v>
      </c>
      <c r="D18" s="128">
        <v>6316408.129999999</v>
      </c>
      <c r="E18" s="99">
        <f t="shared" si="0"/>
        <v>11013169.52</v>
      </c>
      <c r="F18" s="128">
        <v>5008214.669999999</v>
      </c>
      <c r="G18" s="128">
        <v>13361122</v>
      </c>
      <c r="H18" s="100">
        <f t="shared" si="1"/>
        <v>18369336.669999998</v>
      </c>
    </row>
    <row r="19" spans="1:10" ht="15.75">
      <c r="A19" s="123">
        <v>3</v>
      </c>
      <c r="B19" s="127" t="s">
        <v>135</v>
      </c>
      <c r="C19" s="128">
        <v>1137318.76</v>
      </c>
      <c r="D19" s="128">
        <v>973702.24</v>
      </c>
      <c r="E19" s="99">
        <f t="shared" si="0"/>
        <v>2111021</v>
      </c>
      <c r="F19" s="128">
        <v>1473462.97</v>
      </c>
      <c r="G19" s="128">
        <v>1273913.22</v>
      </c>
      <c r="H19" s="100">
        <f t="shared" si="1"/>
        <v>2747376.19</v>
      </c>
    </row>
    <row r="20" spans="1:10" ht="15.75">
      <c r="A20" s="123">
        <v>4</v>
      </c>
      <c r="B20" s="127" t="s">
        <v>136</v>
      </c>
      <c r="C20" s="128">
        <v>3947245.42</v>
      </c>
      <c r="D20" s="128">
        <v>0</v>
      </c>
      <c r="E20" s="99">
        <f t="shared" si="0"/>
        <v>3947245.42</v>
      </c>
      <c r="F20" s="128">
        <v>3263175.0500000003</v>
      </c>
      <c r="G20" s="128">
        <v>0</v>
      </c>
      <c r="H20" s="100">
        <f t="shared" si="1"/>
        <v>3263175.0500000003</v>
      </c>
    </row>
    <row r="21" spans="1:10" ht="15.75">
      <c r="A21" s="123">
        <v>5</v>
      </c>
      <c r="B21" s="127" t="s">
        <v>137</v>
      </c>
      <c r="C21" s="128">
        <v>915657.32000000018</v>
      </c>
      <c r="D21" s="128">
        <v>241081.53999999998</v>
      </c>
      <c r="E21" s="99">
        <f t="shared" si="0"/>
        <v>1156738.8600000001</v>
      </c>
      <c r="F21" s="128">
        <v>612007.87999999989</v>
      </c>
      <c r="G21" s="128">
        <v>161556.1</v>
      </c>
      <c r="H21" s="100">
        <f>F21+G21</f>
        <v>773563.97999999986</v>
      </c>
    </row>
    <row r="22" spans="1:10" ht="15.75">
      <c r="A22" s="123">
        <v>6</v>
      </c>
      <c r="B22" s="133" t="s">
        <v>138</v>
      </c>
      <c r="C22" s="130">
        <f>C8+C9+C19+C20+C21</f>
        <v>30698753.730000004</v>
      </c>
      <c r="D22" s="130">
        <f>D8+D9+D19+D20+D21</f>
        <v>30479959.939999998</v>
      </c>
      <c r="E22" s="99">
        <f>C22+D22</f>
        <v>61178713.670000002</v>
      </c>
      <c r="F22" s="130">
        <f>F8+F9+F19+F20+F21</f>
        <v>30129626.679999996</v>
      </c>
      <c r="G22" s="130">
        <f>G8+G9+G19+G20+G21</f>
        <v>32119998.300000001</v>
      </c>
      <c r="H22" s="100">
        <f>F22+G22</f>
        <v>62249624.979999997</v>
      </c>
      <c r="J22" s="134"/>
    </row>
    <row r="23" spans="1:10" ht="15.75">
      <c r="A23" s="123"/>
      <c r="B23" s="124" t="s">
        <v>139</v>
      </c>
      <c r="C23" s="128"/>
      <c r="D23" s="128"/>
      <c r="E23" s="98"/>
      <c r="F23" s="128"/>
      <c r="G23" s="128"/>
      <c r="H23" s="106"/>
    </row>
    <row r="24" spans="1:10" ht="15.75">
      <c r="A24" s="123">
        <v>7</v>
      </c>
      <c r="B24" s="127" t="s">
        <v>140</v>
      </c>
      <c r="C24" s="128">
        <v>6728657.5300000012</v>
      </c>
      <c r="D24" s="128">
        <v>4203838.0900000008</v>
      </c>
      <c r="E24" s="99">
        <f t="shared" si="0"/>
        <v>10932495.620000001</v>
      </c>
      <c r="F24" s="128">
        <v>13127197.880000001</v>
      </c>
      <c r="G24" s="128">
        <v>3280971.8500000015</v>
      </c>
      <c r="H24" s="100">
        <f t="shared" si="1"/>
        <v>16408169.730000002</v>
      </c>
    </row>
    <row r="25" spans="1:10" ht="15.75">
      <c r="A25" s="123">
        <v>8</v>
      </c>
      <c r="B25" s="127" t="s">
        <v>141</v>
      </c>
      <c r="C25" s="128">
        <v>5957557.3300000001</v>
      </c>
      <c r="D25" s="128">
        <v>6577596.080000001</v>
      </c>
      <c r="E25" s="99">
        <f t="shared" si="0"/>
        <v>12535153.41</v>
      </c>
      <c r="F25" s="128">
        <v>7068922.0099999998</v>
      </c>
      <c r="G25" s="128">
        <v>9043451.7799999975</v>
      </c>
      <c r="H25" s="100">
        <f t="shared" si="1"/>
        <v>16112373.789999997</v>
      </c>
    </row>
    <row r="26" spans="1:10" ht="15.75">
      <c r="A26" s="123">
        <v>9</v>
      </c>
      <c r="B26" s="127" t="s">
        <v>142</v>
      </c>
      <c r="C26" s="128">
        <v>392122.23</v>
      </c>
      <c r="D26" s="128">
        <v>13055.35</v>
      </c>
      <c r="E26" s="99">
        <f t="shared" si="0"/>
        <v>405177.57999999996</v>
      </c>
      <c r="F26" s="128">
        <v>166517.97</v>
      </c>
      <c r="G26" s="128">
        <v>622943.69999999995</v>
      </c>
      <c r="H26" s="100">
        <f t="shared" si="1"/>
        <v>789461.66999999993</v>
      </c>
      <c r="J26" s="135"/>
    </row>
    <row r="27" spans="1:10" ht="15.75">
      <c r="A27" s="123">
        <v>10</v>
      </c>
      <c r="B27" s="127" t="s">
        <v>143</v>
      </c>
      <c r="C27" s="128">
        <v>0</v>
      </c>
      <c r="D27" s="128">
        <v>0</v>
      </c>
      <c r="E27" s="99">
        <f t="shared" si="0"/>
        <v>0</v>
      </c>
      <c r="F27" s="128">
        <v>0</v>
      </c>
      <c r="G27" s="128">
        <v>0</v>
      </c>
      <c r="H27" s="100">
        <f t="shared" si="1"/>
        <v>0</v>
      </c>
    </row>
    <row r="28" spans="1:10" ht="15.75">
      <c r="A28" s="123">
        <v>11</v>
      </c>
      <c r="B28" s="127" t="s">
        <v>144</v>
      </c>
      <c r="C28" s="128">
        <v>2570880.65</v>
      </c>
      <c r="D28" s="128">
        <v>3161055.61</v>
      </c>
      <c r="E28" s="99">
        <f t="shared" si="0"/>
        <v>5731936.2599999998</v>
      </c>
      <c r="F28" s="128">
        <v>376498.2</v>
      </c>
      <c r="G28" s="128">
        <v>3860354.74</v>
      </c>
      <c r="H28" s="100">
        <f t="shared" si="1"/>
        <v>4236852.9400000004</v>
      </c>
    </row>
    <row r="29" spans="1:10" ht="15.75">
      <c r="A29" s="123">
        <v>12</v>
      </c>
      <c r="B29" s="127" t="s">
        <v>145</v>
      </c>
      <c r="C29" s="128">
        <v>0</v>
      </c>
      <c r="D29" s="128">
        <v>0</v>
      </c>
      <c r="E29" s="99">
        <f t="shared" si="0"/>
        <v>0</v>
      </c>
      <c r="F29" s="128">
        <v>0</v>
      </c>
      <c r="G29" s="128">
        <v>0</v>
      </c>
      <c r="H29" s="100">
        <f t="shared" si="1"/>
        <v>0</v>
      </c>
    </row>
    <row r="30" spans="1:10" ht="15.75">
      <c r="A30" s="123">
        <v>13</v>
      </c>
      <c r="B30" s="136" t="s">
        <v>146</v>
      </c>
      <c r="C30" s="130">
        <f>SUM(C24:C29)</f>
        <v>15649217.740000002</v>
      </c>
      <c r="D30" s="130">
        <f>SUM(D24:D29)</f>
        <v>13955545.130000001</v>
      </c>
      <c r="E30" s="99">
        <f t="shared" si="0"/>
        <v>29604762.870000005</v>
      </c>
      <c r="F30" s="130">
        <f>SUM(F24:F29)</f>
        <v>20739136.059999999</v>
      </c>
      <c r="G30" s="130">
        <f>SUM(G24:G29)</f>
        <v>16807722.07</v>
      </c>
      <c r="H30" s="100">
        <f t="shared" si="1"/>
        <v>37546858.129999995</v>
      </c>
    </row>
    <row r="31" spans="1:10" ht="15.75">
      <c r="A31" s="123">
        <v>14</v>
      </c>
      <c r="B31" s="136" t="s">
        <v>147</v>
      </c>
      <c r="C31" s="130">
        <f>C22-C30</f>
        <v>15049535.990000002</v>
      </c>
      <c r="D31" s="130">
        <f>D22-D30</f>
        <v>16524414.809999997</v>
      </c>
      <c r="E31" s="99">
        <f t="shared" si="0"/>
        <v>31573950.799999997</v>
      </c>
      <c r="F31" s="130">
        <f>F22-F30</f>
        <v>9390490.6199999973</v>
      </c>
      <c r="G31" s="130">
        <f>G22-G30</f>
        <v>15312276.23</v>
      </c>
      <c r="H31" s="100">
        <f t="shared" si="1"/>
        <v>24702766.849999998</v>
      </c>
    </row>
    <row r="32" spans="1:10">
      <c r="A32" s="123"/>
      <c r="B32" s="124"/>
      <c r="C32" s="137"/>
      <c r="D32" s="137"/>
      <c r="E32" s="137"/>
      <c r="F32" s="137"/>
      <c r="G32" s="137"/>
      <c r="H32" s="138"/>
    </row>
    <row r="33" spans="1:8" ht="15.75">
      <c r="A33" s="123"/>
      <c r="B33" s="124" t="s">
        <v>148</v>
      </c>
      <c r="C33" s="128"/>
      <c r="D33" s="128"/>
      <c r="E33" s="98"/>
      <c r="F33" s="128"/>
      <c r="G33" s="128"/>
      <c r="H33" s="106"/>
    </row>
    <row r="34" spans="1:8" ht="15.75">
      <c r="A34" s="123">
        <v>15</v>
      </c>
      <c r="B34" s="139" t="s">
        <v>149</v>
      </c>
      <c r="C34" s="140">
        <f>C35-C36</f>
        <v>2952467.2399999998</v>
      </c>
      <c r="D34" s="140">
        <f>D35-D36</f>
        <v>793124.71999999974</v>
      </c>
      <c r="E34" s="99">
        <f t="shared" si="0"/>
        <v>3745591.9599999995</v>
      </c>
      <c r="F34" s="140">
        <f>F35-F36</f>
        <v>2809319.56</v>
      </c>
      <c r="G34" s="140">
        <f>G35-G36</f>
        <v>835457.35999999987</v>
      </c>
      <c r="H34" s="100">
        <f t="shared" si="1"/>
        <v>3644776.92</v>
      </c>
    </row>
    <row r="35" spans="1:8" ht="15.75">
      <c r="A35" s="123">
        <v>15.1</v>
      </c>
      <c r="B35" s="131" t="s">
        <v>150</v>
      </c>
      <c r="C35" s="128">
        <v>4619255.18</v>
      </c>
      <c r="D35" s="128">
        <v>3945286.09</v>
      </c>
      <c r="E35" s="99">
        <f t="shared" si="0"/>
        <v>8564541.2699999996</v>
      </c>
      <c r="F35" s="128">
        <v>4367046.71</v>
      </c>
      <c r="G35" s="128">
        <v>3547713.0799999996</v>
      </c>
      <c r="H35" s="100">
        <f t="shared" si="1"/>
        <v>7914759.7899999991</v>
      </c>
    </row>
    <row r="36" spans="1:8" ht="15.75">
      <c r="A36" s="123">
        <v>15.2</v>
      </c>
      <c r="B36" s="131" t="s">
        <v>151</v>
      </c>
      <c r="C36" s="128">
        <v>1666787.94</v>
      </c>
      <c r="D36" s="128">
        <v>3152161.37</v>
      </c>
      <c r="E36" s="99">
        <f t="shared" si="0"/>
        <v>4818949.3100000005</v>
      </c>
      <c r="F36" s="128">
        <v>1557727.15</v>
      </c>
      <c r="G36" s="128">
        <v>2712255.7199999997</v>
      </c>
      <c r="H36" s="100">
        <f t="shared" si="1"/>
        <v>4269982.8699999992</v>
      </c>
    </row>
    <row r="37" spans="1:8" ht="15.75">
      <c r="A37" s="123">
        <v>16</v>
      </c>
      <c r="B37" s="127" t="s">
        <v>152</v>
      </c>
      <c r="C37" s="128">
        <v>0</v>
      </c>
      <c r="D37" s="128">
        <v>0</v>
      </c>
      <c r="E37" s="99">
        <f t="shared" si="0"/>
        <v>0</v>
      </c>
      <c r="F37" s="128">
        <v>0</v>
      </c>
      <c r="G37" s="128">
        <v>0</v>
      </c>
      <c r="H37" s="100">
        <f t="shared" si="1"/>
        <v>0</v>
      </c>
    </row>
    <row r="38" spans="1:8" ht="15.75">
      <c r="A38" s="123">
        <v>17</v>
      </c>
      <c r="B38" s="127" t="s">
        <v>153</v>
      </c>
      <c r="C38" s="128">
        <v>0</v>
      </c>
      <c r="D38" s="128">
        <v>0</v>
      </c>
      <c r="E38" s="99">
        <f t="shared" si="0"/>
        <v>0</v>
      </c>
      <c r="F38" s="128">
        <v>0</v>
      </c>
      <c r="G38" s="128">
        <v>0</v>
      </c>
      <c r="H38" s="100">
        <f t="shared" si="1"/>
        <v>0</v>
      </c>
    </row>
    <row r="39" spans="1:8" ht="15.75">
      <c r="A39" s="123">
        <v>18</v>
      </c>
      <c r="B39" s="127" t="s">
        <v>154</v>
      </c>
      <c r="C39" s="128">
        <v>0</v>
      </c>
      <c r="D39" s="128">
        <v>0</v>
      </c>
      <c r="E39" s="99">
        <f t="shared" si="0"/>
        <v>0</v>
      </c>
      <c r="F39" s="128">
        <v>0</v>
      </c>
      <c r="G39" s="128">
        <v>0</v>
      </c>
      <c r="H39" s="100">
        <f t="shared" si="1"/>
        <v>0</v>
      </c>
    </row>
    <row r="40" spans="1:8" ht="15.75">
      <c r="A40" s="123">
        <v>19</v>
      </c>
      <c r="B40" s="127" t="s">
        <v>155</v>
      </c>
      <c r="C40" s="128">
        <v>6934862.9499999993</v>
      </c>
      <c r="D40" s="128">
        <v>0</v>
      </c>
      <c r="E40" s="99">
        <f t="shared" si="0"/>
        <v>6934862.9499999993</v>
      </c>
      <c r="F40" s="128">
        <v>3483106.2699999996</v>
      </c>
      <c r="G40" s="128">
        <v>0</v>
      </c>
      <c r="H40" s="100">
        <f t="shared" si="1"/>
        <v>3483106.2699999996</v>
      </c>
    </row>
    <row r="41" spans="1:8" ht="15.75">
      <c r="A41" s="123">
        <v>20</v>
      </c>
      <c r="B41" s="127" t="s">
        <v>156</v>
      </c>
      <c r="C41" s="128">
        <v>-1089185.0300000012</v>
      </c>
      <c r="D41" s="128">
        <v>0</v>
      </c>
      <c r="E41" s="99">
        <f t="shared" si="0"/>
        <v>-1089185.0300000012</v>
      </c>
      <c r="F41" s="128">
        <v>4915439.200000003</v>
      </c>
      <c r="G41" s="128">
        <v>0</v>
      </c>
      <c r="H41" s="100">
        <f t="shared" si="1"/>
        <v>4915439.200000003</v>
      </c>
    </row>
    <row r="42" spans="1:8" ht="15.75">
      <c r="A42" s="123">
        <v>21</v>
      </c>
      <c r="B42" s="127" t="s">
        <v>157</v>
      </c>
      <c r="C42" s="128">
        <v>2039932.08</v>
      </c>
      <c r="D42" s="128">
        <v>0</v>
      </c>
      <c r="E42" s="99">
        <f t="shared" si="0"/>
        <v>2039932.08</v>
      </c>
      <c r="F42" s="128">
        <v>581505.06999999995</v>
      </c>
      <c r="G42" s="128">
        <v>0</v>
      </c>
      <c r="H42" s="100">
        <f t="shared" si="1"/>
        <v>581505.06999999995</v>
      </c>
    </row>
    <row r="43" spans="1:8" ht="15.75">
      <c r="A43" s="123">
        <v>22</v>
      </c>
      <c r="B43" s="127" t="s">
        <v>158</v>
      </c>
      <c r="C43" s="128">
        <v>6811.9699999998556</v>
      </c>
      <c r="D43" s="128">
        <v>1154906.95</v>
      </c>
      <c r="E43" s="99">
        <f t="shared" si="0"/>
        <v>1161718.92</v>
      </c>
      <c r="F43" s="128">
        <v>2950</v>
      </c>
      <c r="G43" s="128">
        <v>231820.19999999998</v>
      </c>
      <c r="H43" s="100">
        <f t="shared" si="1"/>
        <v>234770.19999999998</v>
      </c>
    </row>
    <row r="44" spans="1:8" ht="15.75">
      <c r="A44" s="123">
        <v>23</v>
      </c>
      <c r="B44" s="127" t="s">
        <v>159</v>
      </c>
      <c r="C44" s="128">
        <v>64390.009999999995</v>
      </c>
      <c r="D44" s="128">
        <v>2922.75</v>
      </c>
      <c r="E44" s="99">
        <f t="shared" si="0"/>
        <v>67312.759999999995</v>
      </c>
      <c r="F44" s="128">
        <v>8142.4099999999162</v>
      </c>
      <c r="G44" s="128">
        <v>54221.58</v>
      </c>
      <c r="H44" s="100">
        <f t="shared" si="1"/>
        <v>62363.989999999918</v>
      </c>
    </row>
    <row r="45" spans="1:8" ht="15.75">
      <c r="A45" s="123">
        <v>24</v>
      </c>
      <c r="B45" s="136" t="s">
        <v>160</v>
      </c>
      <c r="C45" s="130">
        <f>C34+C37+C38+C39+C40+C41+C42+C43+C44</f>
        <v>10909279.219999999</v>
      </c>
      <c r="D45" s="130">
        <f>D34+D37+D38+D39+D40+D41+D42+D43+D44</f>
        <v>1950954.4199999997</v>
      </c>
      <c r="E45" s="99">
        <f t="shared" si="0"/>
        <v>12860233.639999999</v>
      </c>
      <c r="F45" s="130">
        <f>F34+F37+F38+F39+F40+F41+F42+F43+F44</f>
        <v>11800462.510000004</v>
      </c>
      <c r="G45" s="130">
        <f>G34+G37+G38+G39+G40+G41+G42+G43+G44</f>
        <v>1121499.1399999999</v>
      </c>
      <c r="H45" s="100">
        <f t="shared" si="1"/>
        <v>12921961.650000004</v>
      </c>
    </row>
    <row r="46" spans="1:8">
      <c r="A46" s="123"/>
      <c r="B46" s="124" t="s">
        <v>161</v>
      </c>
      <c r="C46" s="128"/>
      <c r="D46" s="128"/>
      <c r="E46" s="128"/>
      <c r="F46" s="128"/>
      <c r="G46" s="128"/>
      <c r="H46" s="141"/>
    </row>
    <row r="47" spans="1:8" ht="15.75">
      <c r="A47" s="123">
        <v>25</v>
      </c>
      <c r="B47" s="127" t="s">
        <v>162</v>
      </c>
      <c r="C47" s="128">
        <v>552596.28</v>
      </c>
      <c r="D47" s="128">
        <v>930974.63</v>
      </c>
      <c r="E47" s="99">
        <f t="shared" si="0"/>
        <v>1483570.9100000001</v>
      </c>
      <c r="F47" s="128">
        <v>430918.27</v>
      </c>
      <c r="G47" s="128">
        <v>189963.32</v>
      </c>
      <c r="H47" s="100">
        <f t="shared" si="1"/>
        <v>620881.59000000008</v>
      </c>
    </row>
    <row r="48" spans="1:8" ht="15.75">
      <c r="A48" s="123">
        <v>26</v>
      </c>
      <c r="B48" s="127" t="s">
        <v>163</v>
      </c>
      <c r="C48" s="128">
        <v>2280212.1800000006</v>
      </c>
      <c r="D48" s="128">
        <v>30061.370000000003</v>
      </c>
      <c r="E48" s="99">
        <f t="shared" si="0"/>
        <v>2310273.5500000007</v>
      </c>
      <c r="F48" s="128">
        <v>2573527.4900000002</v>
      </c>
      <c r="G48" s="128">
        <v>165843.19</v>
      </c>
      <c r="H48" s="100">
        <f t="shared" si="1"/>
        <v>2739370.68</v>
      </c>
    </row>
    <row r="49" spans="1:9" ht="15.75">
      <c r="A49" s="123">
        <v>27</v>
      </c>
      <c r="B49" s="127" t="s">
        <v>164</v>
      </c>
      <c r="C49" s="128">
        <v>13262743.130000001</v>
      </c>
      <c r="D49" s="128">
        <v>0</v>
      </c>
      <c r="E49" s="99">
        <f t="shared" si="0"/>
        <v>13262743.130000001</v>
      </c>
      <c r="F49" s="128">
        <v>9447150.4399999976</v>
      </c>
      <c r="G49" s="128">
        <v>0</v>
      </c>
      <c r="H49" s="100">
        <f t="shared" si="1"/>
        <v>9447150.4399999976</v>
      </c>
    </row>
    <row r="50" spans="1:9" ht="15.75">
      <c r="A50" s="123">
        <v>28</v>
      </c>
      <c r="B50" s="127" t="s">
        <v>165</v>
      </c>
      <c r="C50" s="128">
        <v>1233.5</v>
      </c>
      <c r="D50" s="128">
        <v>0</v>
      </c>
      <c r="E50" s="99">
        <f t="shared" si="0"/>
        <v>1233.5</v>
      </c>
      <c r="F50" s="128">
        <v>10774.33</v>
      </c>
      <c r="G50" s="128">
        <v>0</v>
      </c>
      <c r="H50" s="100">
        <f t="shared" si="1"/>
        <v>10774.33</v>
      </c>
    </row>
    <row r="51" spans="1:9" ht="15.75">
      <c r="A51" s="123">
        <v>29</v>
      </c>
      <c r="B51" s="127" t="s">
        <v>166</v>
      </c>
      <c r="C51" s="128">
        <v>4560402.1900000004</v>
      </c>
      <c r="D51" s="128">
        <v>0</v>
      </c>
      <c r="E51" s="99">
        <f t="shared" si="0"/>
        <v>4560402.1900000004</v>
      </c>
      <c r="F51" s="128">
        <v>4088488.79</v>
      </c>
      <c r="G51" s="128">
        <v>0</v>
      </c>
      <c r="H51" s="100">
        <f t="shared" si="1"/>
        <v>4088488.79</v>
      </c>
    </row>
    <row r="52" spans="1:9" ht="15.75">
      <c r="A52" s="123">
        <v>30</v>
      </c>
      <c r="B52" s="127" t="s">
        <v>167</v>
      </c>
      <c r="C52" s="128">
        <v>5965407.5899999999</v>
      </c>
      <c r="D52" s="128">
        <v>1421042.69</v>
      </c>
      <c r="E52" s="99">
        <f t="shared" si="0"/>
        <v>7386450.2799999993</v>
      </c>
      <c r="F52" s="128">
        <v>5285149.040000001</v>
      </c>
      <c r="G52" s="128">
        <v>697.25</v>
      </c>
      <c r="H52" s="100">
        <f t="shared" si="1"/>
        <v>5285846.290000001</v>
      </c>
    </row>
    <row r="53" spans="1:9" ht="15.75">
      <c r="A53" s="123">
        <v>31</v>
      </c>
      <c r="B53" s="136" t="s">
        <v>168</v>
      </c>
      <c r="C53" s="130">
        <f>C47+C48+C49+C50+C51+C52</f>
        <v>26622594.870000001</v>
      </c>
      <c r="D53" s="130">
        <f>D47+D48+D49+D50+D51+D52</f>
        <v>2382078.69</v>
      </c>
      <c r="E53" s="99">
        <f t="shared" si="0"/>
        <v>29004673.560000002</v>
      </c>
      <c r="F53" s="130">
        <f>F47+F48+F49+F50+F51+F52</f>
        <v>21836008.359999999</v>
      </c>
      <c r="G53" s="130">
        <f>G47+G48+G49+G50+G51+G52</f>
        <v>356503.76</v>
      </c>
      <c r="H53" s="100">
        <f t="shared" si="1"/>
        <v>22192512.120000001</v>
      </c>
    </row>
    <row r="54" spans="1:9" ht="15.75">
      <c r="A54" s="123">
        <v>32</v>
      </c>
      <c r="B54" s="136" t="s">
        <v>169</v>
      </c>
      <c r="C54" s="130">
        <f>C45-C53</f>
        <v>-15713315.650000002</v>
      </c>
      <c r="D54" s="130">
        <f>D45-D53</f>
        <v>-431124.27000000025</v>
      </c>
      <c r="E54" s="99">
        <f t="shared" si="0"/>
        <v>-16144439.920000002</v>
      </c>
      <c r="F54" s="130">
        <f>F45-F53</f>
        <v>-10035545.849999996</v>
      </c>
      <c r="G54" s="130">
        <f>G45-G53</f>
        <v>764995.37999999989</v>
      </c>
      <c r="H54" s="100">
        <f t="shared" si="1"/>
        <v>-9270550.4699999951</v>
      </c>
    </row>
    <row r="55" spans="1:9">
      <c r="A55" s="123"/>
      <c r="B55" s="124"/>
      <c r="C55" s="137"/>
      <c r="D55" s="137"/>
      <c r="E55" s="137"/>
      <c r="F55" s="137"/>
      <c r="G55" s="137"/>
      <c r="H55" s="138"/>
    </row>
    <row r="56" spans="1:9" ht="15.75">
      <c r="A56" s="123">
        <v>33</v>
      </c>
      <c r="B56" s="136" t="s">
        <v>170</v>
      </c>
      <c r="C56" s="130">
        <f>C31+C54</f>
        <v>-663779.66000000015</v>
      </c>
      <c r="D56" s="130">
        <f>D31+D54</f>
        <v>16093290.539999997</v>
      </c>
      <c r="E56" s="99">
        <f t="shared" si="0"/>
        <v>15429510.879999997</v>
      </c>
      <c r="F56" s="130">
        <f>F31+F54</f>
        <v>-645055.22999999858</v>
      </c>
      <c r="G56" s="130">
        <f>G31+G54</f>
        <v>16077271.609999999</v>
      </c>
      <c r="H56" s="100">
        <f t="shared" si="1"/>
        <v>15432216.380000001</v>
      </c>
    </row>
    <row r="57" spans="1:9">
      <c r="A57" s="123"/>
      <c r="B57" s="124"/>
      <c r="C57" s="128"/>
      <c r="D57" s="137"/>
      <c r="E57" s="137"/>
      <c r="F57" s="128"/>
      <c r="G57" s="137"/>
      <c r="H57" s="138"/>
    </row>
    <row r="58" spans="1:9" ht="15.75">
      <c r="A58" s="123">
        <v>34</v>
      </c>
      <c r="B58" s="127" t="s">
        <v>171</v>
      </c>
      <c r="C58" s="128">
        <v>1940145.9100000006</v>
      </c>
      <c r="D58" s="128" t="s">
        <v>449</v>
      </c>
      <c r="E58" s="99">
        <f>C58</f>
        <v>1940145.9100000006</v>
      </c>
      <c r="F58" s="128">
        <v>24744295.080000002</v>
      </c>
      <c r="G58" s="128" t="s">
        <v>449</v>
      </c>
      <c r="H58" s="100">
        <f>F58</f>
        <v>24744295.080000002</v>
      </c>
    </row>
    <row r="59" spans="1:9" s="143" customFormat="1" ht="15.75">
      <c r="A59" s="123">
        <v>35</v>
      </c>
      <c r="B59" s="139" t="s">
        <v>172</v>
      </c>
      <c r="C59" s="128">
        <v>2538</v>
      </c>
      <c r="D59" s="128" t="s">
        <v>449</v>
      </c>
      <c r="E59" s="99">
        <f>C59</f>
        <v>2538</v>
      </c>
      <c r="F59" s="128">
        <v>0</v>
      </c>
      <c r="G59" s="128" t="s">
        <v>449</v>
      </c>
      <c r="H59" s="100">
        <f>F59</f>
        <v>0</v>
      </c>
      <c r="I59" s="142"/>
    </row>
    <row r="60" spans="1:9" ht="15.75">
      <c r="A60" s="123">
        <v>36</v>
      </c>
      <c r="B60" s="127" t="s">
        <v>173</v>
      </c>
      <c r="C60" s="128">
        <v>-2774302.9</v>
      </c>
      <c r="D60" s="128" t="s">
        <v>449</v>
      </c>
      <c r="E60" s="99">
        <f>C60</f>
        <v>-2774302.9</v>
      </c>
      <c r="F60" s="128">
        <v>5213286.03</v>
      </c>
      <c r="G60" s="128" t="s">
        <v>449</v>
      </c>
      <c r="H60" s="100">
        <f>F60</f>
        <v>5213286.03</v>
      </c>
    </row>
    <row r="61" spans="1:9" ht="15.75">
      <c r="A61" s="123">
        <v>37</v>
      </c>
      <c r="B61" s="136" t="s">
        <v>174</v>
      </c>
      <c r="C61" s="130">
        <f>C58+C59+C60</f>
        <v>-831618.98999999929</v>
      </c>
      <c r="D61" s="130">
        <v>0</v>
      </c>
      <c r="E61" s="99">
        <f t="shared" si="0"/>
        <v>-831618.98999999929</v>
      </c>
      <c r="F61" s="130">
        <f>F58+F59+F60</f>
        <v>29957581.110000003</v>
      </c>
      <c r="G61" s="130">
        <v>0</v>
      </c>
      <c r="H61" s="100">
        <f t="shared" si="1"/>
        <v>29957581.110000003</v>
      </c>
    </row>
    <row r="62" spans="1:9">
      <c r="A62" s="123"/>
      <c r="B62" s="144"/>
      <c r="C62" s="128"/>
      <c r="D62" s="128"/>
      <c r="E62" s="128"/>
      <c r="F62" s="128"/>
      <c r="G62" s="128"/>
      <c r="H62" s="141"/>
    </row>
    <row r="63" spans="1:9" ht="15.75">
      <c r="A63" s="123">
        <v>38</v>
      </c>
      <c r="B63" s="145" t="s">
        <v>175</v>
      </c>
      <c r="C63" s="130">
        <f>C56-C61</f>
        <v>167839.32999999914</v>
      </c>
      <c r="D63" s="130">
        <f>D56-D61</f>
        <v>16093290.539999997</v>
      </c>
      <c r="E63" s="99">
        <f t="shared" si="0"/>
        <v>16261129.869999997</v>
      </c>
      <c r="F63" s="130">
        <f>F56-F61</f>
        <v>-30602636.340000004</v>
      </c>
      <c r="G63" s="130">
        <f>G56-G61</f>
        <v>16077271.609999999</v>
      </c>
      <c r="H63" s="100">
        <f t="shared" si="1"/>
        <v>-14525364.730000004</v>
      </c>
    </row>
    <row r="64" spans="1:9" ht="15.75">
      <c r="A64" s="119">
        <v>39</v>
      </c>
      <c r="B64" s="127" t="s">
        <v>176</v>
      </c>
      <c r="C64" s="128">
        <v>0</v>
      </c>
      <c r="D64" s="128">
        <v>0</v>
      </c>
      <c r="E64" s="99">
        <f t="shared" si="0"/>
        <v>0</v>
      </c>
      <c r="F64" s="128">
        <v>-459204</v>
      </c>
      <c r="G64" s="128">
        <v>0</v>
      </c>
      <c r="H64" s="100">
        <f t="shared" si="1"/>
        <v>-459204</v>
      </c>
    </row>
    <row r="65" spans="1:8" ht="15.75">
      <c r="A65" s="123">
        <v>40</v>
      </c>
      <c r="B65" s="136" t="s">
        <v>177</v>
      </c>
      <c r="C65" s="130">
        <f>C63-C64</f>
        <v>167839.32999999914</v>
      </c>
      <c r="D65" s="130">
        <f>D63-D64</f>
        <v>16093290.539999997</v>
      </c>
      <c r="E65" s="99">
        <f t="shared" si="0"/>
        <v>16261129.869999997</v>
      </c>
      <c r="F65" s="130">
        <f>F63-F64</f>
        <v>-30143432.340000004</v>
      </c>
      <c r="G65" s="130">
        <f>G63-G64</f>
        <v>16077271.609999999</v>
      </c>
      <c r="H65" s="100">
        <f t="shared" si="1"/>
        <v>-14066160.730000004</v>
      </c>
    </row>
    <row r="66" spans="1:8" ht="15.75">
      <c r="A66" s="119">
        <v>41</v>
      </c>
      <c r="B66" s="127" t="s">
        <v>178</v>
      </c>
      <c r="C66" s="128">
        <v>0</v>
      </c>
      <c r="D66" s="128">
        <v>0</v>
      </c>
      <c r="E66" s="99">
        <f t="shared" si="0"/>
        <v>0</v>
      </c>
      <c r="F66" s="128">
        <v>0</v>
      </c>
      <c r="G66" s="128">
        <v>0</v>
      </c>
      <c r="H66" s="100">
        <f t="shared" si="1"/>
        <v>0</v>
      </c>
    </row>
    <row r="67" spans="1:8" ht="16.5" thickBot="1">
      <c r="A67" s="146">
        <v>42</v>
      </c>
      <c r="B67" s="147" t="s">
        <v>179</v>
      </c>
      <c r="C67" s="148">
        <f>C65+C66</f>
        <v>167839.32999999914</v>
      </c>
      <c r="D67" s="148">
        <f>D65+D66</f>
        <v>16093290.539999997</v>
      </c>
      <c r="E67" s="109">
        <f t="shared" si="0"/>
        <v>16261129.869999997</v>
      </c>
      <c r="F67" s="148">
        <f>F65+F66</f>
        <v>-30143432.340000004</v>
      </c>
      <c r="G67" s="148">
        <f>G65+G66</f>
        <v>16077271.609999999</v>
      </c>
      <c r="H67" s="110">
        <f t="shared" si="1"/>
        <v>-14066160.730000004</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J54"/>
  <sheetViews>
    <sheetView view="pageBreakPreview" topLeftCell="A22" zoomScale="60" zoomScaleNormal="100" workbookViewId="0">
      <selection activeCell="D16" sqref="D16"/>
    </sheetView>
  </sheetViews>
  <sheetFormatPr defaultRowHeight="15"/>
  <cols>
    <col min="1" max="1" width="9.5703125" bestFit="1" customWidth="1"/>
    <col min="2" max="2" width="72.28515625" customWidth="1"/>
    <col min="3" max="3" width="14" style="164" bestFit="1" customWidth="1"/>
    <col min="4" max="4" width="14.140625" style="164" bestFit="1" customWidth="1"/>
    <col min="5" max="5" width="14.85546875" style="164" bestFit="1" customWidth="1"/>
    <col min="6" max="6" width="12.7109375" style="164" customWidth="1"/>
    <col min="7" max="7" width="13.5703125" style="164" bestFit="1" customWidth="1"/>
    <col min="8" max="8" width="12.7109375" style="164" customWidth="1"/>
    <col min="9" max="9" width="14.85546875" style="164" customWidth="1"/>
    <col min="10" max="10" width="9.140625" style="164"/>
  </cols>
  <sheetData>
    <row r="1" spans="1:10">
      <c r="A1" s="21" t="s">
        <v>27</v>
      </c>
      <c r="B1" s="21" t="str">
        <f>'1. key ratios'!B1</f>
        <v>სს ტერაბანკი</v>
      </c>
      <c r="C1"/>
      <c r="D1"/>
      <c r="E1"/>
      <c r="F1"/>
      <c r="G1"/>
      <c r="H1"/>
      <c r="I1"/>
      <c r="J1"/>
    </row>
    <row r="2" spans="1:10">
      <c r="A2" s="21" t="s">
        <v>29</v>
      </c>
      <c r="B2" s="86">
        <f>'1. key ratios'!B2</f>
        <v>43100</v>
      </c>
      <c r="C2"/>
      <c r="D2"/>
      <c r="E2"/>
      <c r="F2"/>
      <c r="G2"/>
      <c r="H2"/>
      <c r="I2"/>
      <c r="J2"/>
    </row>
    <row r="3" spans="1:10">
      <c r="A3" s="21"/>
      <c r="C3"/>
      <c r="D3"/>
      <c r="E3"/>
      <c r="F3" s="149"/>
      <c r="G3"/>
      <c r="H3"/>
      <c r="I3"/>
      <c r="J3"/>
    </row>
    <row r="4" spans="1:10" ht="16.5" thickBot="1">
      <c r="A4" s="21" t="s">
        <v>180</v>
      </c>
      <c r="B4" s="21"/>
      <c r="C4" s="150"/>
      <c r="D4" s="150"/>
      <c r="E4" s="150"/>
      <c r="F4" s="151"/>
      <c r="G4" s="151"/>
      <c r="H4" s="152" t="s">
        <v>78</v>
      </c>
      <c r="I4"/>
      <c r="J4"/>
    </row>
    <row r="5" spans="1:10" ht="15.75">
      <c r="A5" s="482" t="s">
        <v>31</v>
      </c>
      <c r="B5" s="484" t="s">
        <v>181</v>
      </c>
      <c r="C5" s="486" t="s">
        <v>79</v>
      </c>
      <c r="D5" s="486"/>
      <c r="E5" s="486"/>
      <c r="F5" s="486" t="s">
        <v>80</v>
      </c>
      <c r="G5" s="486"/>
      <c r="H5" s="487"/>
      <c r="I5"/>
      <c r="J5"/>
    </row>
    <row r="6" spans="1:10">
      <c r="A6" s="483"/>
      <c r="B6" s="485"/>
      <c r="C6" s="95" t="s">
        <v>82</v>
      </c>
      <c r="D6" s="95" t="s">
        <v>83</v>
      </c>
      <c r="E6" s="95" t="s">
        <v>84</v>
      </c>
      <c r="F6" s="95" t="s">
        <v>82</v>
      </c>
      <c r="G6" s="95" t="s">
        <v>83</v>
      </c>
      <c r="H6" s="96" t="s">
        <v>84</v>
      </c>
      <c r="I6"/>
      <c r="J6"/>
    </row>
    <row r="7" spans="1:10" s="20" customFormat="1" ht="15.75">
      <c r="A7" s="153">
        <v>1</v>
      </c>
      <c r="B7" s="154" t="s">
        <v>182</v>
      </c>
      <c r="C7" s="98">
        <f>SUM(C8:C11)</f>
        <v>48737814.550000027</v>
      </c>
      <c r="D7" s="98">
        <f>SUM(D8:D11)</f>
        <v>28348002.890000008</v>
      </c>
      <c r="E7" s="99">
        <f>C7+D7</f>
        <v>77085817.440000027</v>
      </c>
      <c r="F7" s="98"/>
      <c r="G7" s="98"/>
      <c r="H7" s="100">
        <f t="shared" ref="H7:H53" si="0">F7+G7</f>
        <v>0</v>
      </c>
      <c r="I7" s="155"/>
      <c r="J7" s="155"/>
    </row>
    <row r="8" spans="1:10" s="20" customFormat="1" ht="15.75">
      <c r="A8" s="153">
        <v>1.1000000000000001</v>
      </c>
      <c r="B8" s="156" t="s">
        <v>183</v>
      </c>
      <c r="C8" s="98">
        <v>38108482.909999996</v>
      </c>
      <c r="D8" s="98">
        <v>17599368.16</v>
      </c>
      <c r="E8" s="99">
        <f t="shared" ref="E8:E53" si="1">C8+D8</f>
        <v>55707851.069999993</v>
      </c>
      <c r="F8" s="98"/>
      <c r="G8" s="98"/>
      <c r="H8" s="100">
        <f t="shared" si="0"/>
        <v>0</v>
      </c>
      <c r="I8" s="155"/>
      <c r="J8" s="155"/>
    </row>
    <row r="9" spans="1:10" s="20" customFormat="1" ht="15.75">
      <c r="A9" s="153">
        <v>1.2</v>
      </c>
      <c r="B9" s="156" t="s">
        <v>184</v>
      </c>
      <c r="C9" s="98">
        <v>1204000</v>
      </c>
      <c r="D9" s="98">
        <v>438560.92</v>
      </c>
      <c r="E9" s="99">
        <f t="shared" si="1"/>
        <v>1642560.92</v>
      </c>
      <c r="F9" s="98"/>
      <c r="G9" s="98"/>
      <c r="H9" s="100">
        <f t="shared" si="0"/>
        <v>0</v>
      </c>
      <c r="I9" s="155"/>
      <c r="J9" s="155"/>
    </row>
    <row r="10" spans="1:10" s="20" customFormat="1" ht="15.75">
      <c r="A10" s="153">
        <v>1.3</v>
      </c>
      <c r="B10" s="156" t="s">
        <v>185</v>
      </c>
      <c r="C10" s="98">
        <v>9425331.6400000341</v>
      </c>
      <c r="D10" s="98">
        <v>9187438.0100000054</v>
      </c>
      <c r="E10" s="99">
        <f t="shared" si="1"/>
        <v>18612769.650000039</v>
      </c>
      <c r="F10" s="98"/>
      <c r="G10" s="98"/>
      <c r="H10" s="100">
        <f t="shared" si="0"/>
        <v>0</v>
      </c>
      <c r="I10" s="155"/>
      <c r="J10" s="155"/>
    </row>
    <row r="11" spans="1:10" s="20" customFormat="1" ht="15.75">
      <c r="A11" s="153">
        <v>1.4</v>
      </c>
      <c r="B11" s="156" t="s">
        <v>186</v>
      </c>
      <c r="C11" s="98">
        <v>0</v>
      </c>
      <c r="D11" s="98">
        <v>1122635.8</v>
      </c>
      <c r="E11" s="99">
        <f t="shared" si="1"/>
        <v>1122635.8</v>
      </c>
      <c r="F11" s="98"/>
      <c r="G11" s="98"/>
      <c r="H11" s="100">
        <f t="shared" si="0"/>
        <v>0</v>
      </c>
      <c r="I11" s="155"/>
      <c r="J11" s="155"/>
    </row>
    <row r="12" spans="1:10" s="20" customFormat="1" ht="29.25" customHeight="1">
      <c r="A12" s="153">
        <v>2</v>
      </c>
      <c r="B12" s="154" t="s">
        <v>187</v>
      </c>
      <c r="C12" s="98">
        <v>0</v>
      </c>
      <c r="D12" s="98">
        <v>0</v>
      </c>
      <c r="E12" s="99">
        <f t="shared" si="1"/>
        <v>0</v>
      </c>
      <c r="F12" s="98"/>
      <c r="G12" s="98"/>
      <c r="H12" s="100">
        <f t="shared" si="0"/>
        <v>0</v>
      </c>
      <c r="I12" s="155"/>
      <c r="J12" s="155"/>
    </row>
    <row r="13" spans="1:10" s="20" customFormat="1" ht="25.5">
      <c r="A13" s="153">
        <v>3</v>
      </c>
      <c r="B13" s="154" t="s">
        <v>188</v>
      </c>
      <c r="C13" s="98">
        <v>25345000</v>
      </c>
      <c r="D13" s="98">
        <v>0</v>
      </c>
      <c r="E13" s="99">
        <f t="shared" si="1"/>
        <v>25345000</v>
      </c>
      <c r="F13" s="98"/>
      <c r="G13" s="98"/>
      <c r="H13" s="100">
        <f t="shared" si="0"/>
        <v>0</v>
      </c>
      <c r="I13" s="155"/>
      <c r="J13" s="155"/>
    </row>
    <row r="14" spans="1:10" s="20" customFormat="1" ht="15.75">
      <c r="A14" s="153">
        <v>3.1</v>
      </c>
      <c r="B14" s="156" t="s">
        <v>189</v>
      </c>
      <c r="C14" s="98">
        <f>C13</f>
        <v>25345000</v>
      </c>
      <c r="D14" s="98">
        <f>D13</f>
        <v>0</v>
      </c>
      <c r="E14" s="99">
        <f t="shared" si="1"/>
        <v>25345000</v>
      </c>
      <c r="F14" s="98"/>
      <c r="G14" s="98"/>
      <c r="H14" s="100">
        <f t="shared" si="0"/>
        <v>0</v>
      </c>
      <c r="I14" s="155"/>
      <c r="J14" s="155"/>
    </row>
    <row r="15" spans="1:10" s="20" customFormat="1" ht="15.75">
      <c r="A15" s="153">
        <v>3.2</v>
      </c>
      <c r="B15" s="156" t="s">
        <v>190</v>
      </c>
      <c r="C15" s="98"/>
      <c r="D15" s="98"/>
      <c r="E15" s="99">
        <f t="shared" si="1"/>
        <v>0</v>
      </c>
      <c r="F15" s="98"/>
      <c r="G15" s="98"/>
      <c r="H15" s="100">
        <f t="shared" si="0"/>
        <v>0</v>
      </c>
      <c r="I15" s="155"/>
      <c r="J15" s="155"/>
    </row>
    <row r="16" spans="1:10" s="20" customFormat="1" ht="15.75">
      <c r="A16" s="153">
        <v>4</v>
      </c>
      <c r="B16" s="154" t="s">
        <v>191</v>
      </c>
      <c r="C16" s="98">
        <v>158492643.04999995</v>
      </c>
      <c r="D16" s="98">
        <v>279621532.15999991</v>
      </c>
      <c r="E16" s="99">
        <f t="shared" si="1"/>
        <v>438114175.20999986</v>
      </c>
      <c r="F16" s="98"/>
      <c r="G16" s="98"/>
      <c r="H16" s="100">
        <f t="shared" si="0"/>
        <v>0</v>
      </c>
      <c r="J16" s="155"/>
    </row>
    <row r="17" spans="1:10" s="20" customFormat="1" ht="15.75">
      <c r="A17" s="153">
        <v>4.0999999999999996</v>
      </c>
      <c r="B17" s="156" t="s">
        <v>192</v>
      </c>
      <c r="C17" s="98">
        <v>158492643.04999995</v>
      </c>
      <c r="D17" s="98">
        <v>279621532.15999991</v>
      </c>
      <c r="E17" s="99">
        <f t="shared" si="1"/>
        <v>438114175.20999986</v>
      </c>
      <c r="F17" s="98"/>
      <c r="G17" s="98"/>
      <c r="H17" s="100">
        <f t="shared" si="0"/>
        <v>0</v>
      </c>
      <c r="J17" s="155"/>
    </row>
    <row r="18" spans="1:10" s="20" customFormat="1" ht="15.75">
      <c r="A18" s="153">
        <v>4.2</v>
      </c>
      <c r="B18" s="156" t="s">
        <v>193</v>
      </c>
      <c r="C18" s="98">
        <v>0</v>
      </c>
      <c r="D18" s="98">
        <v>0</v>
      </c>
      <c r="E18" s="99">
        <f t="shared" si="1"/>
        <v>0</v>
      </c>
      <c r="F18" s="98"/>
      <c r="G18" s="98"/>
      <c r="H18" s="100">
        <f t="shared" si="0"/>
        <v>0</v>
      </c>
      <c r="I18" s="155"/>
      <c r="J18" s="155"/>
    </row>
    <row r="19" spans="1:10" s="20" customFormat="1" ht="25.5">
      <c r="A19" s="153">
        <v>5</v>
      </c>
      <c r="B19" s="154" t="s">
        <v>194</v>
      </c>
      <c r="C19" s="98">
        <v>478447204.75000012</v>
      </c>
      <c r="D19" s="98">
        <v>599512662.32999992</v>
      </c>
      <c r="E19" s="99">
        <f t="shared" si="1"/>
        <v>1077959867.0799999</v>
      </c>
      <c r="F19" s="98"/>
      <c r="G19" s="98"/>
      <c r="H19" s="100">
        <f t="shared" si="0"/>
        <v>0</v>
      </c>
      <c r="I19" s="155"/>
      <c r="J19" s="155"/>
    </row>
    <row r="20" spans="1:10" s="20" customFormat="1" ht="15.75">
      <c r="A20" s="153">
        <v>5.0999999999999996</v>
      </c>
      <c r="B20" s="156" t="s">
        <v>195</v>
      </c>
      <c r="C20" s="98">
        <v>21277366.629999995</v>
      </c>
      <c r="D20" s="98">
        <v>22916783.370000005</v>
      </c>
      <c r="E20" s="99">
        <f t="shared" si="1"/>
        <v>44194150</v>
      </c>
      <c r="F20" s="98"/>
      <c r="G20" s="98"/>
      <c r="H20" s="100">
        <f t="shared" si="0"/>
        <v>0</v>
      </c>
      <c r="I20" s="155"/>
      <c r="J20" s="155"/>
    </row>
    <row r="21" spans="1:10" s="20" customFormat="1" ht="15.75">
      <c r="A21" s="153">
        <v>5.2</v>
      </c>
      <c r="B21" s="156" t="s">
        <v>196</v>
      </c>
      <c r="C21" s="98">
        <v>65266843.059999995</v>
      </c>
      <c r="D21" s="98">
        <v>41920502.670000009</v>
      </c>
      <c r="E21" s="99">
        <f t="shared" si="1"/>
        <v>107187345.73</v>
      </c>
      <c r="F21" s="98"/>
      <c r="G21" s="98"/>
      <c r="H21" s="100">
        <f t="shared" si="0"/>
        <v>0</v>
      </c>
      <c r="I21" s="155"/>
      <c r="J21" s="155"/>
    </row>
    <row r="22" spans="1:10" s="20" customFormat="1" ht="15.75">
      <c r="A22" s="153">
        <v>5.3</v>
      </c>
      <c r="B22" s="156" t="s">
        <v>197</v>
      </c>
      <c r="C22" s="98">
        <v>336697610.41000015</v>
      </c>
      <c r="D22" s="98">
        <v>506343598.19999993</v>
      </c>
      <c r="E22" s="99">
        <f t="shared" si="1"/>
        <v>843041208.61000013</v>
      </c>
      <c r="F22" s="98"/>
      <c r="G22" s="98"/>
      <c r="H22" s="100">
        <f t="shared" si="0"/>
        <v>0</v>
      </c>
      <c r="I22" s="155"/>
      <c r="J22" s="155"/>
    </row>
    <row r="23" spans="1:10" s="20" customFormat="1" ht="15.75">
      <c r="A23" s="153" t="s">
        <v>198</v>
      </c>
      <c r="B23" s="157" t="s">
        <v>199</v>
      </c>
      <c r="C23" s="98">
        <v>189311687.42000017</v>
      </c>
      <c r="D23" s="98">
        <v>246749779.75999996</v>
      </c>
      <c r="E23" s="99">
        <f t="shared" si="1"/>
        <v>436061467.18000013</v>
      </c>
      <c r="F23" s="98"/>
      <c r="G23" s="98"/>
      <c r="H23" s="100">
        <f t="shared" si="0"/>
        <v>0</v>
      </c>
      <c r="I23" s="155"/>
      <c r="J23" s="155"/>
    </row>
    <row r="24" spans="1:10" s="20" customFormat="1" ht="15.75">
      <c r="A24" s="153" t="s">
        <v>200</v>
      </c>
      <c r="B24" s="157" t="s">
        <v>201</v>
      </c>
      <c r="C24" s="98">
        <v>104925587.83999999</v>
      </c>
      <c r="D24" s="98">
        <v>211446315.45000002</v>
      </c>
      <c r="E24" s="99">
        <f t="shared" si="1"/>
        <v>316371903.29000002</v>
      </c>
      <c r="F24" s="98"/>
      <c r="G24" s="98"/>
      <c r="H24" s="100">
        <f t="shared" si="0"/>
        <v>0</v>
      </c>
      <c r="I24" s="155"/>
      <c r="J24" s="155"/>
    </row>
    <row r="25" spans="1:10" s="20" customFormat="1" ht="15.75">
      <c r="A25" s="153" t="s">
        <v>202</v>
      </c>
      <c r="B25" s="158" t="s">
        <v>203</v>
      </c>
      <c r="C25" s="98">
        <v>7691202.2700000005</v>
      </c>
      <c r="D25" s="98">
        <v>10537304.029999997</v>
      </c>
      <c r="E25" s="99">
        <f t="shared" si="1"/>
        <v>18228506.299999997</v>
      </c>
      <c r="F25" s="98"/>
      <c r="G25" s="98"/>
      <c r="H25" s="100">
        <f t="shared" si="0"/>
        <v>0</v>
      </c>
      <c r="I25" s="155"/>
      <c r="J25" s="155"/>
    </row>
    <row r="26" spans="1:10" s="20" customFormat="1" ht="15.75">
      <c r="A26" s="153" t="s">
        <v>204</v>
      </c>
      <c r="B26" s="157" t="s">
        <v>205</v>
      </c>
      <c r="C26" s="98">
        <v>23678325.190000001</v>
      </c>
      <c r="D26" s="98">
        <v>34840614.32</v>
      </c>
      <c r="E26" s="99">
        <f t="shared" si="1"/>
        <v>58518939.510000005</v>
      </c>
      <c r="F26" s="98"/>
      <c r="G26" s="98"/>
      <c r="H26" s="100">
        <f t="shared" si="0"/>
        <v>0</v>
      </c>
      <c r="I26" s="155"/>
      <c r="J26" s="155"/>
    </row>
    <row r="27" spans="1:10" s="20" customFormat="1" ht="15.75">
      <c r="A27" s="153" t="s">
        <v>206</v>
      </c>
      <c r="B27" s="157" t="s">
        <v>207</v>
      </c>
      <c r="C27" s="98">
        <v>11090807.690000001</v>
      </c>
      <c r="D27" s="98">
        <v>2769584.6399999997</v>
      </c>
      <c r="E27" s="99">
        <f t="shared" si="1"/>
        <v>13860392.330000002</v>
      </c>
      <c r="F27" s="98"/>
      <c r="G27" s="98"/>
      <c r="H27" s="100">
        <f t="shared" si="0"/>
        <v>0</v>
      </c>
      <c r="I27" s="155"/>
      <c r="J27" s="155"/>
    </row>
    <row r="28" spans="1:10" s="20" customFormat="1" ht="15.75">
      <c r="A28" s="153">
        <v>5.4</v>
      </c>
      <c r="B28" s="156" t="s">
        <v>208</v>
      </c>
      <c r="C28" s="98">
        <v>7494363.6899999985</v>
      </c>
      <c r="D28" s="98">
        <v>13135351.390000002</v>
      </c>
      <c r="E28" s="99">
        <f t="shared" si="1"/>
        <v>20629715.080000002</v>
      </c>
      <c r="F28" s="98"/>
      <c r="G28" s="98"/>
      <c r="H28" s="100">
        <f t="shared" si="0"/>
        <v>0</v>
      </c>
      <c r="I28" s="155"/>
      <c r="J28" s="155"/>
    </row>
    <row r="29" spans="1:10" s="20" customFormat="1" ht="15.75">
      <c r="A29" s="153">
        <v>5.5</v>
      </c>
      <c r="B29" s="156" t="s">
        <v>209</v>
      </c>
      <c r="C29" s="98">
        <v>0</v>
      </c>
      <c r="D29" s="98">
        <v>0</v>
      </c>
      <c r="E29" s="99">
        <f t="shared" si="1"/>
        <v>0</v>
      </c>
      <c r="F29" s="98"/>
      <c r="G29" s="98"/>
      <c r="H29" s="100">
        <f t="shared" si="0"/>
        <v>0</v>
      </c>
      <c r="I29" s="155"/>
      <c r="J29" s="155"/>
    </row>
    <row r="30" spans="1:10" s="20" customFormat="1" ht="15.75">
      <c r="A30" s="153">
        <v>5.6</v>
      </c>
      <c r="B30" s="156" t="s">
        <v>210</v>
      </c>
      <c r="C30" s="98">
        <v>0</v>
      </c>
      <c r="D30" s="98">
        <v>0</v>
      </c>
      <c r="E30" s="99">
        <f t="shared" si="1"/>
        <v>0</v>
      </c>
      <c r="F30" s="98"/>
      <c r="G30" s="98"/>
      <c r="H30" s="100">
        <f t="shared" si="0"/>
        <v>0</v>
      </c>
      <c r="I30" s="155"/>
      <c r="J30" s="155"/>
    </row>
    <row r="31" spans="1:10" s="20" customFormat="1" ht="15.75">
      <c r="A31" s="153">
        <v>5.7</v>
      </c>
      <c r="B31" s="156" t="s">
        <v>211</v>
      </c>
      <c r="C31" s="98">
        <v>47711020.959999993</v>
      </c>
      <c r="D31" s="98">
        <v>15196426.699999996</v>
      </c>
      <c r="E31" s="99">
        <f t="shared" si="1"/>
        <v>62907447.659999989</v>
      </c>
      <c r="F31" s="98"/>
      <c r="G31" s="98"/>
      <c r="H31" s="100">
        <f t="shared" si="0"/>
        <v>0</v>
      </c>
      <c r="I31" s="155"/>
      <c r="J31" s="155"/>
    </row>
    <row r="32" spans="1:10" s="20" customFormat="1" ht="15.75">
      <c r="A32" s="153">
        <v>6</v>
      </c>
      <c r="B32" s="154" t="s">
        <v>212</v>
      </c>
      <c r="C32" s="98">
        <f>SUM(C33:C39)</f>
        <v>32878311.800000001</v>
      </c>
      <c r="D32" s="98">
        <f>SUM(D33:D39)</f>
        <v>32513964.600000001</v>
      </c>
      <c r="E32" s="99">
        <f t="shared" si="1"/>
        <v>65392276.400000006</v>
      </c>
      <c r="F32" s="98"/>
      <c r="G32" s="98"/>
      <c r="H32" s="100">
        <f t="shared" si="0"/>
        <v>0</v>
      </c>
      <c r="I32" s="155"/>
      <c r="J32" s="155"/>
    </row>
    <row r="33" spans="1:10" s="20" customFormat="1" ht="25.5">
      <c r="A33" s="153">
        <v>6.1</v>
      </c>
      <c r="B33" s="156" t="s">
        <v>213</v>
      </c>
      <c r="C33" s="98">
        <v>32878311.800000001</v>
      </c>
      <c r="D33" s="98">
        <v>0</v>
      </c>
      <c r="E33" s="99">
        <f t="shared" si="1"/>
        <v>32878311.800000001</v>
      </c>
      <c r="F33" s="98"/>
      <c r="G33" s="98"/>
      <c r="H33" s="100">
        <f t="shared" si="0"/>
        <v>0</v>
      </c>
      <c r="I33" s="155"/>
      <c r="J33" s="155"/>
    </row>
    <row r="34" spans="1:10" s="20" customFormat="1" ht="25.5">
      <c r="A34" s="153">
        <v>6.2</v>
      </c>
      <c r="B34" s="156" t="s">
        <v>214</v>
      </c>
      <c r="C34" s="98">
        <v>0</v>
      </c>
      <c r="D34" s="98">
        <v>32513964.600000001</v>
      </c>
      <c r="E34" s="99">
        <f t="shared" si="1"/>
        <v>32513964.600000001</v>
      </c>
      <c r="F34" s="98"/>
      <c r="G34" s="98"/>
      <c r="H34" s="100">
        <f t="shared" si="0"/>
        <v>0</v>
      </c>
      <c r="I34" s="155"/>
      <c r="J34" s="155"/>
    </row>
    <row r="35" spans="1:10" s="20" customFormat="1" ht="25.5">
      <c r="A35" s="153">
        <v>6.3</v>
      </c>
      <c r="B35" s="156" t="s">
        <v>215</v>
      </c>
      <c r="C35" s="98">
        <v>0</v>
      </c>
      <c r="D35" s="98">
        <v>0</v>
      </c>
      <c r="E35" s="99">
        <f t="shared" si="1"/>
        <v>0</v>
      </c>
      <c r="F35" s="98"/>
      <c r="G35" s="98"/>
      <c r="H35" s="100">
        <f t="shared" si="0"/>
        <v>0</v>
      </c>
      <c r="I35" s="155"/>
      <c r="J35" s="155"/>
    </row>
    <row r="36" spans="1:10" s="20" customFormat="1" ht="15.75">
      <c r="A36" s="153">
        <v>6.4</v>
      </c>
      <c r="B36" s="156" t="s">
        <v>216</v>
      </c>
      <c r="C36" s="98"/>
      <c r="D36" s="98"/>
      <c r="E36" s="99">
        <f t="shared" si="1"/>
        <v>0</v>
      </c>
      <c r="F36" s="98"/>
      <c r="G36" s="98"/>
      <c r="H36" s="100">
        <f t="shared" si="0"/>
        <v>0</v>
      </c>
      <c r="I36" s="155"/>
      <c r="J36" s="155"/>
    </row>
    <row r="37" spans="1:10" s="20" customFormat="1" ht="15.75">
      <c r="A37" s="153">
        <v>6.5</v>
      </c>
      <c r="B37" s="156" t="s">
        <v>217</v>
      </c>
      <c r="C37" s="98"/>
      <c r="D37" s="98"/>
      <c r="E37" s="99">
        <f t="shared" si="1"/>
        <v>0</v>
      </c>
      <c r="F37" s="98"/>
      <c r="G37" s="98"/>
      <c r="H37" s="100">
        <f t="shared" si="0"/>
        <v>0</v>
      </c>
      <c r="I37" s="155"/>
      <c r="J37" s="155"/>
    </row>
    <row r="38" spans="1:10" s="20" customFormat="1" ht="25.5">
      <c r="A38" s="153">
        <v>6.6</v>
      </c>
      <c r="B38" s="156" t="s">
        <v>218</v>
      </c>
      <c r="C38" s="98"/>
      <c r="D38" s="98"/>
      <c r="E38" s="99">
        <f t="shared" si="1"/>
        <v>0</v>
      </c>
      <c r="F38" s="98"/>
      <c r="G38" s="98"/>
      <c r="H38" s="100">
        <f t="shared" si="0"/>
        <v>0</v>
      </c>
      <c r="I38" s="155"/>
      <c r="J38" s="155"/>
    </row>
    <row r="39" spans="1:10" s="20" customFormat="1" ht="25.5">
      <c r="A39" s="153">
        <v>6.7</v>
      </c>
      <c r="B39" s="156" t="s">
        <v>219</v>
      </c>
      <c r="C39" s="98"/>
      <c r="D39" s="98"/>
      <c r="E39" s="99">
        <f t="shared" si="1"/>
        <v>0</v>
      </c>
      <c r="F39" s="98"/>
      <c r="G39" s="98"/>
      <c r="H39" s="100">
        <f t="shared" si="0"/>
        <v>0</v>
      </c>
      <c r="I39" s="155"/>
      <c r="J39" s="155"/>
    </row>
    <row r="40" spans="1:10" s="20" customFormat="1" ht="15.75">
      <c r="A40" s="153">
        <v>7</v>
      </c>
      <c r="B40" s="154" t="s">
        <v>220</v>
      </c>
      <c r="C40" s="98"/>
      <c r="D40" s="98"/>
      <c r="E40" s="99">
        <f>C40+D40</f>
        <v>0</v>
      </c>
      <c r="F40" s="98"/>
      <c r="G40" s="98"/>
      <c r="H40" s="100">
        <f t="shared" si="0"/>
        <v>0</v>
      </c>
      <c r="I40" s="155"/>
      <c r="J40" s="155"/>
    </row>
    <row r="41" spans="1:10" s="20" customFormat="1" ht="25.5">
      <c r="A41" s="153">
        <v>7.1</v>
      </c>
      <c r="B41" s="156" t="s">
        <v>221</v>
      </c>
      <c r="C41" s="98">
        <v>380745.33999999968</v>
      </c>
      <c r="D41" s="98">
        <v>46734.46</v>
      </c>
      <c r="E41" s="99">
        <f t="shared" si="1"/>
        <v>427479.7999999997</v>
      </c>
      <c r="F41" s="98"/>
      <c r="G41" s="98"/>
      <c r="H41" s="100">
        <f t="shared" si="0"/>
        <v>0</v>
      </c>
      <c r="I41" s="155"/>
      <c r="J41" s="155"/>
    </row>
    <row r="42" spans="1:10" s="20" customFormat="1" ht="25.5">
      <c r="A42" s="153">
        <v>7.2</v>
      </c>
      <c r="B42" s="156" t="s">
        <v>222</v>
      </c>
      <c r="C42" s="98">
        <v>1554017.2499999988</v>
      </c>
      <c r="D42" s="98">
        <v>7610900.9799999967</v>
      </c>
      <c r="E42" s="99">
        <f t="shared" si="1"/>
        <v>9164918.2299999949</v>
      </c>
      <c r="F42" s="98"/>
      <c r="G42" s="98"/>
      <c r="H42" s="100">
        <f t="shared" si="0"/>
        <v>0</v>
      </c>
      <c r="I42" s="159"/>
      <c r="J42" s="155"/>
    </row>
    <row r="43" spans="1:10" s="20" customFormat="1" ht="25.5">
      <c r="A43" s="153">
        <v>7.3</v>
      </c>
      <c r="B43" s="156" t="s">
        <v>223</v>
      </c>
      <c r="C43" s="98">
        <v>5799244.9900000039</v>
      </c>
      <c r="D43" s="98">
        <v>6817832.79</v>
      </c>
      <c r="E43" s="99">
        <f t="shared" si="1"/>
        <v>12617077.780000005</v>
      </c>
      <c r="F43" s="98"/>
      <c r="G43" s="98"/>
      <c r="H43" s="100">
        <f t="shared" si="0"/>
        <v>0</v>
      </c>
      <c r="I43" s="155"/>
      <c r="J43" s="155"/>
    </row>
    <row r="44" spans="1:10" s="20" customFormat="1" ht="25.5">
      <c r="A44" s="153">
        <v>7.4</v>
      </c>
      <c r="B44" s="156" t="s">
        <v>224</v>
      </c>
      <c r="C44" s="98">
        <v>45781242.19000002</v>
      </c>
      <c r="D44" s="98">
        <v>54037737.210000016</v>
      </c>
      <c r="E44" s="99">
        <f t="shared" si="1"/>
        <v>99818979.400000036</v>
      </c>
      <c r="F44" s="98"/>
      <c r="G44" s="98"/>
      <c r="H44" s="100">
        <f t="shared" si="0"/>
        <v>0</v>
      </c>
      <c r="I44" s="159"/>
      <c r="J44" s="155"/>
    </row>
    <row r="45" spans="1:10" s="20" customFormat="1" ht="15.75">
      <c r="A45" s="153">
        <v>8</v>
      </c>
      <c r="B45" s="154" t="s">
        <v>225</v>
      </c>
      <c r="C45" s="98"/>
      <c r="D45" s="98"/>
      <c r="E45" s="99">
        <f t="shared" si="1"/>
        <v>0</v>
      </c>
      <c r="F45" s="98"/>
      <c r="G45" s="98"/>
      <c r="H45" s="100">
        <f t="shared" si="0"/>
        <v>0</v>
      </c>
      <c r="I45" s="155"/>
      <c r="J45" s="155"/>
    </row>
    <row r="46" spans="1:10" s="20" customFormat="1" ht="15.75">
      <c r="A46" s="153">
        <v>8.1</v>
      </c>
      <c r="B46" s="156" t="s">
        <v>226</v>
      </c>
      <c r="C46" s="98"/>
      <c r="D46" s="98"/>
      <c r="E46" s="99">
        <f t="shared" si="1"/>
        <v>0</v>
      </c>
      <c r="F46" s="98"/>
      <c r="G46" s="98"/>
      <c r="H46" s="100">
        <f t="shared" si="0"/>
        <v>0</v>
      </c>
      <c r="I46" s="155"/>
      <c r="J46" s="155"/>
    </row>
    <row r="47" spans="1:10" s="20" customFormat="1" ht="15.75">
      <c r="A47" s="153">
        <v>8.1999999999999993</v>
      </c>
      <c r="B47" s="156" t="s">
        <v>227</v>
      </c>
      <c r="C47" s="98"/>
      <c r="D47" s="98"/>
      <c r="E47" s="99">
        <f t="shared" si="1"/>
        <v>0</v>
      </c>
      <c r="F47" s="98"/>
      <c r="G47" s="98"/>
      <c r="H47" s="100">
        <f t="shared" si="0"/>
        <v>0</v>
      </c>
      <c r="I47" s="155"/>
      <c r="J47" s="155"/>
    </row>
    <row r="48" spans="1:10" s="20" customFormat="1" ht="15.75">
      <c r="A48" s="153">
        <v>8.3000000000000007</v>
      </c>
      <c r="B48" s="156" t="s">
        <v>228</v>
      </c>
      <c r="C48" s="98"/>
      <c r="D48" s="98"/>
      <c r="E48" s="99">
        <f t="shared" si="1"/>
        <v>0</v>
      </c>
      <c r="F48" s="98"/>
      <c r="G48" s="98"/>
      <c r="H48" s="100">
        <f t="shared" si="0"/>
        <v>0</v>
      </c>
      <c r="I48" s="155"/>
      <c r="J48" s="155"/>
    </row>
    <row r="49" spans="1:10" s="20" customFormat="1" ht="15.75">
      <c r="A49" s="153">
        <v>8.4</v>
      </c>
      <c r="B49" s="156" t="s">
        <v>229</v>
      </c>
      <c r="C49" s="98"/>
      <c r="D49" s="98"/>
      <c r="E49" s="99">
        <f t="shared" si="1"/>
        <v>0</v>
      </c>
      <c r="F49" s="98"/>
      <c r="G49" s="98"/>
      <c r="H49" s="100">
        <f t="shared" si="0"/>
        <v>0</v>
      </c>
      <c r="I49" s="155"/>
      <c r="J49" s="155"/>
    </row>
    <row r="50" spans="1:10" s="20" customFormat="1" ht="15.75">
      <c r="A50" s="153">
        <v>8.5</v>
      </c>
      <c r="B50" s="156" t="s">
        <v>230</v>
      </c>
      <c r="C50" s="98"/>
      <c r="D50" s="98"/>
      <c r="E50" s="99">
        <f t="shared" si="1"/>
        <v>0</v>
      </c>
      <c r="F50" s="98"/>
      <c r="G50" s="98"/>
      <c r="H50" s="100">
        <f t="shared" si="0"/>
        <v>0</v>
      </c>
      <c r="I50" s="155"/>
      <c r="J50" s="155"/>
    </row>
    <row r="51" spans="1:10" s="20" customFormat="1" ht="15.75">
      <c r="A51" s="153">
        <v>8.6</v>
      </c>
      <c r="B51" s="156" t="s">
        <v>231</v>
      </c>
      <c r="C51" s="98"/>
      <c r="D51" s="98"/>
      <c r="E51" s="99">
        <f t="shared" si="1"/>
        <v>0</v>
      </c>
      <c r="F51" s="98"/>
      <c r="G51" s="98"/>
      <c r="H51" s="100">
        <f t="shared" si="0"/>
        <v>0</v>
      </c>
      <c r="I51" s="155"/>
      <c r="J51" s="155"/>
    </row>
    <row r="52" spans="1:10" s="20" customFormat="1" ht="15.75">
      <c r="A52" s="153">
        <v>8.6999999999999993</v>
      </c>
      <c r="B52" s="156" t="s">
        <v>232</v>
      </c>
      <c r="C52" s="98"/>
      <c r="D52" s="98"/>
      <c r="E52" s="99">
        <f t="shared" si="1"/>
        <v>0</v>
      </c>
      <c r="F52" s="98"/>
      <c r="G52" s="98"/>
      <c r="H52" s="100">
        <f t="shared" si="0"/>
        <v>0</v>
      </c>
      <c r="I52" s="155"/>
      <c r="J52" s="155"/>
    </row>
    <row r="53" spans="1:10" s="20" customFormat="1" ht="26.25" thickBot="1">
      <c r="A53" s="160">
        <v>9</v>
      </c>
      <c r="B53" s="161" t="s">
        <v>233</v>
      </c>
      <c r="C53" s="162"/>
      <c r="D53" s="162"/>
      <c r="E53" s="109">
        <f t="shared" si="1"/>
        <v>0</v>
      </c>
      <c r="F53" s="162"/>
      <c r="G53" s="162"/>
      <c r="H53" s="110">
        <f t="shared" si="0"/>
        <v>0</v>
      </c>
      <c r="I53" s="155"/>
      <c r="J53" s="155"/>
    </row>
    <row r="54" spans="1:10">
      <c r="B54" s="163"/>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1"/>
  <sheetViews>
    <sheetView view="pageBreakPreview" zoomScale="60" zoomScaleNormal="100" workbookViewId="0">
      <pane xSplit="1" ySplit="4" topLeftCell="B23" activePane="bottomRight" state="frozen"/>
      <selection activeCell="P24" sqref="P24:Q24"/>
      <selection pane="topRight" activeCell="P24" sqref="P24:Q24"/>
      <selection pane="bottomLeft" activeCell="P24" sqref="P24:Q24"/>
      <selection pane="bottomRight" sqref="A1:XFD1048576"/>
    </sheetView>
  </sheetViews>
  <sheetFormatPr defaultColWidth="9.140625" defaultRowHeight="12.75"/>
  <cols>
    <col min="1" max="1" width="9.5703125" style="21" bestFit="1" customWidth="1"/>
    <col min="2" max="2" width="93.5703125" style="21" customWidth="1"/>
    <col min="3" max="4" width="12.7109375" style="21" customWidth="1"/>
    <col min="5" max="11" width="9.7109375" style="132" customWidth="1"/>
    <col min="12" max="16384" width="9.140625" style="132"/>
  </cols>
  <sheetData>
    <row r="1" spans="1:8" ht="15">
      <c r="A1" s="22" t="s">
        <v>27</v>
      </c>
      <c r="B1" s="21" t="str">
        <f>'1. key ratios'!B1</f>
        <v>სს ტერაბანკი</v>
      </c>
      <c r="C1" s="23"/>
    </row>
    <row r="2" spans="1:8" ht="15">
      <c r="A2" s="22" t="s">
        <v>29</v>
      </c>
      <c r="B2" s="86">
        <f>'1. key ratios'!B2</f>
        <v>43100</v>
      </c>
      <c r="C2" s="25"/>
      <c r="D2" s="26"/>
      <c r="E2" s="165"/>
      <c r="F2" s="165"/>
      <c r="G2" s="165"/>
      <c r="H2" s="165"/>
    </row>
    <row r="3" spans="1:8" ht="15">
      <c r="A3" s="22"/>
      <c r="B3" s="23"/>
      <c r="C3" s="25"/>
      <c r="D3" s="26"/>
      <c r="E3" s="165"/>
      <c r="F3" s="165"/>
      <c r="G3" s="165"/>
      <c r="H3" s="165"/>
    </row>
    <row r="4" spans="1:8" ht="15" customHeight="1" thickBot="1">
      <c r="A4" s="166" t="s">
        <v>234</v>
      </c>
      <c r="B4" s="167" t="s">
        <v>16</v>
      </c>
      <c r="C4" s="166"/>
      <c r="D4" s="168" t="s">
        <v>78</v>
      </c>
    </row>
    <row r="5" spans="1:8" ht="15" customHeight="1">
      <c r="A5" s="169" t="s">
        <v>31</v>
      </c>
      <c r="B5" s="170"/>
      <c r="C5" s="171" t="s">
        <v>32</v>
      </c>
      <c r="D5" s="172" t="s">
        <v>33</v>
      </c>
    </row>
    <row r="6" spans="1:8" ht="15" customHeight="1">
      <c r="A6" s="173">
        <v>1</v>
      </c>
      <c r="B6" s="174" t="s">
        <v>235</v>
      </c>
      <c r="C6" s="175">
        <f>C7+C9+C10+C11</f>
        <v>636263683.25804102</v>
      </c>
      <c r="D6" s="176">
        <v>756207878.13118804</v>
      </c>
    </row>
    <row r="7" spans="1:8" ht="15" customHeight="1">
      <c r="A7" s="173">
        <v>1.1000000000000001</v>
      </c>
      <c r="B7" s="177" t="s">
        <v>236</v>
      </c>
      <c r="C7" s="178">
        <v>609220696.77669597</v>
      </c>
      <c r="D7" s="178">
        <v>539909536.43782043</v>
      </c>
    </row>
    <row r="8" spans="1:8" ht="25.5">
      <c r="A8" s="173" t="s">
        <v>237</v>
      </c>
      <c r="B8" s="179" t="s">
        <v>238</v>
      </c>
      <c r="C8" s="180">
        <v>0</v>
      </c>
      <c r="D8" s="180">
        <v>0</v>
      </c>
    </row>
    <row r="9" spans="1:8" ht="15" customHeight="1">
      <c r="A9" s="173">
        <v>1.2</v>
      </c>
      <c r="B9" s="177" t="s">
        <v>239</v>
      </c>
      <c r="C9" s="178">
        <v>26392707.189345006</v>
      </c>
      <c r="D9" s="178">
        <v>16577035.602342492</v>
      </c>
    </row>
    <row r="10" spans="1:8" ht="15" customHeight="1">
      <c r="A10" s="173">
        <v>1.3</v>
      </c>
      <c r="B10" s="177" t="s">
        <v>240</v>
      </c>
      <c r="C10" s="181"/>
      <c r="D10" s="180">
        <v>199367435.19502503</v>
      </c>
    </row>
    <row r="11" spans="1:8" ht="15" customHeight="1">
      <c r="A11" s="173">
        <v>1.4</v>
      </c>
      <c r="B11" s="182" t="s">
        <v>26</v>
      </c>
      <c r="C11" s="180">
        <v>650279.29200000002</v>
      </c>
      <c r="D11" s="180">
        <v>353870.89600000001</v>
      </c>
    </row>
    <row r="12" spans="1:8" ht="15" customHeight="1">
      <c r="A12" s="173">
        <v>2</v>
      </c>
      <c r="B12" s="174" t="s">
        <v>241</v>
      </c>
      <c r="C12" s="178">
        <v>20245187.090000018</v>
      </c>
      <c r="D12" s="178">
        <v>18915616.850000013</v>
      </c>
    </row>
    <row r="13" spans="1:8" ht="15" customHeight="1">
      <c r="A13" s="173">
        <v>3</v>
      </c>
      <c r="B13" s="174" t="s">
        <v>242</v>
      </c>
      <c r="C13" s="180">
        <v>70760188.668749988</v>
      </c>
      <c r="D13" s="180">
        <v>45604372.038095236</v>
      </c>
    </row>
    <row r="14" spans="1:8" ht="15" customHeight="1" thickBot="1">
      <c r="A14" s="183">
        <v>4</v>
      </c>
      <c r="B14" s="184" t="s">
        <v>243</v>
      </c>
      <c r="C14" s="185">
        <f>C6+C12+C13</f>
        <v>727269059.01679111</v>
      </c>
      <c r="D14" s="186">
        <v>820727867.01928329</v>
      </c>
    </row>
    <row r="15" spans="1:8" ht="15" customHeight="1">
      <c r="A15" s="187"/>
      <c r="B15" s="188"/>
      <c r="C15" s="189"/>
      <c r="D15" s="189"/>
    </row>
    <row r="16" spans="1:8" ht="76.5">
      <c r="B16" s="190" t="s">
        <v>244</v>
      </c>
      <c r="C16" s="191"/>
    </row>
    <row r="17" spans="2:3">
      <c r="B17" s="190"/>
      <c r="C17" s="191"/>
    </row>
    <row r="18" spans="2:3">
      <c r="B18" s="190"/>
      <c r="C18" s="191"/>
    </row>
    <row r="19" spans="2:3">
      <c r="B19" s="190"/>
      <c r="C19" s="191"/>
    </row>
    <row r="20" spans="2:3">
      <c r="B20" s="190"/>
    </row>
    <row r="21" spans="2:3">
      <c r="B21" s="190"/>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0"/>
  <sheetViews>
    <sheetView view="pageBreakPreview" zoomScale="60" zoomScaleNormal="100" workbookViewId="0">
      <pane xSplit="1" ySplit="4" topLeftCell="B23" activePane="bottomRight" state="frozen"/>
      <selection activeCell="P24" sqref="P24:Q24"/>
      <selection pane="topRight" activeCell="P24" sqref="P24:Q24"/>
      <selection pane="bottomLeft" activeCell="P24" sqref="P24:Q24"/>
      <selection pane="bottomRight" sqref="A1:XFD1048576"/>
    </sheetView>
  </sheetViews>
  <sheetFormatPr defaultRowHeight="15"/>
  <cols>
    <col min="1" max="1" width="9.5703125" style="21" bestFit="1" customWidth="1"/>
    <col min="2" max="2" width="89.28515625" style="21" customWidth="1"/>
    <col min="3" max="3" width="9.140625" style="21"/>
  </cols>
  <sheetData>
    <row r="1" spans="1:3">
      <c r="A1" s="21" t="s">
        <v>27</v>
      </c>
      <c r="B1" s="21" t="str">
        <f>'1. key ratios'!B1</f>
        <v>სს ტერაბანკი</v>
      </c>
    </row>
    <row r="2" spans="1:3">
      <c r="A2" s="21" t="s">
        <v>29</v>
      </c>
      <c r="B2" s="86">
        <f>'1. key ratios'!B2</f>
        <v>43100</v>
      </c>
    </row>
    <row r="4" spans="1:3" ht="16.5" customHeight="1" thickBot="1">
      <c r="A4" s="192" t="s">
        <v>245</v>
      </c>
      <c r="B4" s="193" t="s">
        <v>17</v>
      </c>
      <c r="C4" s="194"/>
    </row>
    <row r="5" spans="1:3" ht="15.75">
      <c r="A5" s="195"/>
      <c r="B5" s="488" t="s">
        <v>246</v>
      </c>
      <c r="C5" s="489"/>
    </row>
    <row r="6" spans="1:3">
      <c r="A6" s="196">
        <v>1</v>
      </c>
      <c r="B6" s="197" t="s">
        <v>247</v>
      </c>
      <c r="C6" s="198"/>
    </row>
    <row r="7" spans="1:3">
      <c r="A7" s="196">
        <v>2</v>
      </c>
      <c r="B7" s="197" t="s">
        <v>248</v>
      </c>
      <c r="C7" s="198"/>
    </row>
    <row r="8" spans="1:3">
      <c r="A8" s="196">
        <v>3</v>
      </c>
      <c r="B8" s="197" t="s">
        <v>249</v>
      </c>
      <c r="C8" s="198"/>
    </row>
    <row r="9" spans="1:3">
      <c r="A9" s="196">
        <v>4</v>
      </c>
      <c r="B9" s="197" t="s">
        <v>250</v>
      </c>
      <c r="C9" s="198"/>
    </row>
    <row r="10" spans="1:3">
      <c r="A10" s="196"/>
      <c r="B10" s="490"/>
      <c r="C10" s="491"/>
    </row>
    <row r="11" spans="1:3" ht="15.75">
      <c r="A11" s="196"/>
      <c r="B11" s="492" t="s">
        <v>251</v>
      </c>
      <c r="C11" s="493"/>
    </row>
    <row r="12" spans="1:3" ht="15.75">
      <c r="A12" s="196">
        <v>1</v>
      </c>
      <c r="B12" s="199" t="s">
        <v>6</v>
      </c>
      <c r="C12" s="200"/>
    </row>
    <row r="13" spans="1:3" ht="15.75">
      <c r="A13" s="196">
        <v>2</v>
      </c>
      <c r="B13" s="199" t="s">
        <v>252</v>
      </c>
      <c r="C13" s="200"/>
    </row>
    <row r="14" spans="1:3" ht="15.75">
      <c r="A14" s="196">
        <v>3</v>
      </c>
      <c r="B14" s="199" t="s">
        <v>253</v>
      </c>
      <c r="C14" s="200"/>
    </row>
    <row r="15" spans="1:3" ht="15.75">
      <c r="A15" s="196">
        <v>4</v>
      </c>
      <c r="B15" s="199" t="s">
        <v>254</v>
      </c>
      <c r="C15" s="200"/>
    </row>
    <row r="16" spans="1:3" ht="15.75">
      <c r="A16" s="196">
        <v>5</v>
      </c>
      <c r="B16" s="199" t="s">
        <v>255</v>
      </c>
      <c r="C16" s="200"/>
    </row>
    <row r="17" spans="1:3" ht="15.75" customHeight="1">
      <c r="A17" s="196"/>
      <c r="B17" s="199"/>
      <c r="C17" s="201"/>
    </row>
    <row r="18" spans="1:3" ht="30" customHeight="1">
      <c r="A18" s="196"/>
      <c r="B18" s="494" t="s">
        <v>256</v>
      </c>
      <c r="C18" s="495"/>
    </row>
    <row r="19" spans="1:3">
      <c r="A19" s="196">
        <v>1</v>
      </c>
      <c r="B19" s="197" t="s">
        <v>4</v>
      </c>
      <c r="C19" s="202">
        <v>0.45</v>
      </c>
    </row>
    <row r="20" spans="1:3">
      <c r="A20" s="196">
        <v>2</v>
      </c>
      <c r="B20" s="197" t="s">
        <v>257</v>
      </c>
      <c r="C20" s="202">
        <v>0.2</v>
      </c>
    </row>
    <row r="21" spans="1:3">
      <c r="A21" s="196">
        <v>3</v>
      </c>
      <c r="B21" s="197" t="s">
        <v>258</v>
      </c>
      <c r="C21" s="202">
        <v>0.15</v>
      </c>
    </row>
    <row r="22" spans="1:3">
      <c r="A22" s="196">
        <v>4</v>
      </c>
      <c r="B22" s="197" t="s">
        <v>259</v>
      </c>
      <c r="C22" s="202">
        <v>0.15</v>
      </c>
    </row>
    <row r="23" spans="1:3">
      <c r="A23" s="196">
        <v>5</v>
      </c>
      <c r="B23" s="197" t="s">
        <v>260</v>
      </c>
      <c r="C23" s="202">
        <v>0.05</v>
      </c>
    </row>
    <row r="24" spans="1:3" ht="15.75" customHeight="1">
      <c r="A24" s="196"/>
      <c r="B24" s="197"/>
      <c r="C24" s="198"/>
    </row>
    <row r="25" spans="1:3" ht="29.25" customHeight="1">
      <c r="A25" s="196"/>
      <c r="B25" s="494" t="s">
        <v>261</v>
      </c>
      <c r="C25" s="495"/>
    </row>
    <row r="26" spans="1:3">
      <c r="A26" s="196">
        <v>1</v>
      </c>
      <c r="B26" s="197" t="s">
        <v>4</v>
      </c>
      <c r="C26" s="202">
        <v>0.45</v>
      </c>
    </row>
    <row r="27" spans="1:3">
      <c r="A27" s="203">
        <v>2</v>
      </c>
      <c r="B27" s="204" t="s">
        <v>257</v>
      </c>
      <c r="C27" s="205">
        <v>0.2</v>
      </c>
    </row>
    <row r="28" spans="1:3">
      <c r="A28" s="203">
        <v>3</v>
      </c>
      <c r="B28" s="204" t="s">
        <v>258</v>
      </c>
      <c r="C28" s="205">
        <v>0.15</v>
      </c>
    </row>
    <row r="29" spans="1:3">
      <c r="A29" s="203">
        <v>4</v>
      </c>
      <c r="B29" s="204" t="s">
        <v>259</v>
      </c>
      <c r="C29" s="205">
        <v>0.15</v>
      </c>
    </row>
    <row r="30" spans="1:3" ht="16.5" thickBot="1">
      <c r="A30" s="206"/>
      <c r="B30" s="207"/>
      <c r="C30" s="208"/>
    </row>
  </sheetData>
  <mergeCells count="5">
    <mergeCell ref="B5:C5"/>
    <mergeCell ref="B10:C10"/>
    <mergeCell ref="B11:C11"/>
    <mergeCell ref="B18:C18"/>
    <mergeCell ref="B25:C25"/>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view="pageBreakPreview" zoomScale="60" zoomScaleNormal="100" workbookViewId="0">
      <selection activeCell="B23" sqref="B23:E26"/>
    </sheetView>
  </sheetViews>
  <sheetFormatPr defaultRowHeight="15"/>
  <cols>
    <col min="1" max="1" width="9.5703125" style="21" bestFit="1" customWidth="1"/>
    <col min="2" max="2" width="47.5703125" style="21" customWidth="1"/>
    <col min="3" max="3" width="28" style="21" customWidth="1"/>
    <col min="4" max="4" width="22.42578125" style="21" customWidth="1"/>
    <col min="5" max="5" width="18.85546875" style="21" customWidth="1"/>
    <col min="6" max="6" width="11.140625" bestFit="1" customWidth="1"/>
    <col min="7" max="7" width="16" bestFit="1" customWidth="1"/>
    <col min="11" max="11" width="12" bestFit="1" customWidth="1"/>
  </cols>
  <sheetData>
    <row r="1" spans="1:10" ht="15.75">
      <c r="A1" s="22" t="s">
        <v>27</v>
      </c>
      <c r="B1" s="21" t="str">
        <f>'1. key ratios'!B1</f>
        <v>სს ტერაბანკი</v>
      </c>
    </row>
    <row r="2" spans="1:10" s="209" customFormat="1" ht="15.75" customHeight="1">
      <c r="A2" s="209" t="s">
        <v>29</v>
      </c>
      <c r="B2" s="86">
        <f>'1. key ratios'!B2</f>
        <v>43100</v>
      </c>
    </row>
    <row r="3" spans="1:10" s="209" customFormat="1" ht="15.75" customHeight="1"/>
    <row r="4" spans="1:10" s="209" customFormat="1" ht="15.75" customHeight="1" thickBot="1">
      <c r="A4" s="210" t="s">
        <v>262</v>
      </c>
      <c r="B4" s="211" t="s">
        <v>18</v>
      </c>
      <c r="C4" s="212"/>
      <c r="D4" s="212"/>
      <c r="E4" s="212"/>
    </row>
    <row r="5" spans="1:10" s="217" customFormat="1" ht="17.45" customHeight="1">
      <c r="A5" s="213"/>
      <c r="B5" s="214"/>
      <c r="C5" s="215" t="s">
        <v>263</v>
      </c>
      <c r="D5" s="215" t="s">
        <v>264</v>
      </c>
      <c r="E5" s="216" t="s">
        <v>265</v>
      </c>
    </row>
    <row r="6" spans="1:10" s="219" customFormat="1" ht="14.45" customHeight="1">
      <c r="A6" s="218"/>
      <c r="B6" s="496" t="s">
        <v>266</v>
      </c>
      <c r="C6" s="496" t="s">
        <v>267</v>
      </c>
      <c r="D6" s="497" t="s">
        <v>268</v>
      </c>
      <c r="E6" s="498"/>
      <c r="G6"/>
    </row>
    <row r="7" spans="1:10" s="219" customFormat="1" ht="99.6" customHeight="1">
      <c r="A7" s="218"/>
      <c r="B7" s="496"/>
      <c r="C7" s="496"/>
      <c r="D7" s="220" t="s">
        <v>269</v>
      </c>
      <c r="E7" s="221" t="s">
        <v>270</v>
      </c>
      <c r="G7"/>
    </row>
    <row r="8" spans="1:10">
      <c r="A8" s="218"/>
      <c r="B8" s="222" t="s">
        <v>85</v>
      </c>
      <c r="C8" s="223">
        <f>'2. RC'!E7</f>
        <v>42289484.480000004</v>
      </c>
      <c r="D8" s="224"/>
      <c r="E8" s="225">
        <f>C8-D8</f>
        <v>42289484.480000004</v>
      </c>
      <c r="J8" s="226"/>
    </row>
    <row r="9" spans="1:10">
      <c r="A9" s="218"/>
      <c r="B9" s="222" t="s">
        <v>86</v>
      </c>
      <c r="C9" s="223">
        <f>'2. RC'!E8</f>
        <v>92123843.370000005</v>
      </c>
      <c r="D9" s="224"/>
      <c r="E9" s="225">
        <f t="shared" ref="E9:E20" si="0">C9-D9</f>
        <v>92123843.370000005</v>
      </c>
      <c r="J9" s="226"/>
    </row>
    <row r="10" spans="1:10">
      <c r="A10" s="218"/>
      <c r="B10" s="222" t="s">
        <v>271</v>
      </c>
      <c r="C10" s="223">
        <f>'2. RC'!E9</f>
        <v>32971821.84</v>
      </c>
      <c r="D10" s="224"/>
      <c r="E10" s="225">
        <f t="shared" si="0"/>
        <v>32971821.84</v>
      </c>
      <c r="J10" s="226"/>
    </row>
    <row r="11" spans="1:10" ht="25.5">
      <c r="A11" s="218"/>
      <c r="B11" s="222" t="s">
        <v>88</v>
      </c>
      <c r="C11" s="223">
        <f>'2. RC'!E10</f>
        <v>0</v>
      </c>
      <c r="D11" s="224"/>
      <c r="E11" s="225">
        <f t="shared" si="0"/>
        <v>0</v>
      </c>
      <c r="J11" s="226"/>
    </row>
    <row r="12" spans="1:10">
      <c r="A12" s="218"/>
      <c r="B12" s="222" t="s">
        <v>89</v>
      </c>
      <c r="C12" s="223">
        <f>'2. RC'!E11</f>
        <v>51915692.320000008</v>
      </c>
      <c r="D12" s="224"/>
      <c r="E12" s="225">
        <f t="shared" si="0"/>
        <v>51915692.320000008</v>
      </c>
      <c r="J12" s="226"/>
    </row>
    <row r="13" spans="1:10">
      <c r="A13" s="218"/>
      <c r="B13" s="222" t="s">
        <v>90</v>
      </c>
      <c r="C13" s="223">
        <f>'2. RC'!E12</f>
        <v>591195068.37000072</v>
      </c>
      <c r="D13" s="224"/>
      <c r="E13" s="225">
        <f t="shared" si="0"/>
        <v>591195068.37000072</v>
      </c>
      <c r="F13" s="227"/>
      <c r="G13" s="164"/>
      <c r="J13" s="226"/>
    </row>
    <row r="14" spans="1:10">
      <c r="A14" s="218"/>
      <c r="B14" s="228" t="s">
        <v>91</v>
      </c>
      <c r="C14" s="229">
        <f>'2. RC'!E13</f>
        <v>-42919692.970000148</v>
      </c>
      <c r="D14" s="224"/>
      <c r="E14" s="225">
        <f t="shared" si="0"/>
        <v>-42919692.970000148</v>
      </c>
      <c r="G14" s="164"/>
      <c r="J14" s="226"/>
    </row>
    <row r="15" spans="1:10">
      <c r="A15" s="218"/>
      <c r="B15" s="222" t="s">
        <v>272</v>
      </c>
      <c r="C15" s="223">
        <f>'2. RC'!E14</f>
        <v>548275375.40000057</v>
      </c>
      <c r="D15" s="224"/>
      <c r="E15" s="225">
        <f t="shared" si="0"/>
        <v>548275375.40000057</v>
      </c>
      <c r="G15" s="164"/>
      <c r="J15" s="226"/>
    </row>
    <row r="16" spans="1:10" ht="25.5">
      <c r="A16" s="218"/>
      <c r="B16" s="222" t="s">
        <v>93</v>
      </c>
      <c r="C16" s="223">
        <f>'2. RC'!E15</f>
        <v>5718600.2700000005</v>
      </c>
      <c r="D16" s="224"/>
      <c r="E16" s="225">
        <f t="shared" si="0"/>
        <v>5718600.2700000005</v>
      </c>
      <c r="G16" s="164"/>
      <c r="J16" s="226"/>
    </row>
    <row r="17" spans="1:11">
      <c r="A17" s="218"/>
      <c r="B17" s="222" t="s">
        <v>94</v>
      </c>
      <c r="C17" s="223">
        <f>'2. RC'!E16</f>
        <v>5922475.5299999993</v>
      </c>
      <c r="D17" s="224"/>
      <c r="E17" s="225">
        <f t="shared" si="0"/>
        <v>5922475.5299999993</v>
      </c>
      <c r="F17" s="230"/>
      <c r="G17" s="164"/>
      <c r="J17" s="226"/>
      <c r="K17" s="231"/>
    </row>
    <row r="18" spans="1:11">
      <c r="A18" s="218"/>
      <c r="B18" s="222" t="s">
        <v>95</v>
      </c>
      <c r="C18" s="223">
        <f>'2. RC'!E17</f>
        <v>0</v>
      </c>
      <c r="D18" s="224"/>
      <c r="E18" s="225">
        <f t="shared" si="0"/>
        <v>0</v>
      </c>
      <c r="G18" s="164"/>
      <c r="J18" s="226"/>
    </row>
    <row r="19" spans="1:11" ht="25.5">
      <c r="A19" s="218"/>
      <c r="B19" s="222" t="s">
        <v>96</v>
      </c>
      <c r="C19" s="223">
        <f>'2. RC'!E18</f>
        <v>45304257.00999999</v>
      </c>
      <c r="D19" s="224">
        <f>'9. Capital'!C15</f>
        <v>28369793</v>
      </c>
      <c r="E19" s="225">
        <f t="shared" si="0"/>
        <v>16934464.00999999</v>
      </c>
      <c r="G19" s="164"/>
      <c r="J19" s="226"/>
    </row>
    <row r="20" spans="1:11">
      <c r="A20" s="218"/>
      <c r="B20" s="222" t="s">
        <v>97</v>
      </c>
      <c r="C20" s="223">
        <f>'2. RC'!E19</f>
        <v>3393144.0261999997</v>
      </c>
      <c r="D20" s="224"/>
      <c r="E20" s="225">
        <f t="shared" si="0"/>
        <v>3393144.0261999997</v>
      </c>
      <c r="G20" s="164"/>
      <c r="J20" s="226"/>
    </row>
    <row r="21" spans="1:11" ht="51.75" thickBot="1">
      <c r="A21" s="232"/>
      <c r="B21" s="233" t="s">
        <v>273</v>
      </c>
      <c r="C21" s="234">
        <f>SUM(C8:C12)+SUM(C15:C20)</f>
        <v>827914694.24620056</v>
      </c>
      <c r="D21" s="234">
        <f>SUM(D8:D12)+SUM(D15:D20)</f>
        <v>28369793</v>
      </c>
      <c r="E21" s="235">
        <f>SUM(E8:E12)+SUM(E15:E20)</f>
        <v>799544901.24620056</v>
      </c>
      <c r="G21" s="164"/>
    </row>
    <row r="22" spans="1:11">
      <c r="A22"/>
      <c r="C22"/>
      <c r="D22"/>
      <c r="E22" s="231"/>
      <c r="G22" s="164"/>
    </row>
    <row r="23" spans="1:11">
      <c r="A23"/>
      <c r="B23" s="236"/>
      <c r="C23" s="237"/>
      <c r="D23"/>
      <c r="E23" s="227"/>
      <c r="G23" s="164"/>
    </row>
    <row r="24" spans="1:11">
      <c r="B24" s="238"/>
      <c r="C24" s="239"/>
      <c r="D24" s="239"/>
      <c r="E24" s="239"/>
    </row>
    <row r="25" spans="1:11" s="21" customFormat="1">
      <c r="B25" s="240"/>
      <c r="E25" s="239"/>
      <c r="F25"/>
      <c r="G25"/>
    </row>
    <row r="26" spans="1:11" s="21" customFormat="1">
      <c r="B26" s="241"/>
      <c r="D26" s="111"/>
      <c r="F26"/>
      <c r="G26"/>
    </row>
    <row r="27" spans="1:11" s="21" customFormat="1">
      <c r="B27" s="240"/>
      <c r="D27" s="111"/>
      <c r="F27"/>
      <c r="G27"/>
    </row>
    <row r="28" spans="1:11" s="21" customFormat="1">
      <c r="B28" s="240"/>
      <c r="F28"/>
      <c r="G28"/>
    </row>
    <row r="29" spans="1:11" s="21" customFormat="1">
      <c r="B29" s="240"/>
      <c r="F29"/>
      <c r="G29"/>
    </row>
    <row r="30" spans="1:11" s="21" customFormat="1">
      <c r="B30" s="240"/>
      <c r="F30"/>
      <c r="G30"/>
    </row>
    <row r="31" spans="1:11" s="21" customFormat="1">
      <c r="B31" s="240"/>
      <c r="F31"/>
      <c r="G31"/>
    </row>
    <row r="32" spans="1:11" s="21" customFormat="1">
      <c r="B32" s="241"/>
      <c r="F32"/>
      <c r="G32"/>
    </row>
    <row r="33" spans="2:7" s="21" customFormat="1">
      <c r="B33" s="241"/>
      <c r="F33"/>
      <c r="G33"/>
    </row>
    <row r="34" spans="2:7" s="21" customFormat="1">
      <c r="B34" s="241"/>
      <c r="F34"/>
      <c r="G34"/>
    </row>
    <row r="35" spans="2:7" s="21" customFormat="1">
      <c r="B35" s="241"/>
      <c r="F35"/>
      <c r="G35"/>
    </row>
    <row r="36" spans="2:7" s="21" customFormat="1">
      <c r="B36" s="241"/>
      <c r="F36"/>
      <c r="G36"/>
    </row>
    <row r="37" spans="2:7" s="21" customFormat="1">
      <c r="B37" s="241"/>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view="pageBreakPreview" zoomScale="60" zoomScaleNormal="100" workbookViewId="0">
      <pane xSplit="1" ySplit="4" topLeftCell="B8" activePane="bottomRight" state="frozen"/>
      <selection activeCell="P24" sqref="P24:Q24"/>
      <selection pane="topRight" activeCell="P24" sqref="P24:Q24"/>
      <selection pane="bottomLeft" activeCell="P24" sqref="P24:Q24"/>
      <selection pane="bottomRight" activeCell="B14" sqref="B14:C22"/>
    </sheetView>
  </sheetViews>
  <sheetFormatPr defaultRowHeight="15" outlineLevelRow="1"/>
  <cols>
    <col min="1" max="1" width="9.5703125" style="21" bestFit="1" customWidth="1"/>
    <col min="2" max="2" width="114.28515625" style="2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22" t="s">
        <v>27</v>
      </c>
      <c r="B1" s="21" t="str">
        <f>'1. key ratios'!B1</f>
        <v>სს ტერაბანკი</v>
      </c>
    </row>
    <row r="2" spans="1:6" s="209" customFormat="1" ht="15.75" customHeight="1">
      <c r="A2" s="209" t="s">
        <v>29</v>
      </c>
      <c r="B2" s="86">
        <f>'1. key ratios'!B2</f>
        <v>43100</v>
      </c>
      <c r="C2"/>
      <c r="D2"/>
      <c r="E2"/>
      <c r="F2"/>
    </row>
    <row r="3" spans="1:6" s="209" customFormat="1" ht="15.75" customHeight="1">
      <c r="C3"/>
      <c r="D3"/>
      <c r="E3"/>
      <c r="F3"/>
    </row>
    <row r="4" spans="1:6" s="209" customFormat="1" ht="26.25" thickBot="1">
      <c r="A4" s="209" t="s">
        <v>274</v>
      </c>
      <c r="B4" s="242" t="s">
        <v>19</v>
      </c>
      <c r="C4" s="243" t="s">
        <v>78</v>
      </c>
      <c r="D4"/>
      <c r="E4"/>
      <c r="F4"/>
    </row>
    <row r="5" spans="1:6" ht="26.25">
      <c r="A5" s="244">
        <v>1</v>
      </c>
      <c r="B5" s="245" t="s">
        <v>275</v>
      </c>
      <c r="C5" s="246">
        <f>'7. LI1'!E21</f>
        <v>799544901.24620056</v>
      </c>
    </row>
    <row r="6" spans="1:6" s="15" customFormat="1">
      <c r="A6" s="247">
        <v>2.1</v>
      </c>
      <c r="B6" s="248" t="s">
        <v>276</v>
      </c>
      <c r="C6" s="249">
        <v>75438856.519999981</v>
      </c>
      <c r="D6" s="250"/>
    </row>
    <row r="7" spans="1:6" s="255" customFormat="1" ht="25.5" outlineLevel="1">
      <c r="A7" s="251">
        <v>2.2000000000000002</v>
      </c>
      <c r="B7" s="252" t="s">
        <v>277</v>
      </c>
      <c r="C7" s="253">
        <v>32513964.600000001</v>
      </c>
      <c r="D7" s="254"/>
    </row>
    <row r="8" spans="1:6" s="255" customFormat="1" ht="26.25">
      <c r="A8" s="251">
        <v>3</v>
      </c>
      <c r="B8" s="256" t="s">
        <v>278</v>
      </c>
      <c r="C8" s="257">
        <f>SUM(C5:C7)</f>
        <v>907497722.36620057</v>
      </c>
      <c r="D8" s="254"/>
    </row>
    <row r="9" spans="1:6" s="15" customFormat="1">
      <c r="A9" s="247">
        <v>4</v>
      </c>
      <c r="B9" s="258" t="s">
        <v>279</v>
      </c>
      <c r="C9" s="259">
        <v>10180858.080000075</v>
      </c>
      <c r="D9" s="250"/>
    </row>
    <row r="10" spans="1:6" s="255" customFormat="1" ht="25.5" outlineLevel="1">
      <c r="A10" s="251">
        <v>5.0999999999999996</v>
      </c>
      <c r="B10" s="252" t="s">
        <v>280</v>
      </c>
      <c r="C10" s="253">
        <v>-37485071.311999984</v>
      </c>
    </row>
    <row r="11" spans="1:6" s="255" customFormat="1" ht="25.5" outlineLevel="1">
      <c r="A11" s="251">
        <v>5.2</v>
      </c>
      <c r="B11" s="252" t="s">
        <v>281</v>
      </c>
      <c r="C11" s="253">
        <f>-(C7-'15. CCR'!N21)</f>
        <v>-31863685.308000002</v>
      </c>
    </row>
    <row r="12" spans="1:6" s="255" customFormat="1">
      <c r="A12" s="251">
        <v>6</v>
      </c>
      <c r="B12" s="260" t="s">
        <v>282</v>
      </c>
      <c r="C12" s="253">
        <v>0</v>
      </c>
    </row>
    <row r="13" spans="1:6" s="255" customFormat="1" ht="15.75" thickBot="1">
      <c r="A13" s="261">
        <v>7</v>
      </c>
      <c r="B13" s="262" t="s">
        <v>283</v>
      </c>
      <c r="C13" s="263">
        <f>SUM(C8:C12)</f>
        <v>848329823.8262006</v>
      </c>
      <c r="D13" s="254"/>
    </row>
    <row r="14" spans="1:6">
      <c r="C14" s="264"/>
      <c r="D14" s="227"/>
      <c r="E14" s="227"/>
    </row>
    <row r="15" spans="1:6">
      <c r="D15" s="231"/>
    </row>
    <row r="16" spans="1:6">
      <c r="C16" s="227"/>
      <c r="D16" s="231"/>
    </row>
    <row r="17" spans="2:9" s="21" customFormat="1">
      <c r="B17" s="265"/>
      <c r="C17" s="266"/>
      <c r="D17" s="227"/>
      <c r="E17"/>
      <c r="F17"/>
      <c r="G17"/>
      <c r="H17"/>
      <c r="I17"/>
    </row>
    <row r="18" spans="2:9" s="21" customFormat="1">
      <c r="B18" s="267"/>
      <c r="C18"/>
      <c r="D18"/>
      <c r="E18"/>
      <c r="F18"/>
      <c r="G18"/>
      <c r="H18"/>
      <c r="I18"/>
    </row>
    <row r="19" spans="2:9" s="21" customFormat="1">
      <c r="B19" s="267"/>
      <c r="C19"/>
      <c r="D19"/>
      <c r="E19"/>
      <c r="F19"/>
      <c r="G19"/>
      <c r="H19"/>
      <c r="I19"/>
    </row>
    <row r="20" spans="2:9" s="21" customFormat="1">
      <c r="B20" s="241"/>
      <c r="C20" s="231"/>
      <c r="D20" s="227"/>
      <c r="E20"/>
      <c r="F20"/>
      <c r="G20"/>
      <c r="H20"/>
      <c r="I20"/>
    </row>
    <row r="21" spans="2:9" s="21" customFormat="1">
      <c r="B21" s="240"/>
      <c r="C21"/>
      <c r="D21"/>
      <c r="E21"/>
      <c r="F21"/>
      <c r="G21"/>
      <c r="H21"/>
      <c r="I21"/>
    </row>
    <row r="22" spans="2:9" s="21" customFormat="1">
      <c r="B22" s="241"/>
      <c r="C22" s="164"/>
      <c r="D22"/>
      <c r="E22"/>
      <c r="F22"/>
      <c r="G22"/>
      <c r="H22"/>
      <c r="I22"/>
    </row>
    <row r="23" spans="2:9" s="21" customFormat="1">
      <c r="B23" s="240"/>
      <c r="C23" s="164"/>
      <c r="D23"/>
      <c r="E23"/>
      <c r="F23"/>
      <c r="G23"/>
      <c r="H23"/>
      <c r="I23"/>
    </row>
    <row r="24" spans="2:9" s="21" customFormat="1">
      <c r="B24" s="240"/>
      <c r="C24"/>
      <c r="D24"/>
      <c r="E24"/>
      <c r="F24"/>
      <c r="G24"/>
      <c r="H24"/>
      <c r="I24"/>
    </row>
    <row r="25" spans="2:9" s="21" customFormat="1">
      <c r="B25" s="240"/>
      <c r="C25"/>
      <c r="D25"/>
      <c r="E25"/>
      <c r="F25"/>
      <c r="G25"/>
      <c r="H25"/>
      <c r="I25"/>
    </row>
    <row r="26" spans="2:9" s="21" customFormat="1">
      <c r="B26" s="240"/>
      <c r="C26"/>
      <c r="D26"/>
      <c r="E26"/>
      <c r="F26"/>
      <c r="G26"/>
      <c r="H26"/>
      <c r="I26"/>
    </row>
    <row r="27" spans="2:9" s="21" customFormat="1">
      <c r="B27" s="240"/>
      <c r="C27"/>
      <c r="D27"/>
      <c r="E27"/>
      <c r="F27"/>
      <c r="G27"/>
      <c r="H27"/>
      <c r="I27"/>
    </row>
    <row r="28" spans="2:9" s="21" customFormat="1">
      <c r="B28" s="241"/>
      <c r="C28"/>
      <c r="D28"/>
      <c r="E28"/>
      <c r="F28"/>
      <c r="G28"/>
      <c r="H28"/>
      <c r="I28"/>
    </row>
    <row r="29" spans="2:9" s="21" customFormat="1">
      <c r="B29" s="241"/>
      <c r="C29"/>
      <c r="D29"/>
      <c r="E29"/>
      <c r="F29"/>
      <c r="G29"/>
      <c r="H29"/>
      <c r="I29"/>
    </row>
    <row r="30" spans="2:9" s="21" customFormat="1">
      <c r="B30" s="241"/>
      <c r="C30"/>
      <c r="D30"/>
      <c r="E30"/>
      <c r="F30"/>
      <c r="G30"/>
      <c r="H30"/>
      <c r="I30"/>
    </row>
    <row r="31" spans="2:9" s="21" customFormat="1">
      <c r="B31" s="241"/>
      <c r="C31"/>
      <c r="D31"/>
      <c r="E31"/>
      <c r="F31"/>
      <c r="G31"/>
      <c r="H31"/>
      <c r="I31"/>
    </row>
    <row r="32" spans="2:9" s="21" customFormat="1">
      <c r="B32" s="241"/>
      <c r="C32"/>
      <c r="D32"/>
      <c r="E32"/>
      <c r="F32"/>
      <c r="G32"/>
      <c r="H32"/>
      <c r="I32"/>
    </row>
    <row r="33" spans="2:9" s="21" customFormat="1">
      <c r="B33" s="241"/>
      <c r="C33"/>
      <c r="D33"/>
      <c r="E33"/>
      <c r="F33"/>
      <c r="G33"/>
      <c r="H33"/>
      <c r="I33"/>
    </row>
  </sheetData>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Date</vt:lpstr>
      <vt:lpstr>'1. key ratios'!Print_Area</vt:lpstr>
      <vt:lpstr>'11. CRWA'!Print_Area</vt:lpstr>
      <vt:lpstr>'12. CRM'!Print_Area</vt:lpstr>
      <vt:lpstr>'13. CRME'!Print_Area</vt:lpstr>
      <vt:lpstr>'2. RC'!Print_Area</vt:lpstr>
      <vt:lpstr>'7. LI1'!Print_Area</vt:lpstr>
      <vt:lpstr>'8. LI2'!Print_Area</vt:lpstr>
      <vt:lpstr>'9. Capital'!Print_Area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Nodar Tsomaia</dc:creator>
  <cp:lastModifiedBy>Ani Subeliani</cp:lastModifiedBy>
  <dcterms:created xsi:type="dcterms:W3CDTF">2018-01-31T13:09:28Z</dcterms:created>
  <dcterms:modified xsi:type="dcterms:W3CDTF">2018-02-01T07:18:00Z</dcterms:modified>
</cp:coreProperties>
</file>