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Dep\NBG\Monthly Reports\2017\09\Reports\Signed\"/>
    </mc:Choice>
  </mc:AlternateContent>
  <bookViews>
    <workbookView xWindow="0" yWindow="0" windowWidth="28800" windowHeight="12135" firstSheet="7" activeTab="15"/>
  </bookViews>
  <sheets>
    <sheet name="Info" sheetId="1" r:id="rId1"/>
    <sheet name="1. key ratios" sheetId="2" r:id="rId2"/>
    <sheet name="2. RC" sheetId="3" r:id="rId3"/>
    <sheet name="3. 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 Capital" sheetId="10" r:id="rId10"/>
    <sheet name="10. CC2" sheetId="11" r:id="rId11"/>
    <sheet name="11. CRWA" sheetId="12" r:id="rId12"/>
    <sheet name="12. CRM" sheetId="13" r:id="rId13"/>
    <sheet name="13. CRME" sheetId="14" r:id="rId14"/>
    <sheet name="14. CICR" sheetId="15" r:id="rId15"/>
    <sheet name="15. CCR" sheetId="16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1">#REF!</definedName>
    <definedName name="ACC_BALACC" localSheetId="12">#REF!</definedName>
    <definedName name="ACC_BALACC" localSheetId="13">#REF!</definedName>
    <definedName name="ACC_BALACC" localSheetId="14">#REF!</definedName>
    <definedName name="ACC_BALACC">#REF!</definedName>
    <definedName name="ACC_CRS" localSheetId="11">#REF!</definedName>
    <definedName name="ACC_CRS" localSheetId="12">#REF!</definedName>
    <definedName name="ACC_CRS" localSheetId="13">#REF!</definedName>
    <definedName name="ACC_CRS" localSheetId="14">#REF!</definedName>
    <definedName name="ACC_CRS" localSheetId="4">#REF!</definedName>
    <definedName name="ACC_CRS">#REF!</definedName>
    <definedName name="ACC_DBS" localSheetId="11">#REF!</definedName>
    <definedName name="ACC_DBS" localSheetId="12">#REF!</definedName>
    <definedName name="ACC_DBS" localSheetId="13">#REF!</definedName>
    <definedName name="ACC_DBS" localSheetId="14">#REF!</definedName>
    <definedName name="ACC_DBS" localSheetId="4">#REF!</definedName>
    <definedName name="ACC_DBS">#REF!</definedName>
    <definedName name="ACC_ISO" localSheetId="11">#REF!</definedName>
    <definedName name="ACC_ISO" localSheetId="12">#REF!</definedName>
    <definedName name="ACC_ISO" localSheetId="13">#REF!</definedName>
    <definedName name="ACC_ISO" localSheetId="14">#REF!</definedName>
    <definedName name="ACC_ISO" localSheetId="4">#REF!</definedName>
    <definedName name="ACC_ISO">#REF!</definedName>
    <definedName name="ACC_SALDO" localSheetId="11">#REF!</definedName>
    <definedName name="ACC_SALDO" localSheetId="12">#REF!</definedName>
    <definedName name="ACC_SALDO" localSheetId="13">#REF!</definedName>
    <definedName name="ACC_SALDO" localSheetId="14">#REF!</definedName>
    <definedName name="ACC_SALDO" localSheetId="4">#REF!</definedName>
    <definedName name="ACC_SALDO">#REF!</definedName>
    <definedName name="BS_BALACC" localSheetId="11">#REF!</definedName>
    <definedName name="BS_BALACC" localSheetId="12">#REF!</definedName>
    <definedName name="BS_BALACC" localSheetId="13">#REF!</definedName>
    <definedName name="BS_BALACC" localSheetId="14">#REF!</definedName>
    <definedName name="BS_BALACC" localSheetId="4">#REF!</definedName>
    <definedName name="BS_BALACC">#REF!</definedName>
    <definedName name="BS_BALANCE" localSheetId="11">#REF!</definedName>
    <definedName name="BS_BALANCE" localSheetId="12">#REF!</definedName>
    <definedName name="BS_BALANCE" localSheetId="13">#REF!</definedName>
    <definedName name="BS_BALANCE" localSheetId="14">#REF!</definedName>
    <definedName name="BS_BALANCE" localSheetId="4">#REF!</definedName>
    <definedName name="BS_BALANCE">#REF!</definedName>
    <definedName name="BS_CR" localSheetId="11">#REF!</definedName>
    <definedName name="BS_CR" localSheetId="12">#REF!</definedName>
    <definedName name="BS_CR" localSheetId="13">#REF!</definedName>
    <definedName name="BS_CR" localSheetId="14">#REF!</definedName>
    <definedName name="BS_CR" localSheetId="4">#REF!</definedName>
    <definedName name="BS_CR">#REF!</definedName>
    <definedName name="BS_CR_EQU" localSheetId="11">#REF!</definedName>
    <definedName name="BS_CR_EQU" localSheetId="12">#REF!</definedName>
    <definedName name="BS_CR_EQU" localSheetId="13">#REF!</definedName>
    <definedName name="BS_CR_EQU" localSheetId="14">#REF!</definedName>
    <definedName name="BS_CR_EQU" localSheetId="4">#REF!</definedName>
    <definedName name="BS_CR_EQU">#REF!</definedName>
    <definedName name="BS_DB" localSheetId="11">#REF!</definedName>
    <definedName name="BS_DB" localSheetId="12">#REF!</definedName>
    <definedName name="BS_DB" localSheetId="13">#REF!</definedName>
    <definedName name="BS_DB" localSheetId="14">#REF!</definedName>
    <definedName name="BS_DB" localSheetId="4">#REF!</definedName>
    <definedName name="BS_DB">#REF!</definedName>
    <definedName name="BS_DB_EQU" localSheetId="11">#REF!</definedName>
    <definedName name="BS_DB_EQU" localSheetId="12">#REF!</definedName>
    <definedName name="BS_DB_EQU" localSheetId="13">#REF!</definedName>
    <definedName name="BS_DB_EQU" localSheetId="14">#REF!</definedName>
    <definedName name="BS_DB_EQU" localSheetId="4">#REF!</definedName>
    <definedName name="BS_DB_EQU">#REF!</definedName>
    <definedName name="BS_DT" localSheetId="11">#REF!</definedName>
    <definedName name="BS_DT" localSheetId="12">#REF!</definedName>
    <definedName name="BS_DT" localSheetId="13">#REF!</definedName>
    <definedName name="BS_DT" localSheetId="14">#REF!</definedName>
    <definedName name="BS_DT" localSheetId="4">#REF!</definedName>
    <definedName name="BS_DT">#REF!</definedName>
    <definedName name="BS_ISO" localSheetId="11">#REF!</definedName>
    <definedName name="BS_ISO" localSheetId="12">#REF!</definedName>
    <definedName name="BS_ISO" localSheetId="13">#REF!</definedName>
    <definedName name="BS_ISO" localSheetId="14">#REF!</definedName>
    <definedName name="BS_ISO" localSheetId="4">#REF!</definedName>
    <definedName name="BS_ISO">#REF!</definedName>
    <definedName name="CurrentDate" localSheetId="11">#REF!</definedName>
    <definedName name="CurrentDate" localSheetId="12">#REF!</definedName>
    <definedName name="CurrentDate" localSheetId="13">#REF!</definedName>
    <definedName name="CurrentDate" localSheetId="14">#REF!</definedName>
    <definedName name="CurrentDate" localSheetId="4">#REF!</definedName>
    <definedName name="CurrentDate">#REF!</definedName>
    <definedName name="Date">'1. key ratios'!$B$2</definedName>
    <definedName name="date1">'[1]Appl (2)'!$C$2:$C$7200</definedName>
    <definedName name="L_FORMULAS_GEO">[2]ListSheet!$W$2:$W$15</definedName>
    <definedName name="_xlnm.Print_Area" localSheetId="13">'13. CRME'!$A$1:$H$22</definedName>
    <definedName name="_xlnm.Print_Area" localSheetId="2">'2. RC'!$A$1:$H$41</definedName>
    <definedName name="_xlnm.Print_Area" localSheetId="7">'7. LI1'!$A$1:$G$21</definedName>
    <definedName name="_xlnm.Print_Area" localSheetId="8">'8. LI2'!$A$1:$C$13</definedName>
    <definedName name="_xlnm.Print_Area" localSheetId="9">'9. Capital'!$A$1:$C$52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14" i="6"/>
  <c r="E19" i="16" l="1"/>
  <c r="E18" i="16"/>
  <c r="E17" i="16"/>
  <c r="C14" i="16"/>
  <c r="E15" i="16"/>
  <c r="E12" i="16"/>
  <c r="E11" i="16"/>
  <c r="E10" i="16"/>
  <c r="C7" i="16"/>
  <c r="C21" i="16" s="1"/>
  <c r="E8" i="16"/>
  <c r="B2" i="16"/>
  <c r="B1" i="16"/>
  <c r="D15" i="15"/>
  <c r="C15" i="15"/>
  <c r="B2" i="15"/>
  <c r="B1" i="15"/>
  <c r="E22" i="14"/>
  <c r="C22" i="14"/>
  <c r="D22" i="14"/>
  <c r="B2" i="14"/>
  <c r="B1" i="14"/>
  <c r="S21" i="13"/>
  <c r="R21" i="13"/>
  <c r="Q21" i="13"/>
  <c r="P21" i="13"/>
  <c r="O21" i="13"/>
  <c r="N21" i="13"/>
  <c r="M21" i="13"/>
  <c r="J21" i="13"/>
  <c r="F21" i="13"/>
  <c r="V20" i="13"/>
  <c r="V19" i="13"/>
  <c r="V18" i="13"/>
  <c r="V17" i="13"/>
  <c r="V16" i="13"/>
  <c r="V15" i="13"/>
  <c r="V14" i="13"/>
  <c r="U21" i="13"/>
  <c r="V13" i="13"/>
  <c r="V12" i="13"/>
  <c r="V11" i="13"/>
  <c r="V10" i="13"/>
  <c r="V9" i="13"/>
  <c r="V8" i="13"/>
  <c r="T21" i="13"/>
  <c r="L21" i="13"/>
  <c r="K21" i="13"/>
  <c r="I21" i="13"/>
  <c r="H21" i="13"/>
  <c r="G21" i="13"/>
  <c r="E21" i="13"/>
  <c r="D21" i="13"/>
  <c r="C21" i="13"/>
  <c r="B2" i="13"/>
  <c r="B1" i="13"/>
  <c r="R22" i="12"/>
  <c r="P22" i="12"/>
  <c r="H22" i="12"/>
  <c r="F22" i="12"/>
  <c r="D22" i="12"/>
  <c r="J22" i="12"/>
  <c r="S20" i="12"/>
  <c r="S19" i="12"/>
  <c r="S18" i="12"/>
  <c r="S16" i="12"/>
  <c r="L22" i="12"/>
  <c r="S15" i="12"/>
  <c r="N22" i="12"/>
  <c r="S13" i="12"/>
  <c r="S12" i="12"/>
  <c r="S11" i="12"/>
  <c r="S10" i="12"/>
  <c r="S9" i="12"/>
  <c r="Q22" i="12"/>
  <c r="I22" i="12"/>
  <c r="B2" i="12"/>
  <c r="B1" i="12"/>
  <c r="B2" i="11"/>
  <c r="B1" i="11"/>
  <c r="C47" i="10"/>
  <c r="C43" i="10"/>
  <c r="C35" i="10"/>
  <c r="C31" i="10"/>
  <c r="C30" i="10" s="1"/>
  <c r="C41" i="10" s="1"/>
  <c r="C21" i="11"/>
  <c r="C12" i="10"/>
  <c r="C6" i="10"/>
  <c r="B2" i="10"/>
  <c r="B1" i="10"/>
  <c r="C11" i="9"/>
  <c r="B2" i="9"/>
  <c r="B1" i="9"/>
  <c r="D19" i="8"/>
  <c r="D21" i="8" s="1"/>
  <c r="F15" i="8"/>
  <c r="F21" i="8"/>
  <c r="B2" i="8"/>
  <c r="B1" i="8"/>
  <c r="B2" i="7"/>
  <c r="B1" i="7"/>
  <c r="C6" i="6"/>
  <c r="C13" i="11" s="1"/>
  <c r="B2" i="6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C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C14" i="5"/>
  <c r="H13" i="5"/>
  <c r="D14" i="5"/>
  <c r="H12" i="5"/>
  <c r="E12" i="5"/>
  <c r="H11" i="5"/>
  <c r="E11" i="5"/>
  <c r="H10" i="5"/>
  <c r="E10" i="5"/>
  <c r="H9" i="5"/>
  <c r="D7" i="5"/>
  <c r="H8" i="5"/>
  <c r="H7" i="5"/>
  <c r="B2" i="5"/>
  <c r="B1" i="5"/>
  <c r="H66" i="4"/>
  <c r="E66" i="4"/>
  <c r="H64" i="4"/>
  <c r="E64" i="4"/>
  <c r="H60" i="4"/>
  <c r="E60" i="4"/>
  <c r="H59" i="4"/>
  <c r="E58" i="4"/>
  <c r="C53" i="4"/>
  <c r="H52" i="4"/>
  <c r="E52" i="4"/>
  <c r="H51" i="4"/>
  <c r="E51" i="4"/>
  <c r="H50" i="4"/>
  <c r="E50" i="4"/>
  <c r="H49" i="4"/>
  <c r="E49" i="4"/>
  <c r="H48" i="4"/>
  <c r="E48" i="4"/>
  <c r="G53" i="4"/>
  <c r="H44" i="4"/>
  <c r="E44" i="4"/>
  <c r="H43" i="4"/>
  <c r="E43" i="4"/>
  <c r="H42" i="4"/>
  <c r="H41" i="4"/>
  <c r="E41" i="4"/>
  <c r="H40" i="4"/>
  <c r="E40" i="4"/>
  <c r="H39" i="4"/>
  <c r="E39" i="4"/>
  <c r="H38" i="4"/>
  <c r="H37" i="4"/>
  <c r="E37" i="4"/>
  <c r="H36" i="4"/>
  <c r="H35" i="4"/>
  <c r="E35" i="4"/>
  <c r="G34" i="4"/>
  <c r="F34" i="4"/>
  <c r="H34" i="4" s="1"/>
  <c r="D34" i="4"/>
  <c r="H29" i="4"/>
  <c r="E29" i="4"/>
  <c r="H28" i="4"/>
  <c r="H27" i="4"/>
  <c r="E27" i="4"/>
  <c r="H26" i="4"/>
  <c r="E26" i="4"/>
  <c r="H25" i="4"/>
  <c r="E25" i="4"/>
  <c r="G30" i="4"/>
  <c r="E24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D9" i="4"/>
  <c r="H13" i="4"/>
  <c r="E13" i="4"/>
  <c r="H12" i="4"/>
  <c r="E12" i="4"/>
  <c r="H11" i="4"/>
  <c r="E11" i="4"/>
  <c r="G9" i="4"/>
  <c r="H8" i="4"/>
  <c r="B2" i="4"/>
  <c r="B1" i="4"/>
  <c r="H40" i="3"/>
  <c r="E40" i="3"/>
  <c r="H39" i="3"/>
  <c r="E39" i="3"/>
  <c r="C42" i="11" s="1"/>
  <c r="H38" i="3"/>
  <c r="E38" i="3"/>
  <c r="C41" i="11" s="1"/>
  <c r="H37" i="3"/>
  <c r="E37" i="3"/>
  <c r="C40" i="11" s="1"/>
  <c r="H36" i="3"/>
  <c r="E36" i="3"/>
  <c r="C39" i="11" s="1"/>
  <c r="H35" i="3"/>
  <c r="E35" i="3"/>
  <c r="C38" i="11" s="1"/>
  <c r="H34" i="3"/>
  <c r="E34" i="3"/>
  <c r="C37" i="11" s="1"/>
  <c r="H33" i="3"/>
  <c r="E33" i="3"/>
  <c r="C36" i="11" s="1"/>
  <c r="C43" i="11" s="1"/>
  <c r="H30" i="3"/>
  <c r="E30" i="3"/>
  <c r="C33" i="11" s="1"/>
  <c r="H29" i="3"/>
  <c r="E29" i="3"/>
  <c r="C31" i="11" s="1"/>
  <c r="H28" i="3"/>
  <c r="E28" i="3"/>
  <c r="C30" i="11" s="1"/>
  <c r="H27" i="3"/>
  <c r="E27" i="3"/>
  <c r="C29" i="11" s="1"/>
  <c r="H26" i="3"/>
  <c r="E26" i="3"/>
  <c r="C28" i="11" s="1"/>
  <c r="H25" i="3"/>
  <c r="E25" i="3"/>
  <c r="C27" i="11" s="1"/>
  <c r="H24" i="3"/>
  <c r="E24" i="3"/>
  <c r="C26" i="11" s="1"/>
  <c r="G31" i="3"/>
  <c r="G41" i="3" s="1"/>
  <c r="H23" i="3"/>
  <c r="D31" i="3"/>
  <c r="H22" i="3"/>
  <c r="E22" i="3"/>
  <c r="C24" i="11" s="1"/>
  <c r="H19" i="3"/>
  <c r="E19" i="3"/>
  <c r="H18" i="3"/>
  <c r="E18" i="3"/>
  <c r="H17" i="3"/>
  <c r="E17" i="3"/>
  <c r="H16" i="3"/>
  <c r="E16" i="3"/>
  <c r="H15" i="3"/>
  <c r="E15" i="3"/>
  <c r="H13" i="3"/>
  <c r="E13" i="3"/>
  <c r="G14" i="3"/>
  <c r="F14" i="3"/>
  <c r="H14" i="3" s="1"/>
  <c r="C32" i="2"/>
  <c r="E12" i="3"/>
  <c r="H11" i="3"/>
  <c r="E11" i="3"/>
  <c r="H10" i="3"/>
  <c r="E10" i="3"/>
  <c r="H9" i="3"/>
  <c r="E9" i="3"/>
  <c r="H8" i="3"/>
  <c r="E8" i="3"/>
  <c r="H7" i="3"/>
  <c r="B2" i="3"/>
  <c r="B1" i="3"/>
  <c r="C18" i="2"/>
  <c r="C17" i="2"/>
  <c r="C16" i="2"/>
  <c r="G20" i="3" l="1"/>
  <c r="C12" i="8"/>
  <c r="E12" i="8" s="1"/>
  <c r="G12" i="8" s="1"/>
  <c r="C10" i="11"/>
  <c r="C13" i="8"/>
  <c r="E13" i="8" s="1"/>
  <c r="G13" i="8" s="1"/>
  <c r="C11" i="11"/>
  <c r="C14" i="8"/>
  <c r="E14" i="8" s="1"/>
  <c r="G14" i="8" s="1"/>
  <c r="C12" i="11"/>
  <c r="C31" i="2"/>
  <c r="D41" i="3"/>
  <c r="C9" i="8"/>
  <c r="E9" i="8" s="1"/>
  <c r="G9" i="8" s="1"/>
  <c r="C7" i="11"/>
  <c r="C16" i="8"/>
  <c r="E16" i="8" s="1"/>
  <c r="G16" i="8" s="1"/>
  <c r="C16" i="11"/>
  <c r="C17" i="11"/>
  <c r="C17" i="8"/>
  <c r="E17" i="8" s="1"/>
  <c r="G17" i="8" s="1"/>
  <c r="F20" i="3"/>
  <c r="H20" i="3" s="1"/>
  <c r="C10" i="8"/>
  <c r="E10" i="8" s="1"/>
  <c r="G10" i="8" s="1"/>
  <c r="C8" i="11"/>
  <c r="C9" i="11"/>
  <c r="C11" i="8"/>
  <c r="E11" i="8" s="1"/>
  <c r="G11" i="8" s="1"/>
  <c r="C18" i="11"/>
  <c r="C18" i="8"/>
  <c r="E18" i="8" s="1"/>
  <c r="G18" i="8" s="1"/>
  <c r="D22" i="4"/>
  <c r="E7" i="3"/>
  <c r="C14" i="3"/>
  <c r="C19" i="8"/>
  <c r="E19" i="8" s="1"/>
  <c r="G19" i="8" s="1"/>
  <c r="C20" i="11"/>
  <c r="F31" i="3"/>
  <c r="E10" i="4"/>
  <c r="C9" i="4"/>
  <c r="E9" i="4" s="1"/>
  <c r="H10" i="4"/>
  <c r="F30" i="4"/>
  <c r="H30" i="4" s="1"/>
  <c r="G45" i="4"/>
  <c r="G54" i="4" s="1"/>
  <c r="D53" i="4"/>
  <c r="H12" i="3"/>
  <c r="D14" i="3"/>
  <c r="D20" i="3" s="1"/>
  <c r="H24" i="4"/>
  <c r="F53" i="4"/>
  <c r="H53" i="4" s="1"/>
  <c r="F61" i="4"/>
  <c r="H61" i="4" s="1"/>
  <c r="H58" i="4"/>
  <c r="E23" i="3"/>
  <c r="C31" i="3"/>
  <c r="G22" i="4"/>
  <c r="G31" i="4" s="1"/>
  <c r="G56" i="4" s="1"/>
  <c r="G63" i="4" s="1"/>
  <c r="G65" i="4" s="1"/>
  <c r="G67" i="4" s="1"/>
  <c r="F9" i="4"/>
  <c r="H9" i="4" s="1"/>
  <c r="E14" i="4"/>
  <c r="D30" i="4"/>
  <c r="D45" i="4"/>
  <c r="E38" i="4"/>
  <c r="F45" i="4"/>
  <c r="H47" i="4"/>
  <c r="E9" i="5"/>
  <c r="D32" i="5"/>
  <c r="E32" i="5" s="1"/>
  <c r="G9" i="14"/>
  <c r="H9" i="14" s="1"/>
  <c r="F9" i="14"/>
  <c r="G10" i="14"/>
  <c r="H10" i="14" s="1"/>
  <c r="F10" i="14"/>
  <c r="G12" i="14"/>
  <c r="H12" i="14" s="1"/>
  <c r="F12" i="14"/>
  <c r="G13" i="14"/>
  <c r="H13" i="14" s="1"/>
  <c r="F13" i="14"/>
  <c r="C22" i="4"/>
  <c r="E8" i="4"/>
  <c r="E36" i="4"/>
  <c r="C34" i="4"/>
  <c r="E59" i="4"/>
  <c r="C61" i="4"/>
  <c r="E61" i="4" s="1"/>
  <c r="E8" i="5"/>
  <c r="C7" i="5"/>
  <c r="E7" i="5" s="1"/>
  <c r="C52" i="10"/>
  <c r="C22" i="11"/>
  <c r="C20" i="8"/>
  <c r="E20" i="8" s="1"/>
  <c r="G20" i="8" s="1"/>
  <c r="C30" i="4"/>
  <c r="E30" i="4" s="1"/>
  <c r="H16" i="14"/>
  <c r="H20" i="14"/>
  <c r="E53" i="4"/>
  <c r="E28" i="4"/>
  <c r="E42" i="4"/>
  <c r="E47" i="4"/>
  <c r="C14" i="6"/>
  <c r="F11" i="14"/>
  <c r="G11" i="14"/>
  <c r="H11" i="14" s="1"/>
  <c r="H15" i="14"/>
  <c r="E14" i="5"/>
  <c r="C22" i="12"/>
  <c r="K22" i="12"/>
  <c r="S8" i="12"/>
  <c r="S17" i="12"/>
  <c r="H18" i="14"/>
  <c r="H19" i="14"/>
  <c r="E13" i="5"/>
  <c r="E43" i="5"/>
  <c r="C28" i="10"/>
  <c r="E22" i="12"/>
  <c r="M22" i="12"/>
  <c r="S14" i="12"/>
  <c r="S21" i="12"/>
  <c r="G22" i="12"/>
  <c r="O22" i="12"/>
  <c r="V7" i="13"/>
  <c r="V21" i="13" s="1"/>
  <c r="E9" i="16"/>
  <c r="E7" i="16" s="1"/>
  <c r="E21" i="16" s="1"/>
  <c r="E16" i="16"/>
  <c r="E14" i="16" s="1"/>
  <c r="H14" i="14" l="1"/>
  <c r="C31" i="4"/>
  <c r="E22" i="4"/>
  <c r="C41" i="3"/>
  <c r="E41" i="3" s="1"/>
  <c r="E31" i="3"/>
  <c r="C37" i="2" s="1"/>
  <c r="D31" i="4"/>
  <c r="C45" i="4"/>
  <c r="E34" i="4"/>
  <c r="F54" i="4"/>
  <c r="H54" i="4" s="1"/>
  <c r="H45" i="4"/>
  <c r="C25" i="11"/>
  <c r="C35" i="11" s="1"/>
  <c r="H17" i="14"/>
  <c r="F22" i="4"/>
  <c r="C20" i="3"/>
  <c r="E20" i="3" s="1"/>
  <c r="E14" i="3"/>
  <c r="C15" i="8" s="1"/>
  <c r="E15" i="8" s="1"/>
  <c r="G15" i="8" s="1"/>
  <c r="C15" i="11"/>
  <c r="H21" i="14"/>
  <c r="S22" i="12"/>
  <c r="G8" i="14"/>
  <c r="F8" i="14"/>
  <c r="F22" i="14" s="1"/>
  <c r="D54" i="4"/>
  <c r="H31" i="3"/>
  <c r="F41" i="3"/>
  <c r="H41" i="3" s="1"/>
  <c r="C8" i="8"/>
  <c r="C6" i="11"/>
  <c r="C23" i="11" s="1"/>
  <c r="G22" i="14" l="1"/>
  <c r="H8" i="14"/>
  <c r="D56" i="4"/>
  <c r="D63" i="4" s="1"/>
  <c r="D65" i="4" s="1"/>
  <c r="D67" i="4" s="1"/>
  <c r="E31" i="4"/>
  <c r="C38" i="2"/>
  <c r="E8" i="8"/>
  <c r="C21" i="8"/>
  <c r="F31" i="4"/>
  <c r="H22" i="4"/>
  <c r="C54" i="4"/>
  <c r="E54" i="4" s="1"/>
  <c r="E45" i="4"/>
  <c r="C33" i="2"/>
  <c r="F56" i="4" l="1"/>
  <c r="H31" i="4"/>
  <c r="E21" i="8"/>
  <c r="G8" i="8"/>
  <c r="G21" i="8" s="1"/>
  <c r="C5" i="9" s="1"/>
  <c r="C8" i="9" s="1"/>
  <c r="C13" i="9" s="1"/>
  <c r="C56" i="4"/>
  <c r="H22" i="14"/>
  <c r="E56" i="4" l="1"/>
  <c r="C63" i="4"/>
  <c r="F63" i="4"/>
  <c r="H56" i="4"/>
  <c r="F65" i="4" l="1"/>
  <c r="H63" i="4"/>
  <c r="E63" i="4"/>
  <c r="C65" i="4"/>
  <c r="E65" i="4" l="1"/>
  <c r="C67" i="4"/>
  <c r="E67" i="4" s="1"/>
  <c r="F67" i="4"/>
  <c r="H67" i="4" s="1"/>
  <c r="H65" i="4"/>
</calcChain>
</file>

<file path=xl/comments1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MIN(Stand.Clasiif.Loan's Reserve; RWA*1.25%)</t>
        </r>
      </text>
    </comment>
  </commentList>
</comments>
</file>

<file path=xl/sharedStrings.xml><?xml version="1.0" encoding="utf-8"?>
<sst xmlns="http://schemas.openxmlformats.org/spreadsheetml/2006/main" count="651" uniqueCount="430">
  <si>
    <t>პილარ 3-ის კვარტალური ანგარიშგება</t>
  </si>
  <si>
    <t>ბანკის სრული დასახელება</t>
  </si>
  <si>
    <t>ს.ს. "ტერაბანკი"</t>
  </si>
  <si>
    <t>ბანკის სამეთვალყურეო საბჭოს თავმჯდომარე</t>
  </si>
  <si>
    <t>შეიხი ნაჰაიან მაბარაკ ალ ნაჰაიანი</t>
  </si>
  <si>
    <t>ბანკის გენერალური დირექტორი</t>
  </si>
  <si>
    <t>თეა ლორთქიფანიძე</t>
  </si>
  <si>
    <t>ბანკის ვებ-გვერდი</t>
  </si>
  <si>
    <t>www.terabank.ge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</si>
  <si>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</si>
  <si>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ცხრილი N</t>
  </si>
  <si>
    <t>სარჩევი</t>
  </si>
  <si>
    <t>ძირითადი მაჩვენებლები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</si>
  <si>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</si>
  <si>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</si>
  <si>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</si>
  <si>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რისკის მიხედვით შეწონილი რისკის პოზიციები</t>
  </si>
  <si>
    <t>ინფორმაცია ბანკის სამეთვალყურეო საბჭოს, დირექტორატის და აქციონერთა შესახებ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</si>
  <si>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</si>
  <si>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</si>
  <si>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>საზედამხედველო კაპიტალი</t>
  </si>
  <si>
    <t>საბალანსო უწყისისა და საზედამხედველო კაპიტალის ელემენტებს შორის კავშირები</t>
  </si>
  <si>
    <t>საკრედიტო რისკის მიხედვით შეწონილი რისკის პოზიციები</t>
  </si>
  <si>
    <t>საკრედიტო რისკის მიტიგაცია</t>
  </si>
  <si>
    <t>სტანდარტიზებული მიდგომა - საკრედიტო რისკი საკრედიტო რისკის მიტიგაციის ეფექტი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</si>
  <si>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</si>
  <si>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</si>
  <si>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ძირითადი მონაცემები სესხებზე</t>
  </si>
  <si>
    <t>სესხების ხარისხი</t>
  </si>
  <si>
    <t>ინფორმაცია სესხებზე ყოველთვიური გადახდების შემოსავალთან შეფარდების კოეფიციენტის შესახებ</t>
  </si>
  <si>
    <t>ინფორმაცია სესხის მომსახურების კოეფიციენტის შესახებ</t>
  </si>
  <si>
    <t>ბანკი:</t>
  </si>
  <si>
    <t>სს ტერაბანკი</t>
  </si>
  <si>
    <t>თარიღი:</t>
  </si>
  <si>
    <t>ცხრილი 1</t>
  </si>
  <si>
    <t>N</t>
  </si>
  <si>
    <t>T</t>
  </si>
  <si>
    <t>T-1</t>
  </si>
  <si>
    <t>T-2</t>
  </si>
  <si>
    <t>T-3</t>
  </si>
  <si>
    <t>T-4</t>
  </si>
  <si>
    <t>საზედამხედველო კაპიტალი (მოცულობა, ლარი)</t>
  </si>
  <si>
    <t>ბაზელ III-ზე დაფუძნებული ჩარჩოს მიხედვით</t>
  </si>
  <si>
    <t>ძირითადი პირველადი კაპიტალი</t>
  </si>
  <si>
    <t>პირველადი კაპიტალი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</si>
  <si>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</si>
  <si>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</si>
  <si>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</si>
  <si>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კაპიტალის კოეფიციენტები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</si>
  <si>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</si>
  <si>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</si>
  <si>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</si>
  <si>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ბაზელ I-ზე დაფუძნებული ჩარჩოს მიხედვით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</si>
  <si>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</si>
  <si>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</si>
  <si>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მოგება*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</si>
  <si>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</si>
  <si>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</si>
  <si>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</si>
  <si>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წმინდა საპროცენტო მარჟა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</si>
  <si>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</si>
  <si>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</si>
  <si>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</si>
  <si>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</si>
  <si>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</si>
  <si>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</si>
  <si>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</si>
  <si>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</si>
  <si>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</si>
  <si>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</si>
  <si>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</si>
  <si>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</si>
  <si>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ცხრილი 2</t>
  </si>
  <si>
    <t xml:space="preserve"> საბალანსო უწყისი</t>
  </si>
  <si>
    <t>ლარებით</t>
  </si>
  <si>
    <t>საანგარიშგებო პერიოდი</t>
  </si>
  <si>
    <t>წინა წლის შესაბამისი პერიოდი</t>
  </si>
  <si>
    <t>აქტივები</t>
  </si>
  <si>
    <t>ლარი</t>
  </si>
  <si>
    <t>უცხ.ვალუტა</t>
  </si>
  <si>
    <t>სულ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</si>
  <si>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</si>
  <si>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</si>
  <si>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</si>
  <si>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</si>
  <si>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</si>
  <si>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</si>
  <si>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</si>
  <si>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</si>
  <si>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</si>
  <si>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</si>
  <si>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</si>
  <si>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</si>
  <si>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</si>
  <si>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</si>
  <si>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</si>
  <si>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</si>
  <si>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</si>
  <si>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</si>
  <si>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</si>
  <si>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</si>
  <si>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</si>
  <si>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</si>
  <si>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</si>
  <si>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</si>
  <si>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</si>
  <si>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</si>
  <si>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</si>
  <si>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</si>
  <si>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</si>
  <si>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</si>
  <si>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</si>
  <si>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</si>
  <si>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</si>
  <si>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</si>
  <si>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</si>
  <si>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>ცხრილი 3</t>
  </si>
  <si>
    <t>მოგება - ზარალის ანგარიშგება</t>
  </si>
  <si>
    <t>უცხ. ვალუტა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</si>
  <si>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</si>
  <si>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</si>
  <si>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</si>
  <si>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</si>
  <si>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</si>
  <si>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</si>
  <si>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</si>
  <si>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</si>
  <si>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</si>
  <si>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</si>
  <si>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</si>
  <si>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</si>
  <si>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</si>
  <si>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</si>
  <si>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</si>
  <si>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</si>
  <si>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</si>
  <si>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</si>
  <si>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</si>
  <si>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</si>
  <si>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</si>
  <si>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</si>
  <si>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</si>
  <si>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</si>
  <si>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</si>
  <si>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</si>
  <si>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</si>
  <si>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</si>
  <si>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</si>
  <si>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</si>
  <si>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</si>
  <si>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</si>
  <si>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</si>
  <si>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</si>
  <si>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</si>
  <si>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</si>
  <si>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</si>
  <si>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</si>
  <si>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</si>
  <si>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</si>
  <si>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</si>
  <si>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</si>
  <si>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საექსპლუატაციო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</si>
  <si>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</si>
  <si>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</si>
  <si>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</si>
  <si>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</si>
  <si>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</si>
  <si>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</si>
  <si>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</si>
  <si>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</si>
  <si>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</si>
  <si>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</si>
  <si>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</si>
  <si>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</si>
  <si>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</si>
  <si>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</si>
  <si>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ცხრილი 4</t>
  </si>
  <si>
    <t>ბალანსგარეშე ანგარიშგების უწყისი</t>
  </si>
  <si>
    <t>პირობითი ვალდებულებები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</si>
  <si>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</si>
  <si>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</si>
  <si>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</si>
  <si>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</si>
  <si>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</si>
  <si>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</si>
  <si>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</si>
  <si>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</si>
  <si>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გარანტიები*</t>
  </si>
  <si>
    <t xml:space="preserve">         თავდებობა, სოლიდარული პასუხისმგებლობა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</si>
  <si>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</si>
  <si>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</si>
  <si>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</si>
  <si>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</si>
  <si>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</si>
  <si>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</si>
  <si>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</si>
  <si>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</si>
  <si>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</si>
  <si>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</si>
  <si>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</si>
  <si>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</si>
  <si>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</si>
  <si>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</si>
  <si>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</si>
  <si>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</si>
  <si>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</si>
  <si>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</si>
  <si>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</si>
  <si>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</si>
  <si>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 (გარდა ოფციონებისა)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</si>
  <si>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</si>
  <si>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</si>
  <si>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</si>
  <si>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</si>
  <si>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</si>
  <si>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</si>
  <si>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</si>
  <si>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</si>
  <si>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</si>
  <si>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</si>
  <si>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</si>
  <si>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</si>
  <si>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</si>
  <si>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</si>
  <si>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</si>
  <si>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</si>
  <si>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</si>
  <si>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</si>
  <si>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</si>
  <si>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</si>
  <si>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*წინა წლის შესაბამისი პერიოდის მაჩვენებლები დათვლილია განახლებული მეთოდოლოგიის შესაბამისად, რამაც გამოიწვია წინა პერიოდების მაჩვენებლების შეცვლა.</t>
  </si>
  <si>
    <t>ცხრილი 5</t>
  </si>
  <si>
    <t>საკრედიტო რისკი მიხედვით შეწონილი რისკის პოზიციები</t>
  </si>
  <si>
    <t>საბალანსო ელემენტები</t>
  </si>
  <si>
    <t>1.1.1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</si>
  <si>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</si>
  <si>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</si>
  <si>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</si>
  <si>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საბაზრო რისკის მიხედვით შეწონილი რისკის პოზიციები</t>
  </si>
  <si>
    <t>საოპერაციო რისკის მიხედვით შეწონილი რისკის პოზიციები</t>
  </si>
  <si>
    <t>სულ რისკის მიხედვით შეწონილი რისკის პოზიციები</t>
  </si>
  <si>
    <t>ცხრილი 6</t>
  </si>
  <si>
    <t>სამეთვალყურეო საბჭოს შემადგენლობა</t>
  </si>
  <si>
    <t>შეიხი ნაჰაიან მაბარაკ ალ ნაჰაიანი (თავმჯდომარე)</t>
  </si>
  <si>
    <t>შეიხი მოჰამედ ბუტი ალჰამედი (მოადგილე)</t>
  </si>
  <si>
    <t>სემი ედვარდ ადამ ხალილ (წევრი)</t>
  </si>
  <si>
    <t>ადელ საფვატ გუირგუის რუფაეილ (მრჩეველი)</t>
  </si>
  <si>
    <t>დირექტორთა საბჭოს შემადგენლობა</t>
  </si>
  <si>
    <t>სოფიო ჯუღელი</t>
  </si>
  <si>
    <t>თეიმურაზ აბულაძე</t>
  </si>
  <si>
    <t>ვახტანგ ხუციშვილი</t>
  </si>
  <si>
    <t>ზურაბ აზარაშვილი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</si>
  <si>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</si>
  <si>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 xml:space="preserve">შეიხი ჰამდან ბინ ზაიედ ალნეჰაიენი </t>
  </si>
  <si>
    <t xml:space="preserve">შეიხი მანსურ ბინზაიედ ბინსულტან ალ ნაჰიანი </t>
  </si>
  <si>
    <t>შეიხი მოჰამედ ბუტი ალჰამედი</t>
  </si>
  <si>
    <t>შ.პ.ს. "ინვესტმენტ ტრეიდინგ გრუპ"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</si>
  <si>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</si>
  <si>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ცხრილი 7</t>
  </si>
  <si>
    <t>a</t>
  </si>
  <si>
    <t>b</t>
  </si>
  <si>
    <t>c</t>
  </si>
  <si>
    <t>d</t>
  </si>
  <si>
    <t>e = c + d</t>
  </si>
  <si>
    <t xml:space="preserve">სტანდარტიზებული საზედამხედველო ანგარიშგების საბალანსო ელემენტები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</si>
  <si>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</si>
  <si>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 საბალანსო ღირებულებები 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</si>
  <si>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</si>
  <si>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</si>
  <si>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საკრედიტო რისკით შეწონვას დაქვემდებარებული საბალანსო ელემენტები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</si>
  <si>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</si>
  <si>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 xml:space="preserve">ფულადი სახსრები სხვა ბანკებში </t>
  </si>
  <si>
    <t xml:space="preserve">წმინდა სესხები </t>
  </si>
  <si>
    <t>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</t>
  </si>
  <si>
    <t>ცხრილი 8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</si>
  <si>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</si>
  <si>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</si>
  <si>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</si>
  <si>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</si>
  <si>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</si>
  <si>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</si>
  <si>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</si>
  <si>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</si>
  <si>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ცხრილი 9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</si>
  <si>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</si>
  <si>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</si>
  <si>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</si>
  <si>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</si>
  <si>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</si>
  <si>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</si>
  <si>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</si>
  <si>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</si>
  <si>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</si>
  <si>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</si>
  <si>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</si>
  <si>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</si>
  <si>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</si>
  <si>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</si>
  <si>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</si>
  <si>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</si>
  <si>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</si>
  <si>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</si>
  <si>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</si>
  <si>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</si>
  <si>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</si>
  <si>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</si>
  <si>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</si>
  <si>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</si>
  <si>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</si>
  <si>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</si>
  <si>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</si>
  <si>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</si>
  <si>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</si>
  <si>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</si>
  <si>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</si>
  <si>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</si>
  <si>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</si>
  <si>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</si>
  <si>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</si>
  <si>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</si>
  <si>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</si>
  <si>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</si>
  <si>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</si>
  <si>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</si>
  <si>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</si>
  <si>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მეორადი კაპიტალი</t>
  </si>
  <si>
    <t xml:space="preserve">   </t>
  </si>
  <si>
    <t>ცხრილი 10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</si>
  <si>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</si>
  <si>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კავშირი Capital-ის ცხრილთან</t>
  </si>
  <si>
    <t>ცხრილი 9 (Capital), N39</t>
  </si>
  <si>
    <t>6.2.1</t>
  </si>
  <si>
    <t>რისკის მიხედვით შეწონილი აქტივების 1.25%</t>
  </si>
  <si>
    <t>6.2.2</t>
  </si>
  <si>
    <t>სტანდარტულად კლასიფიცირებული სესხების რეზერვი</t>
  </si>
  <si>
    <t>მათ შორის მნიშვნელოვანი ინვესტიციები, რომლებიც შეზღუდულად აღიარდება</t>
  </si>
  <si>
    <t>მათ შორის არამატერიალური აქტივები</t>
  </si>
  <si>
    <t>ცხრილი 9 (Capital), N10</t>
  </si>
  <si>
    <t xml:space="preserve">სტანდარტულად კლასიფიცირებული ბალანსგარეშე მუხლებზე არსებული რეზერვები </t>
  </si>
  <si>
    <t>მათ შორის მეორად საზედამხედველო კაპიტალში ჩასათვლელი ინსტრუმენტები</t>
  </si>
  <si>
    <t>ცხრილი 9 (Capital), N37</t>
  </si>
  <si>
    <t>ცხრილი 9 (Capital), N2</t>
  </si>
  <si>
    <t xml:space="preserve">    მინუს: გამოსყიდული აქციები</t>
  </si>
  <si>
    <t>ცხრილი 9 (Capital), N6</t>
  </si>
  <si>
    <t>ცხრილი 9 (Capital), N8</t>
  </si>
  <si>
    <t>ცხრილი 11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</si>
  <si>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</si>
  <si>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</si>
  <si>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</si>
  <si>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</si>
  <si>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</si>
  <si>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</si>
  <si>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</si>
  <si>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</si>
  <si>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</si>
  <si>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</si>
  <si>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</si>
  <si>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</si>
  <si>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</si>
  <si>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</si>
  <si>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</si>
  <si>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</si>
  <si>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საბალანსო</t>
  </si>
  <si>
    <t>გარესაბალანსო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</si>
  <si>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</si>
  <si>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</si>
  <si>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</si>
  <si>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</si>
  <si>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</si>
  <si>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</si>
  <si>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</si>
  <si>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</si>
  <si>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</si>
  <si>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</si>
  <si>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</si>
  <si>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</si>
  <si>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</si>
  <si>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სხვა ერთეულები</t>
  </si>
  <si>
    <t>ცხრილი 12</t>
  </si>
  <si>
    <t>საკრედიტო რისკის მიტიგაცია 
(საბალანსო და გარესაბალანსო ელემენტები)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</si>
  <si>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</si>
  <si>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</si>
  <si>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საბალანსო ელემენტების საკრედიტო მიტიგაცია</t>
  </si>
  <si>
    <t>სულ გარესაბალანსო ელემენტების საკრედიტო მიტიგაცია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</si>
  <si>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</si>
  <si>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</si>
  <si>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</si>
  <si>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</si>
  <si>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</si>
  <si>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</si>
  <si>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</si>
  <si>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</si>
  <si>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ოქროს სტანდარტული ზოდი ან მისი ექვივალენტი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</si>
  <si>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</si>
  <si>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</si>
  <si>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</si>
  <si>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</si>
  <si>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</si>
  <si>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</si>
  <si>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</si>
  <si>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</si>
  <si>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</si>
  <si>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ცხრილი 13</t>
  </si>
  <si>
    <t>სტანდარტიზებული მიდგომა - საკრედიტო რისკის მიტიგაცია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</si>
  <si>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</si>
  <si>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</si>
  <si>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</si>
  <si>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</si>
  <si>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</si>
  <si>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</si>
  <si>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</si>
  <si>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ცხრილი 14</t>
  </si>
  <si>
    <t>რისკის პოზიციები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</si>
  <si>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</si>
  <si>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სხვა მოთხოვნები</t>
  </si>
  <si>
    <t xml:space="preserve"> </t>
  </si>
  <si>
    <t>ბანკი</t>
  </si>
  <si>
    <t>ცხრილი 15</t>
  </si>
  <si>
    <t xml:space="preserve">ნომინალური 
ღირებულება </t>
  </si>
  <si>
    <t>პროცენტი</t>
  </si>
  <si>
    <t>რისკის პოზიციების 
ღირებულება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</si>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</sst>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 ;[Red]\-#,##0\ "/>
    <numFmt numFmtId="165" formatCode="_(* #,##0_);_(* \(#,##0\);_(* &quot;-&quot;??_);_(@_)"/>
    <numFmt numFmtId="166" formatCode="#,##0.000000;[Red]#,##0.000000"/>
    <numFmt numFmtId="167" formatCode="_(#,##0_);_(\(#,##0\);_(\ \-\ _);_(@_)"/>
    <numFmt numFmtId="168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Sylfaen"/>
      <family val="1"/>
    </font>
    <font>
      <sz val="10"/>
      <color rgb="FFFF000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SPKolheti"/>
      <family val="1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446">
    <xf numFmtId="0" fontId="0" fillId="0" borderId="0" xfId="0"/>
    <xf numFmtId="0" fontId="3" fillId="0" borderId="1" xfId="0" applyFont="1" applyBorder="1"/>
    <xf numFmtId="0" fontId="5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/>
    <xf numFmtId="0" fontId="7" fillId="2" borderId="1" xfId="3" applyFont="1" applyFill="1" applyBorder="1" applyAlignment="1" applyProtection="1">
      <alignment horizontal="right" indent="1"/>
    </xf>
    <xf numFmtId="0" fontId="8" fillId="2" borderId="1" xfId="3" applyFont="1" applyFill="1" applyBorder="1" applyAlignment="1" applyProtection="1">
      <alignment horizontal="left" wrapText="1" indent="1"/>
    </xf>
    <xf numFmtId="0" fontId="9" fillId="0" borderId="1" xfId="0" applyFont="1" applyBorder="1"/>
    <xf numFmtId="0" fontId="1" fillId="0" borderId="0" xfId="0" applyFont="1"/>
    <xf numFmtId="0" fontId="8" fillId="0" borderId="1" xfId="3" applyFont="1" applyFill="1" applyBorder="1" applyAlignment="1" applyProtection="1">
      <alignment horizontal="left" wrapText="1" indent="1"/>
    </xf>
    <xf numFmtId="0" fontId="7" fillId="2" borderId="2" xfId="3" applyFont="1" applyFill="1" applyBorder="1" applyAlignment="1" applyProtection="1">
      <alignment horizontal="right" indent="1"/>
    </xf>
    <xf numFmtId="0" fontId="8" fillId="0" borderId="2" xfId="3" applyFont="1" applyFill="1" applyBorder="1" applyAlignment="1" applyProtection="1">
      <alignment horizontal="left" wrapText="1" indent="1"/>
    </xf>
    <xf numFmtId="0" fontId="10" fillId="0" borderId="1" xfId="4" applyBorder="1" applyAlignment="1" applyProtection="1"/>
    <xf numFmtId="0" fontId="11" fillId="0" borderId="0" xfId="0" applyFont="1" applyBorder="1" applyAlignment="1">
      <alignment wrapText="1"/>
    </xf>
    <xf numFmtId="0" fontId="7" fillId="2" borderId="1" xfId="3" applyFont="1" applyFill="1" applyBorder="1" applyAlignment="1" applyProtection="1"/>
    <xf numFmtId="0" fontId="10" fillId="0" borderId="1" xfId="4" applyFill="1" applyBorder="1" applyAlignment="1" applyProtection="1"/>
    <xf numFmtId="0" fontId="0" fillId="0" borderId="0" xfId="0" applyAlignment="1"/>
    <xf numFmtId="0" fontId="10" fillId="0" borderId="1" xfId="4" applyFill="1" applyBorder="1" applyAlignment="1" applyProtection="1">
      <alignment horizontal="left" vertical="center" wrapText="1"/>
    </xf>
    <xf numFmtId="0" fontId="10" fillId="0" borderId="1" xfId="4" applyFill="1" applyBorder="1" applyAlignment="1" applyProtection="1">
      <alignment horizontal="left" vertical="center"/>
    </xf>
    <xf numFmtId="0" fontId="3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/>
    <xf numFmtId="0" fontId="8" fillId="0" borderId="0" xfId="5" applyFont="1" applyFill="1" applyBorder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Border="1"/>
    <xf numFmtId="0" fontId="3" fillId="0" borderId="0" xfId="0" applyFont="1" applyBorder="1"/>
    <xf numFmtId="0" fontId="0" fillId="0" borderId="0" xfId="0" applyBorder="1"/>
    <xf numFmtId="0" fontId="8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0" applyNumberFormat="1" applyFont="1" applyBorder="1" applyAlignment="1" applyProtection="1">
      <alignment vertical="center" wrapText="1"/>
    </xf>
    <xf numFmtId="10" fontId="7" fillId="0" borderId="10" xfId="0" applyNumberFormat="1" applyFont="1" applyBorder="1" applyAlignment="1" applyProtection="1">
      <alignment vertical="center" wrapText="1"/>
    </xf>
    <xf numFmtId="0" fontId="8" fillId="3" borderId="9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10" fontId="7" fillId="0" borderId="1" xfId="0" applyNumberFormat="1" applyFont="1" applyFill="1" applyBorder="1" applyAlignment="1" applyProtection="1">
      <alignment vertical="center" wrapText="1"/>
    </xf>
    <xf numFmtId="165" fontId="0" fillId="0" borderId="0" xfId="1" applyNumberFormat="1" applyFont="1"/>
    <xf numFmtId="10" fontId="7" fillId="0" borderId="1" xfId="1" applyNumberFormat="1" applyFont="1" applyBorder="1" applyAlignment="1" applyProtection="1">
      <alignment vertical="center" wrapText="1"/>
    </xf>
    <xf numFmtId="10" fontId="0" fillId="0" borderId="0" xfId="0" applyNumberFormat="1"/>
    <xf numFmtId="9" fontId="0" fillId="0" borderId="0" xfId="0" applyNumberFormat="1"/>
    <xf numFmtId="10" fontId="17" fillId="0" borderId="1" xfId="0" applyNumberFormat="1" applyFont="1" applyBorder="1" applyAlignment="1" applyProtection="1">
      <alignment vertical="center" wrapText="1"/>
    </xf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10" fontId="7" fillId="0" borderId="12" xfId="0" applyNumberFormat="1" applyFont="1" applyBorder="1" applyAlignment="1" applyProtection="1">
      <alignment vertical="center" wrapText="1"/>
    </xf>
    <xf numFmtId="10" fontId="7" fillId="0" borderId="13" xfId="0" applyNumberFormat="1" applyFont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8" fillId="0" borderId="0" xfId="0" applyFont="1"/>
    <xf numFmtId="14" fontId="3" fillId="0" borderId="0" xfId="0" applyNumberFormat="1" applyFont="1"/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10" fontId="8" fillId="0" borderId="0" xfId="6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2" fillId="0" borderId="14" xfId="0" applyFont="1" applyFill="1" applyBorder="1" applyAlignment="1" applyProtection="1">
      <alignment horizontal="center" vertical="center"/>
    </xf>
    <xf numFmtId="0" fontId="8" fillId="0" borderId="7" xfId="0" applyFont="1" applyFill="1" applyBorder="1" applyProtection="1"/>
    <xf numFmtId="0" fontId="8" fillId="0" borderId="9" xfId="0" applyFont="1" applyFill="1" applyBorder="1" applyAlignment="1" applyProtection="1">
      <alignment horizontal="left" indent="1"/>
    </xf>
    <xf numFmtId="0" fontId="12" fillId="0" borderId="19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left" indent="1"/>
    </xf>
    <xf numFmtId="165" fontId="8" fillId="0" borderId="1" xfId="1" applyNumberFormat="1" applyFont="1" applyFill="1" applyBorder="1" applyAlignment="1" applyProtection="1">
      <alignment horizontal="right"/>
    </xf>
    <xf numFmtId="165" fontId="8" fillId="4" borderId="1" xfId="1" applyNumberFormat="1" applyFont="1" applyFill="1" applyBorder="1" applyAlignment="1" applyProtection="1">
      <alignment horizontal="right"/>
    </xf>
    <xf numFmtId="165" fontId="8" fillId="4" borderId="10" xfId="1" applyNumberFormat="1" applyFont="1" applyFill="1" applyBorder="1" applyAlignment="1" applyProtection="1">
      <alignment horizontal="right"/>
    </xf>
    <xf numFmtId="0" fontId="8" fillId="0" borderId="19" xfId="0" applyFont="1" applyFill="1" applyBorder="1" applyAlignment="1" applyProtection="1">
      <alignment horizontal="left" indent="2"/>
    </xf>
    <xf numFmtId="165" fontId="20" fillId="0" borderId="1" xfId="1" applyNumberFormat="1" applyFont="1" applyFill="1" applyBorder="1" applyAlignment="1" applyProtection="1">
      <alignment horizontal="right"/>
    </xf>
    <xf numFmtId="165" fontId="20" fillId="4" borderId="1" xfId="1" applyNumberFormat="1" applyFont="1" applyFill="1" applyBorder="1" applyAlignment="1" applyProtection="1">
      <alignment horizontal="right"/>
    </xf>
    <xf numFmtId="0" fontId="12" fillId="0" borderId="19" xfId="0" applyFont="1" applyFill="1" applyBorder="1" applyAlignment="1" applyProtection="1"/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8" fillId="0" borderId="10" xfId="1" applyNumberFormat="1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 indent="1"/>
    </xf>
    <xf numFmtId="0" fontId="12" fillId="0" borderId="20" xfId="0" applyFont="1" applyFill="1" applyBorder="1" applyAlignment="1" applyProtection="1"/>
    <xf numFmtId="165" fontId="8" fillId="4" borderId="12" xfId="1" applyNumberFormat="1" applyFont="1" applyFill="1" applyBorder="1" applyAlignment="1" applyProtection="1">
      <alignment horizontal="right"/>
    </xf>
    <xf numFmtId="165" fontId="8" fillId="4" borderId="13" xfId="1" applyNumberFormat="1" applyFont="1" applyFill="1" applyBorder="1" applyAlignment="1" applyProtection="1">
      <alignment horizontal="right"/>
    </xf>
    <xf numFmtId="165" fontId="3" fillId="0" borderId="0" xfId="0" applyNumberFormat="1" applyFont="1"/>
    <xf numFmtId="0" fontId="21" fillId="0" borderId="0" xfId="0" applyFont="1" applyAlignment="1">
      <alignment vertical="center"/>
    </xf>
    <xf numFmtId="0" fontId="8" fillId="0" borderId="0" xfId="0" applyFont="1" applyFill="1" applyBorder="1"/>
    <xf numFmtId="0" fontId="12" fillId="0" borderId="0" xfId="0" applyFont="1" applyAlignment="1">
      <alignment horizontal="center"/>
    </xf>
    <xf numFmtId="0" fontId="8" fillId="0" borderId="0" xfId="0" applyFont="1" applyFill="1" applyBorder="1" applyProtection="1">
      <protection locked="0"/>
    </xf>
    <xf numFmtId="0" fontId="19" fillId="0" borderId="0" xfId="0" applyFont="1" applyFill="1"/>
    <xf numFmtId="0" fontId="22" fillId="0" borderId="14" xfId="0" applyFont="1" applyFill="1" applyBorder="1" applyAlignment="1">
      <alignment horizontal="left" vertical="center" indent="1"/>
    </xf>
    <xf numFmtId="0" fontId="22" fillId="0" borderId="7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 inden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indent="1"/>
    </xf>
    <xf numFmtId="0" fontId="23" fillId="0" borderId="1" xfId="0" applyFont="1" applyFill="1" applyBorder="1" applyAlignment="1">
      <alignment horizontal="center"/>
    </xf>
    <xf numFmtId="38" fontId="22" fillId="0" borderId="1" xfId="0" applyNumberFormat="1" applyFont="1" applyFill="1" applyBorder="1" applyAlignment="1" applyProtection="1">
      <alignment horizontal="right"/>
      <protection locked="0"/>
    </xf>
    <xf numFmtId="38" fontId="22" fillId="0" borderId="10" xfId="0" applyNumberFormat="1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>
      <alignment horizontal="left" wrapText="1" indent="1"/>
    </xf>
    <xf numFmtId="165" fontId="22" fillId="0" borderId="1" xfId="1" applyNumberFormat="1" applyFont="1" applyFill="1" applyBorder="1" applyAlignment="1" applyProtection="1">
      <alignment horizontal="right"/>
      <protection locked="0"/>
    </xf>
    <xf numFmtId="165" fontId="24" fillId="0" borderId="1" xfId="1" applyNumberFormat="1" applyFont="1" applyFill="1" applyBorder="1" applyAlignment="1" applyProtection="1">
      <alignment horizontal="right"/>
      <protection locked="0"/>
    </xf>
    <xf numFmtId="165" fontId="22" fillId="4" borderId="1" xfId="1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 wrapText="1" indent="2"/>
    </xf>
    <xf numFmtId="0" fontId="25" fillId="0" borderId="0" xfId="0" applyFont="1"/>
    <xf numFmtId="0" fontId="23" fillId="0" borderId="1" xfId="0" applyFont="1" applyFill="1" applyBorder="1" applyAlignment="1"/>
    <xf numFmtId="43" fontId="25" fillId="0" borderId="0" xfId="0" applyNumberFormat="1" applyFont="1"/>
    <xf numFmtId="165" fontId="25" fillId="0" borderId="0" xfId="0" applyNumberFormat="1" applyFont="1"/>
    <xf numFmtId="0" fontId="23" fillId="0" borderId="1" xfId="0" applyFont="1" applyFill="1" applyBorder="1" applyAlignment="1">
      <alignment horizontal="left"/>
    </xf>
    <xf numFmtId="165" fontId="23" fillId="0" borderId="1" xfId="1" applyNumberFormat="1" applyFont="1" applyFill="1" applyBorder="1" applyAlignment="1">
      <alignment horizontal="center"/>
    </xf>
    <xf numFmtId="165" fontId="23" fillId="0" borderId="10" xfId="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indent="1"/>
    </xf>
    <xf numFmtId="165" fontId="22" fillId="4" borderId="1" xfId="1" applyNumberFormat="1" applyFont="1" applyFill="1" applyBorder="1" applyAlignment="1" applyProtection="1">
      <alignment horizontal="right"/>
    </xf>
    <xf numFmtId="165" fontId="22" fillId="0" borderId="10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indent="1"/>
    </xf>
    <xf numFmtId="0" fontId="23" fillId="0" borderId="1" xfId="0" applyFont="1" applyFill="1" applyBorder="1" applyAlignment="1">
      <alignment horizontal="left" inden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1"/>
    </xf>
    <xf numFmtId="0" fontId="23" fillId="0" borderId="12" xfId="0" applyFont="1" applyFill="1" applyBorder="1" applyAlignment="1"/>
    <xf numFmtId="165" fontId="22" fillId="4" borderId="12" xfId="1" applyNumberFormat="1" applyFont="1" applyFill="1" applyBorder="1" applyAlignment="1">
      <alignment horizontal="right"/>
    </xf>
    <xf numFmtId="0" fontId="0" fillId="0" borderId="0" xfId="0" quotePrefix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vertical="center" wrapText="1"/>
    </xf>
    <xf numFmtId="165" fontId="0" fillId="0" borderId="0" xfId="1" applyNumberFormat="1" applyFont="1" applyFill="1"/>
    <xf numFmtId="0" fontId="7" fillId="0" borderId="24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 applyProtection="1">
      <alignment horizontal="left" vertical="center" indent="1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165" fontId="26" fillId="0" borderId="0" xfId="1" applyNumberFormat="1" applyFont="1" applyFill="1"/>
    <xf numFmtId="0" fontId="3" fillId="0" borderId="11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vertical="center" wrapText="1"/>
    </xf>
    <xf numFmtId="165" fontId="8" fillId="0" borderId="12" xfId="1" applyNumberFormat="1" applyFont="1" applyFill="1" applyBorder="1" applyAlignment="1" applyProtection="1">
      <alignment horizontal="right"/>
    </xf>
    <xf numFmtId="0" fontId="25" fillId="0" borderId="0" xfId="0" applyFont="1" applyBorder="1"/>
    <xf numFmtId="0" fontId="3" fillId="0" borderId="5" xfId="0" applyFont="1" applyBorder="1"/>
    <xf numFmtId="0" fontId="14" fillId="0" borderId="5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3" fontId="28" fillId="4" borderId="1" xfId="0" applyNumberFormat="1" applyFont="1" applyFill="1" applyBorder="1" applyAlignment="1">
      <alignment vertical="center" wrapText="1"/>
    </xf>
    <xf numFmtId="14" fontId="7" fillId="2" borderId="1" xfId="7" quotePrefix="1" applyNumberFormat="1" applyFont="1" applyFill="1" applyBorder="1" applyAlignment="1" applyProtection="1">
      <alignment horizontal="left" vertical="center" wrapText="1" indent="2"/>
      <protection locked="0"/>
    </xf>
    <xf numFmtId="3" fontId="28" fillId="0" borderId="1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14" fontId="7" fillId="2" borderId="1" xfId="7" quotePrefix="1" applyNumberFormat="1" applyFont="1" applyFill="1" applyBorder="1" applyAlignment="1" applyProtection="1">
      <alignment horizontal="left" vertical="center" wrapText="1" indent="3"/>
      <protection locked="0"/>
    </xf>
    <xf numFmtId="3" fontId="28" fillId="0" borderId="1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 indent="2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3" fontId="28" fillId="4" borderId="12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26" xfId="0" applyFont="1" applyBorder="1"/>
    <xf numFmtId="0" fontId="8" fillId="0" borderId="29" xfId="0" applyFont="1" applyBorder="1" applyAlignment="1">
      <alignment vertical="center"/>
    </xf>
    <xf numFmtId="0" fontId="30" fillId="0" borderId="30" xfId="0" applyFont="1" applyBorder="1" applyAlignment="1">
      <alignment wrapText="1"/>
    </xf>
    <xf numFmtId="0" fontId="3" fillId="0" borderId="31" xfId="0" applyFont="1" applyBorder="1" applyAlignment="1"/>
    <xf numFmtId="0" fontId="8" fillId="0" borderId="30" xfId="0" applyFont="1" applyBorder="1" applyAlignment="1">
      <alignment wrapText="1"/>
    </xf>
    <xf numFmtId="0" fontId="8" fillId="0" borderId="31" xfId="0" applyFont="1" applyBorder="1" applyAlignment="1"/>
    <xf numFmtId="0" fontId="8" fillId="0" borderId="31" xfId="0" applyFont="1" applyBorder="1" applyAlignment="1">
      <alignment wrapText="1"/>
    </xf>
    <xf numFmtId="9" fontId="3" fillId="0" borderId="31" xfId="0" applyNumberFormat="1" applyFont="1" applyBorder="1" applyAlignment="1"/>
    <xf numFmtId="0" fontId="8" fillId="0" borderId="32" xfId="0" applyFont="1" applyBorder="1"/>
    <xf numFmtId="0" fontId="30" fillId="0" borderId="33" xfId="0" applyFont="1" applyBorder="1" applyAlignment="1">
      <alignment wrapText="1"/>
    </xf>
    <xf numFmtId="0" fontId="3" fillId="0" borderId="34" xfId="0" applyFont="1" applyBorder="1" applyAlignment="1"/>
    <xf numFmtId="0" fontId="8" fillId="0" borderId="0" xfId="5" applyFont="1" applyFill="1" applyBorder="1" applyAlignment="1" applyProtection="1"/>
    <xf numFmtId="0" fontId="13" fillId="0" borderId="0" xfId="5" applyFont="1" applyFill="1" applyBorder="1" applyAlignment="1" applyProtection="1">
      <alignment horizontal="left" vertical="center"/>
    </xf>
    <xf numFmtId="0" fontId="8" fillId="0" borderId="0" xfId="5" applyFont="1" applyFill="1" applyBorder="1" applyAlignment="1" applyProtection="1">
      <alignment horizontal="left"/>
    </xf>
    <xf numFmtId="0" fontId="19" fillId="0" borderId="0" xfId="5" applyFont="1" applyFill="1" applyBorder="1" applyAlignment="1" applyProtection="1">
      <alignment horizontal="right"/>
    </xf>
    <xf numFmtId="0" fontId="7" fillId="0" borderId="14" xfId="5" applyFont="1" applyFill="1" applyBorder="1" applyAlignment="1" applyProtection="1">
      <alignment vertical="center"/>
    </xf>
    <xf numFmtId="0" fontId="7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 applyProtection="1">
      <alignment vertical="center"/>
    </xf>
    <xf numFmtId="0" fontId="0" fillId="0" borderId="9" xfId="0" applyBorder="1"/>
    <xf numFmtId="0" fontId="0" fillId="0" borderId="0" xfId="0" applyFont="1" applyFill="1"/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0" fontId="31" fillId="0" borderId="24" xfId="0" applyFont="1" applyBorder="1" applyAlignment="1">
      <alignment vertical="center" wrapText="1"/>
    </xf>
    <xf numFmtId="165" fontId="17" fillId="0" borderId="1" xfId="1" applyNumberFormat="1" applyFont="1" applyBorder="1" applyAlignment="1">
      <alignment horizontal="center" vertical="center"/>
    </xf>
    <xf numFmtId="165" fontId="17" fillId="0" borderId="10" xfId="1" applyNumberFormat="1" applyFont="1" applyBorder="1" applyAlignment="1">
      <alignment horizontal="center" vertical="center"/>
    </xf>
    <xf numFmtId="0" fontId="0" fillId="0" borderId="11" xfId="0" applyBorder="1"/>
    <xf numFmtId="0" fontId="14" fillId="4" borderId="25" xfId="0" applyFont="1" applyFill="1" applyBorder="1" applyAlignment="1">
      <alignment vertical="center" wrapText="1"/>
    </xf>
    <xf numFmtId="164" fontId="14" fillId="4" borderId="12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5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4" fillId="4" borderId="16" xfId="0" applyFont="1" applyFill="1" applyBorder="1" applyAlignment="1">
      <alignment wrapText="1"/>
    </xf>
    <xf numFmtId="164" fontId="0" fillId="4" borderId="8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Fill="1" applyBorder="1" applyAlignment="1"/>
    <xf numFmtId="164" fontId="0" fillId="0" borderId="10" xfId="0" applyNumberForma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16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14" fillId="4" borderId="35" xfId="0" applyFont="1" applyFill="1" applyBorder="1" applyAlignment="1">
      <alignment wrapText="1"/>
    </xf>
    <xf numFmtId="164" fontId="0" fillId="4" borderId="10" xfId="0" applyNumberForma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165" fontId="0" fillId="0" borderId="10" xfId="1" applyNumberFormat="1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4" fillId="4" borderId="39" xfId="0" applyFont="1" applyFill="1" applyBorder="1" applyAlignment="1">
      <alignment wrapText="1"/>
    </xf>
    <xf numFmtId="164" fontId="0" fillId="4" borderId="13" xfId="0" applyNumberFormat="1" applyFill="1" applyBorder="1" applyAlignment="1">
      <alignment horizontal="center" vertical="center" wrapText="1"/>
    </xf>
    <xf numFmtId="166" fontId="0" fillId="0" borderId="0" xfId="0" applyNumberFormat="1"/>
    <xf numFmtId="0" fontId="6" fillId="0" borderId="0" xfId="0" applyFont="1" applyAlignment="1">
      <alignment vertical="center"/>
    </xf>
    <xf numFmtId="43" fontId="0" fillId="0" borderId="0" xfId="1" applyFont="1"/>
    <xf numFmtId="0" fontId="14" fillId="0" borderId="0" xfId="0" applyFont="1" applyAlignment="1">
      <alignment horizontal="center"/>
    </xf>
    <xf numFmtId="0" fontId="7" fillId="0" borderId="14" xfId="8" applyFont="1" applyFill="1" applyBorder="1" applyAlignment="1" applyProtection="1">
      <alignment horizontal="center" vertical="center"/>
      <protection locked="0"/>
    </xf>
    <xf numFmtId="0" fontId="13" fillId="2" borderId="22" xfId="8" applyFont="1" applyFill="1" applyBorder="1" applyAlignment="1" applyProtection="1">
      <alignment horizontal="center" vertical="center" wrapText="1"/>
      <protection locked="0"/>
    </xf>
    <xf numFmtId="165" fontId="7" fillId="2" borderId="8" xfId="9" applyNumberFormat="1" applyFont="1" applyFill="1" applyBorder="1" applyAlignment="1" applyProtection="1">
      <alignment horizontal="center" vertical="center"/>
      <protection locked="0"/>
    </xf>
    <xf numFmtId="0" fontId="7" fillId="0" borderId="9" xfId="8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top" wrapText="1"/>
    </xf>
    <xf numFmtId="165" fontId="7" fillId="4" borderId="10" xfId="1" applyNumberFormat="1" applyFont="1" applyFill="1" applyBorder="1" applyAlignment="1" applyProtection="1">
      <alignment vertical="top"/>
    </xf>
    <xf numFmtId="0" fontId="7" fillId="2" borderId="23" xfId="10" applyFont="1" applyFill="1" applyBorder="1" applyAlignment="1" applyProtection="1">
      <alignment vertical="center" wrapText="1"/>
      <protection locked="0"/>
    </xf>
    <xf numFmtId="165" fontId="7" fillId="2" borderId="10" xfId="1" applyNumberFormat="1" applyFont="1" applyFill="1" applyBorder="1" applyAlignment="1" applyProtection="1">
      <alignment vertical="top"/>
      <protection locked="0"/>
    </xf>
    <xf numFmtId="0" fontId="7" fillId="2" borderId="1" xfId="10" applyFont="1" applyFill="1" applyBorder="1" applyAlignment="1" applyProtection="1">
      <alignment vertical="center" wrapText="1"/>
      <protection locked="0"/>
    </xf>
    <xf numFmtId="0" fontId="7" fillId="2" borderId="2" xfId="10" applyFont="1" applyFill="1" applyBorder="1" applyAlignment="1" applyProtection="1">
      <alignment vertical="center" wrapText="1"/>
      <protection locked="0"/>
    </xf>
    <xf numFmtId="165" fontId="17" fillId="2" borderId="10" xfId="1" applyNumberFormat="1" applyFont="1" applyFill="1" applyBorder="1" applyAlignment="1" applyProtection="1">
      <alignment vertical="top"/>
      <protection locked="0"/>
    </xf>
    <xf numFmtId="165" fontId="7" fillId="4" borderId="10" xfId="1" applyNumberFormat="1" applyFont="1" applyFill="1" applyBorder="1" applyAlignment="1" applyProtection="1">
      <alignment vertical="top" wrapText="1"/>
    </xf>
    <xf numFmtId="0" fontId="7" fillId="2" borderId="23" xfId="10" applyFont="1" applyFill="1" applyBorder="1" applyAlignment="1" applyProtection="1">
      <alignment horizontal="left" vertical="center" wrapText="1"/>
      <protection locked="0"/>
    </xf>
    <xf numFmtId="165" fontId="7" fillId="2" borderId="10" xfId="1" applyNumberFormat="1" applyFont="1" applyFill="1" applyBorder="1" applyAlignment="1" applyProtection="1">
      <alignment vertical="top" wrapText="1"/>
      <protection locked="0"/>
    </xf>
    <xf numFmtId="0" fontId="7" fillId="2" borderId="1" xfId="10" applyFont="1" applyFill="1" applyBorder="1" applyAlignment="1" applyProtection="1">
      <alignment horizontal="left" vertical="center" wrapText="1"/>
      <protection locked="0"/>
    </xf>
    <xf numFmtId="0" fontId="7" fillId="2" borderId="1" xfId="8" applyFont="1" applyFill="1" applyBorder="1" applyAlignment="1" applyProtection="1">
      <alignment horizontal="left" vertical="center" wrapText="1"/>
      <protection locked="0"/>
    </xf>
    <xf numFmtId="0" fontId="7" fillId="0" borderId="1" xfId="10" applyFont="1" applyBorder="1" applyAlignment="1" applyProtection="1">
      <alignment horizontal="left" vertical="center" wrapText="1"/>
      <protection locked="0"/>
    </xf>
    <xf numFmtId="0" fontId="7" fillId="0" borderId="0" xfId="10" applyFont="1" applyBorder="1" applyAlignment="1" applyProtection="1">
      <alignment wrapText="1"/>
      <protection locked="0"/>
    </xf>
    <xf numFmtId="0" fontId="7" fillId="0" borderId="1" xfId="10" applyFont="1" applyFill="1" applyBorder="1" applyAlignment="1" applyProtection="1">
      <alignment horizontal="left" vertical="center" wrapText="1"/>
      <protection locked="0"/>
    </xf>
    <xf numFmtId="1" fontId="13" fillId="4" borderId="1" xfId="9" applyNumberFormat="1" applyFont="1" applyFill="1" applyBorder="1" applyAlignment="1" applyProtection="1">
      <alignment horizontal="left" vertical="top" wrapText="1"/>
    </xf>
    <xf numFmtId="0" fontId="7" fillId="0" borderId="9" xfId="8" applyFont="1" applyFill="1" applyBorder="1" applyAlignment="1" applyProtection="1">
      <alignment horizontal="center" vertical="center" wrapText="1"/>
      <protection locked="0"/>
    </xf>
    <xf numFmtId="0" fontId="13" fillId="2" borderId="1" xfId="10" applyFont="1" applyFill="1" applyBorder="1" applyAlignment="1" applyProtection="1">
      <alignment vertical="center" wrapText="1"/>
      <protection locked="0"/>
    </xf>
    <xf numFmtId="165" fontId="0" fillId="0" borderId="0" xfId="1" applyNumberFormat="1" applyFont="1" applyAlignment="1">
      <alignment wrapText="1"/>
    </xf>
    <xf numFmtId="165" fontId="7" fillId="4" borderId="10" xfId="1" applyNumberFormat="1" applyFont="1" applyFill="1" applyBorder="1" applyAlignment="1" applyProtection="1">
      <alignment vertical="top" wrapText="1"/>
      <protection locked="0"/>
    </xf>
    <xf numFmtId="165" fontId="0" fillId="0" borderId="0" xfId="0" applyNumberFormat="1" applyAlignment="1">
      <alignment wrapText="1"/>
    </xf>
    <xf numFmtId="0" fontId="7" fillId="2" borderId="1" xfId="10" applyFont="1" applyFill="1" applyBorder="1" applyAlignment="1" applyProtection="1">
      <alignment horizontal="left" vertical="center" wrapText="1" indent="3"/>
      <protection locked="0"/>
    </xf>
    <xf numFmtId="0" fontId="13" fillId="4" borderId="1" xfId="10" applyFont="1" applyFill="1" applyBorder="1" applyAlignment="1" applyProtection="1">
      <alignment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0" fontId="13" fillId="4" borderId="12" xfId="10" applyFont="1" applyFill="1" applyBorder="1" applyAlignment="1" applyProtection="1">
      <alignment vertical="center" wrapText="1"/>
      <protection locked="0"/>
    </xf>
    <xf numFmtId="165" fontId="7" fillId="4" borderId="13" xfId="1" applyNumberFormat="1" applyFont="1" applyFill="1" applyBorder="1" applyAlignment="1" applyProtection="1">
      <alignment vertical="top" wrapText="1"/>
    </xf>
    <xf numFmtId="165" fontId="3" fillId="0" borderId="0" xfId="1" applyNumberFormat="1" applyFont="1"/>
    <xf numFmtId="0" fontId="12" fillId="0" borderId="0" xfId="5" applyFont="1" applyFill="1" applyBorder="1" applyProtection="1"/>
    <xf numFmtId="0" fontId="6" fillId="0" borderId="0" xfId="0" applyFont="1"/>
    <xf numFmtId="0" fontId="12" fillId="0" borderId="0" xfId="5" applyFont="1" applyFill="1" applyBorder="1" applyAlignment="1" applyProtection="1"/>
    <xf numFmtId="0" fontId="12" fillId="0" borderId="0" xfId="5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21" fillId="0" borderId="1" xfId="0" applyNumberFormat="1" applyFont="1" applyBorder="1" applyAlignment="1">
      <alignment vertical="center"/>
    </xf>
    <xf numFmtId="167" fontId="21" fillId="0" borderId="10" xfId="0" applyNumberFormat="1" applyFont="1" applyBorder="1" applyAlignment="1">
      <alignment horizontal="center"/>
    </xf>
    <xf numFmtId="167" fontId="26" fillId="0" borderId="0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167" fontId="19" fillId="5" borderId="10" xfId="0" applyNumberFormat="1" applyFont="1" applyFill="1" applyBorder="1" applyAlignment="1">
      <alignment horizontal="center"/>
    </xf>
    <xf numFmtId="165" fontId="21" fillId="0" borderId="1" xfId="1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right" wrapText="1"/>
    </xf>
    <xf numFmtId="164" fontId="21" fillId="0" borderId="1" xfId="0" applyNumberFormat="1" applyFont="1" applyFill="1" applyBorder="1" applyAlignment="1">
      <alignment vertical="center"/>
    </xf>
    <xf numFmtId="0" fontId="32" fillId="4" borderId="1" xfId="0" applyFont="1" applyFill="1" applyBorder="1" applyAlignment="1">
      <alignment wrapText="1"/>
    </xf>
    <xf numFmtId="164" fontId="32" fillId="4" borderId="1" xfId="0" applyNumberFormat="1" applyFont="1" applyFill="1" applyBorder="1" applyAlignment="1">
      <alignment vertical="center"/>
    </xf>
    <xf numFmtId="167" fontId="32" fillId="4" borderId="1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32" fillId="4" borderId="12" xfId="0" applyFont="1" applyFill="1" applyBorder="1" applyAlignment="1">
      <alignment wrapText="1"/>
    </xf>
    <xf numFmtId="164" fontId="32" fillId="4" borderId="12" xfId="0" applyNumberFormat="1" applyFont="1" applyFill="1" applyBorder="1" applyAlignment="1">
      <alignment vertical="center"/>
    </xf>
    <xf numFmtId="167" fontId="32" fillId="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41" xfId="0" applyFont="1" applyBorder="1"/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/>
    <xf numFmtId="9" fontId="36" fillId="0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2" borderId="1" xfId="10" applyFont="1" applyFill="1" applyBorder="1" applyAlignment="1" applyProtection="1">
      <alignment horizontal="left" vertical="center"/>
      <protection locked="0"/>
    </xf>
    <xf numFmtId="165" fontId="3" fillId="0" borderId="1" xfId="1" applyNumberFormat="1" applyFont="1" applyBorder="1" applyAlignment="1"/>
    <xf numFmtId="164" fontId="3" fillId="0" borderId="1" xfId="0" applyNumberFormat="1" applyFont="1" applyBorder="1" applyAlignment="1"/>
    <xf numFmtId="164" fontId="3" fillId="0" borderId="19" xfId="0" applyNumberFormat="1" applyFont="1" applyBorder="1" applyAlignment="1"/>
    <xf numFmtId="167" fontId="3" fillId="0" borderId="10" xfId="0" applyNumberFormat="1" applyFont="1" applyBorder="1" applyAlignment="1"/>
    <xf numFmtId="0" fontId="25" fillId="0" borderId="0" xfId="0" applyFont="1" applyAlignment="1"/>
    <xf numFmtId="0" fontId="7" fillId="2" borderId="11" xfId="8" applyFont="1" applyFill="1" applyBorder="1" applyAlignment="1" applyProtection="1">
      <alignment horizontal="left" vertical="center"/>
      <protection locked="0"/>
    </xf>
    <xf numFmtId="0" fontId="13" fillId="2" borderId="12" xfId="11" applyFont="1" applyFill="1" applyBorder="1" applyAlignment="1" applyProtection="1">
      <protection locked="0"/>
    </xf>
    <xf numFmtId="164" fontId="3" fillId="4" borderId="12" xfId="0" applyNumberFormat="1" applyFont="1" applyFill="1" applyBorder="1"/>
    <xf numFmtId="165" fontId="3" fillId="4" borderId="13" xfId="1" applyNumberFormat="1" applyFont="1" applyFill="1" applyBorder="1"/>
    <xf numFmtId="0" fontId="14" fillId="0" borderId="0" xfId="0" applyFont="1" applyFill="1" applyAlignment="1">
      <alignment horizontal="center" wrapText="1"/>
    </xf>
    <xf numFmtId="0" fontId="3" fillId="0" borderId="14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 vertical="center"/>
    </xf>
    <xf numFmtId="165" fontId="7" fillId="2" borderId="9" xfId="12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" applyFont="1" applyBorder="1" applyAlignment="1" applyProtection="1">
      <alignment horizontal="center" vertical="center" wrapText="1"/>
      <protection locked="0"/>
    </xf>
    <xf numFmtId="0" fontId="7" fillId="0" borderId="1" xfId="10" applyFont="1" applyFill="1" applyBorder="1" applyAlignment="1" applyProtection="1">
      <alignment horizontal="center" vertical="center" wrapText="1"/>
      <protection locked="0"/>
    </xf>
    <xf numFmtId="165" fontId="7" fillId="2" borderId="10" xfId="12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3" applyFont="1" applyFill="1" applyBorder="1" applyAlignment="1" applyProtection="1">
      <alignment horizontal="right" vertical="center"/>
      <protection locked="0"/>
    </xf>
    <xf numFmtId="0" fontId="7" fillId="2" borderId="10" xfId="10" applyFont="1" applyFill="1" applyBorder="1" applyAlignment="1" applyProtection="1">
      <alignment horizontal="left" vertical="center"/>
      <protection locked="0"/>
    </xf>
    <xf numFmtId="165" fontId="3" fillId="0" borderId="9" xfId="1" applyNumberFormat="1" applyFont="1" applyBorder="1" applyAlignment="1"/>
    <xf numFmtId="164" fontId="3" fillId="0" borderId="9" xfId="0" applyNumberFormat="1" applyFont="1" applyBorder="1" applyAlignment="1"/>
    <xf numFmtId="164" fontId="3" fillId="0" borderId="10" xfId="0" applyNumberFormat="1" applyFont="1" applyBorder="1" applyAlignment="1"/>
    <xf numFmtId="165" fontId="3" fillId="0" borderId="47" xfId="1" applyNumberFormat="1" applyFont="1" applyBorder="1" applyAlignment="1">
      <alignment wrapText="1"/>
    </xf>
    <xf numFmtId="164" fontId="3" fillId="0" borderId="47" xfId="0" applyNumberFormat="1" applyFont="1" applyBorder="1" applyAlignment="1"/>
    <xf numFmtId="164" fontId="3" fillId="4" borderId="46" xfId="0" applyNumberFormat="1" applyFont="1" applyFill="1" applyBorder="1" applyAlignment="1"/>
    <xf numFmtId="0" fontId="13" fillId="2" borderId="13" xfId="11" applyFont="1" applyFill="1" applyBorder="1" applyAlignment="1" applyProtection="1">
      <protection locked="0"/>
    </xf>
    <xf numFmtId="164" fontId="3" fillId="4" borderId="11" xfId="0" applyNumberFormat="1" applyFont="1" applyFill="1" applyBorder="1"/>
    <xf numFmtId="164" fontId="3" fillId="4" borderId="13" xfId="0" applyNumberFormat="1" applyFont="1" applyFill="1" applyBorder="1"/>
    <xf numFmtId="164" fontId="3" fillId="4" borderId="48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5" fillId="0" borderId="0" xfId="0" applyFont="1" applyAlignment="1">
      <alignment wrapText="1"/>
    </xf>
    <xf numFmtId="0" fontId="3" fillId="0" borderId="2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/>
    <xf numFmtId="165" fontId="3" fillId="0" borderId="1" xfId="1" applyNumberFormat="1" applyFont="1" applyBorder="1"/>
    <xf numFmtId="165" fontId="3" fillId="0" borderId="1" xfId="1" applyNumberFormat="1" applyFont="1" applyFill="1" applyBorder="1"/>
    <xf numFmtId="165" fontId="3" fillId="0" borderId="19" xfId="1" applyNumberFormat="1" applyFont="1" applyBorder="1"/>
    <xf numFmtId="9" fontId="3" fillId="0" borderId="10" xfId="2" applyFont="1" applyBorder="1"/>
    <xf numFmtId="0" fontId="3" fillId="0" borderId="11" xfId="0" applyFont="1" applyBorder="1"/>
    <xf numFmtId="0" fontId="14" fillId="0" borderId="12" xfId="0" applyFont="1" applyBorder="1"/>
    <xf numFmtId="165" fontId="3" fillId="4" borderId="12" xfId="1" applyNumberFormat="1" applyFont="1" applyFill="1" applyBorder="1"/>
    <xf numFmtId="9" fontId="3" fillId="4" borderId="13" xfId="1" applyNumberFormat="1" applyFont="1" applyFill="1" applyBorder="1"/>
    <xf numFmtId="0" fontId="13" fillId="0" borderId="0" xfId="7" applyFont="1" applyFill="1" applyBorder="1" applyAlignment="1" applyProtection="1">
      <protection locked="0"/>
    </xf>
    <xf numFmtId="0" fontId="7" fillId="0" borderId="0" xfId="13" applyFont="1" applyFill="1" applyProtection="1">
      <protection locked="0"/>
    </xf>
    <xf numFmtId="0" fontId="13" fillId="0" borderId="40" xfId="7" applyFont="1" applyFill="1" applyBorder="1" applyAlignment="1" applyProtection="1">
      <protection locked="0"/>
    </xf>
    <xf numFmtId="0" fontId="7" fillId="0" borderId="7" xfId="7" applyFont="1" applyFill="1" applyBorder="1" applyAlignment="1" applyProtection="1">
      <alignment horizontal="center"/>
      <protection locked="0"/>
    </xf>
    <xf numFmtId="0" fontId="7" fillId="0" borderId="8" xfId="13" applyFont="1" applyFill="1" applyBorder="1" applyAlignment="1" applyProtection="1">
      <alignment horizontal="center"/>
      <protection locked="0"/>
    </xf>
    <xf numFmtId="0" fontId="7" fillId="2" borderId="9" xfId="14" applyFont="1" applyFill="1" applyBorder="1" applyAlignment="1" applyProtection="1">
      <alignment horizontal="left" vertical="center"/>
      <protection locked="0"/>
    </xf>
    <xf numFmtId="0" fontId="13" fillId="2" borderId="1" xfId="14" applyFont="1" applyFill="1" applyBorder="1" applyAlignment="1" applyProtection="1">
      <alignment horizontal="center" vertical="center"/>
      <protection locked="0"/>
    </xf>
    <xf numFmtId="0" fontId="3" fillId="2" borderId="1" xfId="14" applyFont="1" applyFill="1" applyBorder="1" applyAlignment="1" applyProtection="1">
      <alignment horizontal="center" vertical="center" wrapText="1"/>
      <protection locked="0"/>
    </xf>
    <xf numFmtId="0" fontId="7" fillId="2" borderId="10" xfId="13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right" vertical="center"/>
      <protection locked="0"/>
    </xf>
    <xf numFmtId="164" fontId="35" fillId="0" borderId="1" xfId="7" applyNumberFormat="1" applyFont="1" applyFill="1" applyBorder="1" applyAlignment="1">
      <alignment horizontal="right" wrapText="1"/>
    </xf>
    <xf numFmtId="164" fontId="7" fillId="4" borderId="10" xfId="12" applyNumberFormat="1" applyFont="1" applyFill="1" applyBorder="1" applyProtection="1">
      <protection locked="0"/>
    </xf>
    <xf numFmtId="3" fontId="7" fillId="2" borderId="1" xfId="11" applyNumberFormat="1" applyFont="1" applyFill="1" applyBorder="1" applyAlignment="1" applyProtection="1">
      <alignment horizontal="left" wrapText="1"/>
      <protection locked="0"/>
    </xf>
    <xf numFmtId="0" fontId="7" fillId="2" borderId="11" xfId="8" applyFont="1" applyFill="1" applyBorder="1" applyAlignment="1" applyProtection="1">
      <alignment horizontal="right" vertical="center"/>
      <protection locked="0"/>
    </xf>
    <xf numFmtId="164" fontId="13" fillId="4" borderId="12" xfId="11" applyNumberFormat="1" applyFont="1" applyFill="1" applyBorder="1" applyAlignment="1" applyProtection="1">
      <protection locked="0"/>
    </xf>
    <xf numFmtId="164" fontId="7" fillId="4" borderId="13" xfId="12" applyNumberFormat="1" applyFont="1" applyFill="1" applyBorder="1" applyProtection="1">
      <protection locked="0"/>
    </xf>
    <xf numFmtId="0" fontId="32" fillId="0" borderId="0" xfId="0" applyFont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" fillId="2" borderId="9" xfId="13" applyFont="1" applyFill="1" applyBorder="1" applyAlignment="1" applyProtection="1">
      <alignment horizontal="left" vertical="center"/>
      <protection locked="0"/>
    </xf>
    <xf numFmtId="0" fontId="8" fillId="2" borderId="1" xfId="13" applyFont="1" applyFill="1" applyBorder="1" applyProtection="1">
      <protection locked="0"/>
    </xf>
    <xf numFmtId="0" fontId="8" fillId="0" borderId="1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 applyProtection="1">
      <alignment horizontal="center" vertical="center" wrapText="1"/>
      <protection locked="0"/>
    </xf>
    <xf numFmtId="3" fontId="8" fillId="2" borderId="1" xfId="12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14" applyNumberFormat="1" applyFont="1" applyFill="1" applyBorder="1" applyAlignment="1" applyProtection="1">
      <alignment horizontal="center" vertical="center"/>
      <protection locked="0"/>
    </xf>
    <xf numFmtId="0" fontId="8" fillId="2" borderId="10" xfId="10" applyFont="1" applyFill="1" applyBorder="1" applyAlignment="1" applyProtection="1">
      <alignment horizontal="center" vertical="center" wrapText="1"/>
      <protection locked="0"/>
    </xf>
    <xf numFmtId="0" fontId="8" fillId="2" borderId="9" xfId="13" applyFont="1" applyFill="1" applyBorder="1" applyAlignment="1" applyProtection="1">
      <alignment horizontal="right" vertical="center"/>
      <protection locked="0"/>
    </xf>
    <xf numFmtId="0" fontId="12" fillId="2" borderId="1" xfId="10" applyFont="1" applyFill="1" applyBorder="1" applyAlignment="1" applyProtection="1">
      <alignment wrapText="1"/>
      <protection locked="0"/>
    </xf>
    <xf numFmtId="164" fontId="8" fillId="4" borderId="1" xfId="13" applyNumberFormat="1" applyFont="1" applyFill="1" applyBorder="1" applyProtection="1">
      <protection locked="0"/>
    </xf>
    <xf numFmtId="165" fontId="8" fillId="4" borderId="1" xfId="1" applyNumberFormat="1" applyFont="1" applyFill="1" applyBorder="1" applyProtection="1">
      <protection locked="0"/>
    </xf>
    <xf numFmtId="165" fontId="8" fillId="2" borderId="1" xfId="1" applyNumberFormat="1" applyFont="1" applyFill="1" applyBorder="1" applyProtection="1">
      <protection locked="0"/>
    </xf>
    <xf numFmtId="165" fontId="8" fillId="4" borderId="10" xfId="1" applyNumberFormat="1" applyFont="1" applyFill="1" applyBorder="1" applyProtection="1">
      <protection locked="0"/>
    </xf>
    <xf numFmtId="0" fontId="8" fillId="2" borderId="1" xfId="10" applyFont="1" applyFill="1" applyBorder="1" applyAlignment="1" applyProtection="1">
      <alignment horizontal="left" vertical="center" wrapText="1"/>
      <protection locked="0"/>
    </xf>
    <xf numFmtId="168" fontId="8" fillId="2" borderId="1" xfId="7" applyNumberFormat="1" applyFont="1" applyFill="1" applyBorder="1" applyAlignment="1" applyProtection="1">
      <alignment horizontal="right" wrapText="1"/>
      <protection locked="0"/>
    </xf>
    <xf numFmtId="0" fontId="8" fillId="0" borderId="1" xfId="10" applyFont="1" applyFill="1" applyBorder="1" applyAlignment="1" applyProtection="1">
      <alignment horizontal="left" vertical="center" wrapText="1"/>
      <protection locked="0"/>
    </xf>
    <xf numFmtId="168" fontId="8" fillId="6" borderId="1" xfId="7" applyNumberFormat="1" applyFont="1" applyFill="1" applyBorder="1" applyAlignment="1" applyProtection="1">
      <alignment horizontal="right" wrapText="1"/>
      <protection locked="0"/>
    </xf>
    <xf numFmtId="0" fontId="12" fillId="0" borderId="1" xfId="10" applyFont="1" applyFill="1" applyBorder="1" applyAlignment="1" applyProtection="1">
      <alignment wrapText="1"/>
      <protection locked="0"/>
    </xf>
    <xf numFmtId="165" fontId="8" fillId="0" borderId="1" xfId="1" applyNumberFormat="1" applyFont="1" applyFill="1" applyBorder="1" applyProtection="1">
      <protection locked="0"/>
    </xf>
    <xf numFmtId="0" fontId="8" fillId="2" borderId="11" xfId="8" applyFont="1" applyFill="1" applyBorder="1" applyAlignment="1" applyProtection="1">
      <alignment horizontal="right" vertical="center"/>
      <protection locked="0"/>
    </xf>
    <xf numFmtId="0" fontId="12" fillId="2" borderId="12" xfId="11" applyFont="1" applyFill="1" applyBorder="1" applyAlignment="1" applyProtection="1">
      <protection locked="0"/>
    </xf>
    <xf numFmtId="164" fontId="12" fillId="4" borderId="12" xfId="11" applyNumberFormat="1" applyFont="1" applyFill="1" applyBorder="1" applyAlignment="1" applyProtection="1">
      <protection locked="0"/>
    </xf>
    <xf numFmtId="3" fontId="12" fillId="4" borderId="12" xfId="11" applyNumberFormat="1" applyFont="1" applyFill="1" applyBorder="1" applyAlignment="1" applyProtection="1">
      <protection locked="0"/>
    </xf>
    <xf numFmtId="164" fontId="12" fillId="4" borderId="12" xfId="12" applyNumberFormat="1" applyFont="1" applyFill="1" applyBorder="1" applyAlignment="1" applyProtection="1">
      <protection locked="0"/>
    </xf>
    <xf numFmtId="165" fontId="8" fillId="2" borderId="12" xfId="1" applyNumberFormat="1" applyFont="1" applyFill="1" applyBorder="1" applyProtection="1">
      <protection locked="0"/>
    </xf>
    <xf numFmtId="165" fontId="8" fillId="4" borderId="13" xfId="1" applyNumberFormat="1" applyFont="1" applyFill="1" applyBorder="1" applyProtection="1">
      <protection locked="0"/>
    </xf>
    <xf numFmtId="164" fontId="6" fillId="0" borderId="0" xfId="0" applyNumberFormat="1" applyFont="1"/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8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2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30" fillId="0" borderId="30" xfId="0" applyFont="1" applyBorder="1" applyAlignment="1">
      <alignment wrapText="1"/>
    </xf>
    <xf numFmtId="0" fontId="30" fillId="0" borderId="31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9" fontId="3" fillId="0" borderId="24" xfId="0" applyNumberFormat="1" applyFont="1" applyBorder="1" applyAlignment="1">
      <alignment horizontal="center" vertical="center"/>
    </xf>
    <xf numFmtId="0" fontId="35" fillId="2" borderId="36" xfId="10" applyFont="1" applyFill="1" applyBorder="1" applyAlignment="1" applyProtection="1">
      <alignment horizontal="center" vertical="center" wrapText="1"/>
      <protection locked="0"/>
    </xf>
    <xf numFmtId="0" fontId="35" fillId="2" borderId="38" xfId="1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13" fillId="2" borderId="14" xfId="12" applyNumberFormat="1" applyFont="1" applyFill="1" applyBorder="1" applyAlignment="1" applyProtection="1">
      <alignment horizontal="center"/>
      <protection locked="0"/>
    </xf>
    <xf numFmtId="165" fontId="13" fillId="2" borderId="7" xfId="12" applyNumberFormat="1" applyFont="1" applyFill="1" applyBorder="1" applyAlignment="1" applyProtection="1">
      <alignment horizontal="center"/>
      <protection locked="0"/>
    </xf>
    <xf numFmtId="165" fontId="13" fillId="2" borderId="8" xfId="12" applyNumberFormat="1" applyFont="1" applyFill="1" applyBorder="1" applyAlignment="1" applyProtection="1">
      <alignment horizontal="center"/>
      <protection locked="0"/>
    </xf>
    <xf numFmtId="165" fontId="13" fillId="0" borderId="43" xfId="12" applyNumberFormat="1" applyFont="1" applyFill="1" applyBorder="1" applyAlignment="1" applyProtection="1">
      <alignment horizontal="center" vertical="center" wrapText="1"/>
      <protection locked="0"/>
    </xf>
    <xf numFmtId="165" fontId="13" fillId="0" borderId="45" xfId="12" applyNumberFormat="1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</cellXfs>
  <cellStyles count="15">
    <cellStyle name="Comma" xfId="1" builtinId="3"/>
    <cellStyle name="Comma 2" xfId="12"/>
    <cellStyle name="Comma 3" xfId="9"/>
    <cellStyle name="Hyperlink" xfId="4" builtinId="8"/>
    <cellStyle name="Normal" xfId="0" builtinId="0"/>
    <cellStyle name="Normal 122" xfId="3"/>
    <cellStyle name="Normal 2" xfId="5"/>
    <cellStyle name="Normal 2 2" xfId="13"/>
    <cellStyle name="Normal 4" xfId="10"/>
    <cellStyle name="Normal_Capital &amp; RWA N" xfId="7"/>
    <cellStyle name="Normal_Capital &amp; RWA N 2" xfId="11"/>
    <cellStyle name="Normal_Casestdy draft" xfId="14"/>
    <cellStyle name="Normal_Casestdy draft 2" xfId="8"/>
    <cellStyle name="Percent" xfId="2" builtinId="5"/>
    <cellStyle name="Percent 2" xfId="6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1143000"/>
          <a:ext cx="6324600" cy="75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C5">
            <v>40602</v>
          </cell>
          <cell r="F5" t="str">
            <v>CHF</v>
          </cell>
          <cell r="H5" t="str">
            <v>USD</v>
          </cell>
        </row>
        <row r="6"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pane xSplit="1" ySplit="7" topLeftCell="B8" activePane="bottomRight" state="frozen"/>
      <selection activeCell="C15" sqref="C15"/>
      <selection pane="topRight" activeCell="C15" sqref="C15"/>
      <selection pane="bottomLeft" activeCell="C15" sqref="C15"/>
      <selection pane="bottomRight" activeCell="B23" sqref="B23"/>
    </sheetView>
  </sheetViews>
  <sheetFormatPr defaultRowHeight="15" x14ac:dyDescent="0.25"/>
  <cols>
    <col min="1" max="1" width="10.28515625" style="21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404" t="s">
        <v>9</v>
      </c>
      <c r="B6" s="405"/>
      <c r="C6" s="405"/>
    </row>
    <row r="7" spans="1:3" x14ac:dyDescent="0.25">
      <c r="A7" s="13" t="s">
        <v>10</v>
      </c>
      <c r="B7" s="2" t="s">
        <v>11</v>
      </c>
    </row>
    <row r="8" spans="1:3" x14ac:dyDescent="0.25">
      <c r="A8" s="1">
        <v>1</v>
      </c>
      <c r="B8" s="14" t="s">
        <v>12</v>
      </c>
    </row>
    <row r="9" spans="1:3" x14ac:dyDescent="0.25">
      <c r="A9" s="1">
        <v>2</v>
      </c>
      <c r="B9" s="14" t="s">
        <v>13</v>
      </c>
    </row>
    <row r="10" spans="1:3" x14ac:dyDescent="0.25">
      <c r="A10" s="1">
        <v>3</v>
      </c>
      <c r="B10" s="14" t="s">
        <v>14</v>
      </c>
    </row>
    <row r="11" spans="1:3" x14ac:dyDescent="0.25">
      <c r="A11" s="1">
        <v>4</v>
      </c>
      <c r="B11" s="14" t="s">
        <v>15</v>
      </c>
      <c r="C11" s="15"/>
    </row>
    <row r="12" spans="1:3" x14ac:dyDescent="0.25">
      <c r="A12" s="1">
        <v>5</v>
      </c>
      <c r="B12" s="14" t="s">
        <v>16</v>
      </c>
    </row>
    <row r="13" spans="1:3" x14ac:dyDescent="0.25">
      <c r="A13" s="1">
        <v>6</v>
      </c>
      <c r="B13" s="16" t="s">
        <v>17</v>
      </c>
    </row>
    <row r="14" spans="1:3" x14ac:dyDescent="0.25">
      <c r="A14" s="1">
        <v>7</v>
      </c>
      <c r="B14" s="14" t="s">
        <v>18</v>
      </c>
    </row>
    <row r="15" spans="1:3" x14ac:dyDescent="0.25">
      <c r="A15" s="1">
        <v>8</v>
      </c>
      <c r="B15" s="14" t="s">
        <v>19</v>
      </c>
    </row>
    <row r="16" spans="1:3" x14ac:dyDescent="0.25">
      <c r="A16" s="1">
        <v>9</v>
      </c>
      <c r="B16" s="14" t="s">
        <v>20</v>
      </c>
    </row>
    <row r="17" spans="1:2" x14ac:dyDescent="0.25">
      <c r="A17" s="1">
        <v>10</v>
      </c>
      <c r="B17" s="14" t="s">
        <v>21</v>
      </c>
    </row>
    <row r="18" spans="1:2" x14ac:dyDescent="0.25">
      <c r="A18" s="1">
        <v>11</v>
      </c>
      <c r="B18" s="16" t="s">
        <v>22</v>
      </c>
    </row>
    <row r="19" spans="1:2" x14ac:dyDescent="0.25">
      <c r="A19" s="1">
        <v>12</v>
      </c>
      <c r="B19" s="16" t="s">
        <v>23</v>
      </c>
    </row>
    <row r="20" spans="1:2" x14ac:dyDescent="0.25">
      <c r="A20" s="1">
        <v>13</v>
      </c>
      <c r="B20" s="17" t="s">
        <v>24</v>
      </c>
    </row>
    <row r="21" spans="1:2" x14ac:dyDescent="0.25">
      <c r="A21" s="1">
        <v>14</v>
      </c>
      <c r="B21" s="16" t="s">
        <v>25</v>
      </c>
    </row>
    <row r="22" spans="1:2" x14ac:dyDescent="0.25">
      <c r="A22" s="18">
        <v>15</v>
      </c>
      <c r="B22" s="16" t="s">
        <v>26</v>
      </c>
    </row>
    <row r="23" spans="1:2" x14ac:dyDescent="0.25">
      <c r="A23" s="18">
        <v>16</v>
      </c>
      <c r="B23" s="14" t="s">
        <v>27</v>
      </c>
    </row>
    <row r="24" spans="1:2" x14ac:dyDescent="0.25">
      <c r="A24" s="18">
        <v>17</v>
      </c>
      <c r="B24" s="16" t="s">
        <v>28</v>
      </c>
    </row>
    <row r="25" spans="1:2" x14ac:dyDescent="0.25">
      <c r="A25" s="18">
        <v>18</v>
      </c>
      <c r="B25" s="16" t="s">
        <v>29</v>
      </c>
    </row>
    <row r="26" spans="1:2" x14ac:dyDescent="0.25">
      <c r="A26" s="18">
        <v>19</v>
      </c>
      <c r="B26" s="16" t="s">
        <v>30</v>
      </c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23" location="'16. CR-General'!A1" display="ძირითადი მონაცემები სესხებზე"/>
    <hyperlink ref="B24" location="'17. CR-Quality'!A1" display="სესხების ხარისხი"/>
    <hyperlink ref="B25" location="'18. CR-PTI,LTV'!A1" display="ინფორმაცია სესხებზე ყოველთვიური გადახდების შემოსავალთან შეფარდების კოეფიციენტის შესახებ"/>
    <hyperlink ref="B19" location="'12. CRM'!A1" display="საკრედიტო რისკის მიტიგაცია"/>
    <hyperlink ref="B26" location="'19. CR (ratios)'!A1" display="ინფორმაცია სესხის მომსახურების კოეფიციენტის შესახებ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67"/>
  <sheetViews>
    <sheetView zoomScaleNormal="10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C6" sqref="C6:C52"/>
    </sheetView>
  </sheetViews>
  <sheetFormatPr defaultRowHeight="15" x14ac:dyDescent="0.25"/>
  <cols>
    <col min="1" max="1" width="9.5703125" style="19" bestFit="1" customWidth="1"/>
    <col min="2" max="2" width="132.42578125" style="21" customWidth="1"/>
    <col min="3" max="3" width="18.42578125" style="263" customWidth="1"/>
    <col min="6" max="6" width="17.42578125" bestFit="1" customWidth="1"/>
  </cols>
  <sheetData>
    <row r="1" spans="1:6" ht="15.75" x14ac:dyDescent="0.3">
      <c r="A1" s="22" t="s">
        <v>31</v>
      </c>
      <c r="B1" s="21" t="str">
        <f>'1. key ratios'!B1</f>
        <v>სს ტერაბანკი</v>
      </c>
      <c r="C1" s="21"/>
      <c r="D1" s="21"/>
      <c r="E1" s="21"/>
      <c r="F1" s="21"/>
    </row>
    <row r="2" spans="1:6" s="186" customFormat="1" ht="15.75" customHeight="1" x14ac:dyDescent="0.3">
      <c r="A2" s="186" t="s">
        <v>33</v>
      </c>
      <c r="B2" s="69">
        <f>'1. key ratios'!B2</f>
        <v>43008</v>
      </c>
    </row>
    <row r="3" spans="1:6" s="186" customFormat="1" ht="15.75" customHeight="1" x14ac:dyDescent="0.3"/>
    <row r="4" spans="1:6" ht="15.75" thickBot="1" x14ac:dyDescent="0.3">
      <c r="A4" s="19" t="s">
        <v>283</v>
      </c>
      <c r="B4" s="232" t="s">
        <v>20</v>
      </c>
      <c r="C4" s="21"/>
    </row>
    <row r="5" spans="1:6" x14ac:dyDescent="0.25">
      <c r="A5" s="233" t="s">
        <v>35</v>
      </c>
      <c r="B5" s="234"/>
      <c r="C5" s="235" t="s">
        <v>78</v>
      </c>
    </row>
    <row r="6" spans="1:6" x14ac:dyDescent="0.25">
      <c r="A6" s="236">
        <v>1</v>
      </c>
      <c r="B6" s="237" t="s">
        <v>284</v>
      </c>
      <c r="C6" s="238">
        <f>SUM(C7:C11)</f>
        <v>109197507.80000004</v>
      </c>
    </row>
    <row r="7" spans="1:6" x14ac:dyDescent="0.25">
      <c r="A7" s="236">
        <v>2</v>
      </c>
      <c r="B7" s="239" t="s">
        <v>285</v>
      </c>
      <c r="C7" s="240">
        <v>121372000</v>
      </c>
    </row>
    <row r="8" spans="1:6" x14ac:dyDescent="0.25">
      <c r="A8" s="236">
        <v>3</v>
      </c>
      <c r="B8" s="241" t="s">
        <v>286</v>
      </c>
      <c r="C8" s="240">
        <v>0</v>
      </c>
    </row>
    <row r="9" spans="1:6" x14ac:dyDescent="0.25">
      <c r="A9" s="236">
        <v>4</v>
      </c>
      <c r="B9" s="241" t="s">
        <v>287</v>
      </c>
      <c r="C9" s="240">
        <v>0</v>
      </c>
    </row>
    <row r="10" spans="1:6" x14ac:dyDescent="0.25">
      <c r="A10" s="236">
        <v>5</v>
      </c>
      <c r="B10" s="241" t="s">
        <v>288</v>
      </c>
      <c r="C10" s="240">
        <v>0</v>
      </c>
    </row>
    <row r="11" spans="1:6" x14ac:dyDescent="0.25">
      <c r="A11" s="236">
        <v>6</v>
      </c>
      <c r="B11" s="242" t="s">
        <v>289</v>
      </c>
      <c r="C11" s="243">
        <v>-12174492.199999955</v>
      </c>
    </row>
    <row r="12" spans="1:6" s="220" customFormat="1" x14ac:dyDescent="0.25">
      <c r="A12" s="236">
        <v>7</v>
      </c>
      <c r="B12" s="237" t="s">
        <v>290</v>
      </c>
      <c r="C12" s="244">
        <f>SUM(C13:C27)</f>
        <v>28920509</v>
      </c>
    </row>
    <row r="13" spans="1:6" s="220" customFormat="1" x14ac:dyDescent="0.25">
      <c r="A13" s="236">
        <v>8</v>
      </c>
      <c r="B13" s="245" t="s">
        <v>291</v>
      </c>
      <c r="C13" s="246">
        <v>0</v>
      </c>
    </row>
    <row r="14" spans="1:6" s="220" customFormat="1" ht="25.5" x14ac:dyDescent="0.25">
      <c r="A14" s="236">
        <v>9</v>
      </c>
      <c r="B14" s="247" t="s">
        <v>292</v>
      </c>
      <c r="C14" s="246">
        <v>0</v>
      </c>
    </row>
    <row r="15" spans="1:6" s="220" customFormat="1" x14ac:dyDescent="0.25">
      <c r="A15" s="236">
        <v>10</v>
      </c>
      <c r="B15" s="248" t="s">
        <v>293</v>
      </c>
      <c r="C15" s="246">
        <v>28920509</v>
      </c>
    </row>
    <row r="16" spans="1:6" s="220" customFormat="1" x14ac:dyDescent="0.25">
      <c r="A16" s="236">
        <v>11</v>
      </c>
      <c r="B16" s="249" t="s">
        <v>294</v>
      </c>
      <c r="C16" s="246">
        <v>0</v>
      </c>
    </row>
    <row r="17" spans="1:6" s="220" customFormat="1" x14ac:dyDescent="0.25">
      <c r="A17" s="236">
        <v>12</v>
      </c>
      <c r="B17" s="248" t="s">
        <v>295</v>
      </c>
      <c r="C17" s="246">
        <v>0</v>
      </c>
    </row>
    <row r="18" spans="1:6" s="220" customFormat="1" x14ac:dyDescent="0.25">
      <c r="A18" s="236">
        <v>13</v>
      </c>
      <c r="B18" s="248" t="s">
        <v>296</v>
      </c>
      <c r="C18" s="246">
        <v>0</v>
      </c>
    </row>
    <row r="19" spans="1:6" s="220" customFormat="1" x14ac:dyDescent="0.25">
      <c r="A19" s="236">
        <v>14</v>
      </c>
      <c r="B19" s="248" t="s">
        <v>297</v>
      </c>
      <c r="C19" s="246">
        <v>0</v>
      </c>
    </row>
    <row r="20" spans="1:6" s="220" customFormat="1" ht="25.5" x14ac:dyDescent="0.25">
      <c r="A20" s="236">
        <v>15</v>
      </c>
      <c r="B20" s="248" t="s">
        <v>298</v>
      </c>
      <c r="C20" s="246">
        <v>0</v>
      </c>
    </row>
    <row r="21" spans="1:6" s="220" customFormat="1" ht="25.5" x14ac:dyDescent="0.25">
      <c r="A21" s="236">
        <v>16</v>
      </c>
      <c r="B21" s="247" t="s">
        <v>299</v>
      </c>
      <c r="C21" s="246">
        <v>0</v>
      </c>
    </row>
    <row r="22" spans="1:6" s="220" customFormat="1" x14ac:dyDescent="0.25">
      <c r="A22" s="236">
        <v>17</v>
      </c>
      <c r="B22" s="250" t="s">
        <v>300</v>
      </c>
      <c r="C22" s="246">
        <v>0</v>
      </c>
    </row>
    <row r="23" spans="1:6" s="220" customFormat="1" ht="25.5" x14ac:dyDescent="0.25">
      <c r="A23" s="236">
        <v>18</v>
      </c>
      <c r="B23" s="247" t="s">
        <v>301</v>
      </c>
      <c r="C23" s="246">
        <v>0</v>
      </c>
    </row>
    <row r="24" spans="1:6" s="220" customFormat="1" ht="25.5" x14ac:dyDescent="0.25">
      <c r="A24" s="236">
        <v>19</v>
      </c>
      <c r="B24" s="247" t="s">
        <v>302</v>
      </c>
      <c r="C24" s="246">
        <v>0</v>
      </c>
    </row>
    <row r="25" spans="1:6" s="220" customFormat="1" ht="25.5" x14ac:dyDescent="0.25">
      <c r="A25" s="236">
        <v>20</v>
      </c>
      <c r="B25" s="251" t="s">
        <v>303</v>
      </c>
      <c r="C25" s="246">
        <v>0</v>
      </c>
    </row>
    <row r="26" spans="1:6" s="220" customFormat="1" x14ac:dyDescent="0.25">
      <c r="A26" s="236">
        <v>21</v>
      </c>
      <c r="B26" s="251" t="s">
        <v>304</v>
      </c>
      <c r="C26" s="246">
        <v>0</v>
      </c>
    </row>
    <row r="27" spans="1:6" s="220" customFormat="1" ht="25.5" x14ac:dyDescent="0.25">
      <c r="A27" s="236">
        <v>22</v>
      </c>
      <c r="B27" s="251" t="s">
        <v>305</v>
      </c>
      <c r="C27" s="246">
        <v>0</v>
      </c>
    </row>
    <row r="28" spans="1:6" s="220" customFormat="1" x14ac:dyDescent="0.25">
      <c r="A28" s="236">
        <v>23</v>
      </c>
      <c r="B28" s="252" t="s">
        <v>43</v>
      </c>
      <c r="C28" s="244">
        <f>C6-C12</f>
        <v>80276998.800000042</v>
      </c>
    </row>
    <row r="29" spans="1:6" s="220" customFormat="1" x14ac:dyDescent="0.25">
      <c r="A29" s="253"/>
      <c r="B29" s="254"/>
      <c r="C29" s="246"/>
    </row>
    <row r="30" spans="1:6" s="220" customFormat="1" x14ac:dyDescent="0.25">
      <c r="A30" s="253">
        <v>24</v>
      </c>
      <c r="B30" s="252" t="s">
        <v>306</v>
      </c>
      <c r="C30" s="244">
        <f>C31+C34</f>
        <v>0</v>
      </c>
      <c r="F30" s="255"/>
    </row>
    <row r="31" spans="1:6" s="220" customFormat="1" x14ac:dyDescent="0.25">
      <c r="A31" s="253">
        <v>25</v>
      </c>
      <c r="B31" s="241" t="s">
        <v>307</v>
      </c>
      <c r="C31" s="256">
        <f>C32+C33</f>
        <v>0</v>
      </c>
      <c r="F31" s="257"/>
    </row>
    <row r="32" spans="1:6" s="220" customFormat="1" x14ac:dyDescent="0.25">
      <c r="A32" s="253">
        <v>26</v>
      </c>
      <c r="B32" s="258" t="s">
        <v>308</v>
      </c>
      <c r="C32" s="246">
        <v>0</v>
      </c>
      <c r="F32" s="257"/>
    </row>
    <row r="33" spans="1:6" s="220" customFormat="1" x14ac:dyDescent="0.25">
      <c r="A33" s="253">
        <v>27</v>
      </c>
      <c r="B33" s="258" t="s">
        <v>309</v>
      </c>
      <c r="C33" s="246">
        <v>0</v>
      </c>
      <c r="F33" s="257"/>
    </row>
    <row r="34" spans="1:6" s="220" customFormat="1" x14ac:dyDescent="0.25">
      <c r="A34" s="253">
        <v>28</v>
      </c>
      <c r="B34" s="241" t="s">
        <v>310</v>
      </c>
      <c r="C34" s="246">
        <v>0</v>
      </c>
      <c r="F34" s="257"/>
    </row>
    <row r="35" spans="1:6" s="220" customFormat="1" x14ac:dyDescent="0.25">
      <c r="A35" s="253">
        <v>29</v>
      </c>
      <c r="B35" s="252" t="s">
        <v>311</v>
      </c>
      <c r="C35" s="244">
        <f>SUM(C36:C40)</f>
        <v>0</v>
      </c>
      <c r="F35" s="257"/>
    </row>
    <row r="36" spans="1:6" s="220" customFormat="1" x14ac:dyDescent="0.25">
      <c r="A36" s="253">
        <v>30</v>
      </c>
      <c r="B36" s="247" t="s">
        <v>312</v>
      </c>
      <c r="C36" s="246">
        <v>0</v>
      </c>
      <c r="F36" s="257"/>
    </row>
    <row r="37" spans="1:6" s="220" customFormat="1" x14ac:dyDescent="0.25">
      <c r="A37" s="253">
        <v>31</v>
      </c>
      <c r="B37" s="248" t="s">
        <v>313</v>
      </c>
      <c r="C37" s="246">
        <v>0</v>
      </c>
      <c r="F37" s="257"/>
    </row>
    <row r="38" spans="1:6" s="220" customFormat="1" ht="25.5" x14ac:dyDescent="0.25">
      <c r="A38" s="253">
        <v>32</v>
      </c>
      <c r="B38" s="247" t="s">
        <v>314</v>
      </c>
      <c r="C38" s="246">
        <v>0</v>
      </c>
      <c r="F38" s="257"/>
    </row>
    <row r="39" spans="1:6" s="220" customFormat="1" ht="25.5" x14ac:dyDescent="0.25">
      <c r="A39" s="253">
        <v>33</v>
      </c>
      <c r="B39" s="247" t="s">
        <v>302</v>
      </c>
      <c r="C39" s="246">
        <v>0</v>
      </c>
      <c r="F39" s="257"/>
    </row>
    <row r="40" spans="1:6" s="220" customFormat="1" ht="25.5" x14ac:dyDescent="0.25">
      <c r="A40" s="253">
        <v>34</v>
      </c>
      <c r="B40" s="251" t="s">
        <v>315</v>
      </c>
      <c r="C40" s="246">
        <v>0</v>
      </c>
      <c r="F40" s="257"/>
    </row>
    <row r="41" spans="1:6" s="220" customFormat="1" x14ac:dyDescent="0.25">
      <c r="A41" s="253">
        <v>35</v>
      </c>
      <c r="B41" s="252" t="s">
        <v>316</v>
      </c>
      <c r="C41" s="244">
        <f>C30-C35</f>
        <v>0</v>
      </c>
      <c r="F41" s="257"/>
    </row>
    <row r="42" spans="1:6" s="220" customFormat="1" x14ac:dyDescent="0.25">
      <c r="A42" s="253"/>
      <c r="B42" s="254"/>
      <c r="C42" s="246"/>
      <c r="F42" s="257"/>
    </row>
    <row r="43" spans="1:6" s="220" customFormat="1" x14ac:dyDescent="0.25">
      <c r="A43" s="253">
        <v>36</v>
      </c>
      <c r="B43" s="259" t="s">
        <v>317</v>
      </c>
      <c r="C43" s="244">
        <f>SUM(C44:C46)</f>
        <v>35953335.850000069</v>
      </c>
      <c r="F43" s="257"/>
    </row>
    <row r="44" spans="1:6" s="220" customFormat="1" x14ac:dyDescent="0.25">
      <c r="A44" s="253">
        <v>37</v>
      </c>
      <c r="B44" s="241" t="s">
        <v>318</v>
      </c>
      <c r="C44" s="246">
        <v>26997303.02</v>
      </c>
      <c r="F44" s="257"/>
    </row>
    <row r="45" spans="1:6" s="220" customFormat="1" x14ac:dyDescent="0.25">
      <c r="A45" s="253">
        <v>38</v>
      </c>
      <c r="B45" s="241" t="s">
        <v>319</v>
      </c>
      <c r="C45" s="246">
        <v>0</v>
      </c>
      <c r="F45" s="257"/>
    </row>
    <row r="46" spans="1:6" s="220" customFormat="1" x14ac:dyDescent="0.25">
      <c r="A46" s="253">
        <v>39</v>
      </c>
      <c r="B46" s="241" t="s">
        <v>320</v>
      </c>
      <c r="C46" s="246">
        <v>8956032.830000069</v>
      </c>
      <c r="F46" s="257"/>
    </row>
    <row r="47" spans="1:6" s="220" customFormat="1" x14ac:dyDescent="0.25">
      <c r="A47" s="253">
        <v>40</v>
      </c>
      <c r="B47" s="259" t="s">
        <v>321</v>
      </c>
      <c r="C47" s="244">
        <f>SUM(C48:C51)</f>
        <v>0</v>
      </c>
      <c r="F47" s="257"/>
    </row>
    <row r="48" spans="1:6" s="220" customFormat="1" x14ac:dyDescent="0.25">
      <c r="A48" s="253">
        <v>41</v>
      </c>
      <c r="B48" s="247" t="s">
        <v>322</v>
      </c>
      <c r="C48" s="246">
        <v>0</v>
      </c>
      <c r="F48" s="257"/>
    </row>
    <row r="49" spans="1:6" s="220" customFormat="1" x14ac:dyDescent="0.25">
      <c r="A49" s="253">
        <v>42</v>
      </c>
      <c r="B49" s="248" t="s">
        <v>323</v>
      </c>
      <c r="C49" s="246">
        <v>0</v>
      </c>
      <c r="F49" s="257"/>
    </row>
    <row r="50" spans="1:6" s="220" customFormat="1" ht="25.5" x14ac:dyDescent="0.25">
      <c r="A50" s="253">
        <v>43</v>
      </c>
      <c r="B50" s="247" t="s">
        <v>324</v>
      </c>
      <c r="C50" s="246">
        <v>0</v>
      </c>
      <c r="F50" s="257"/>
    </row>
    <row r="51" spans="1:6" s="220" customFormat="1" ht="25.5" x14ac:dyDescent="0.25">
      <c r="A51" s="253">
        <v>44</v>
      </c>
      <c r="B51" s="247" t="s">
        <v>302</v>
      </c>
      <c r="C51" s="246">
        <v>0</v>
      </c>
      <c r="F51" s="257"/>
    </row>
    <row r="52" spans="1:6" s="220" customFormat="1" ht="15.75" thickBot="1" x14ac:dyDescent="0.3">
      <c r="A52" s="260">
        <v>45</v>
      </c>
      <c r="B52" s="261" t="s">
        <v>325</v>
      </c>
      <c r="C52" s="262">
        <f>C43-C47</f>
        <v>35953335.850000069</v>
      </c>
      <c r="F52" s="257"/>
    </row>
    <row r="53" spans="1:6" x14ac:dyDescent="0.25">
      <c r="F53" s="257"/>
    </row>
    <row r="54" spans="1:6" x14ac:dyDescent="0.25">
      <c r="F54" s="257"/>
    </row>
    <row r="55" spans="1:6" x14ac:dyDescent="0.25">
      <c r="B55" s="21" t="s">
        <v>326</v>
      </c>
      <c r="F55" s="257"/>
    </row>
    <row r="56" spans="1:6" x14ac:dyDescent="0.25">
      <c r="F56" s="257"/>
    </row>
    <row r="57" spans="1:6" x14ac:dyDescent="0.25">
      <c r="F57" s="257"/>
    </row>
    <row r="58" spans="1:6" x14ac:dyDescent="0.25">
      <c r="F58" s="257"/>
    </row>
    <row r="59" spans="1:6" x14ac:dyDescent="0.25">
      <c r="F59" s="257"/>
    </row>
    <row r="60" spans="1:6" x14ac:dyDescent="0.25">
      <c r="F60" s="257"/>
    </row>
    <row r="61" spans="1:6" x14ac:dyDescent="0.25">
      <c r="F61" s="257"/>
    </row>
    <row r="62" spans="1:6" x14ac:dyDescent="0.25">
      <c r="F62" s="257"/>
    </row>
    <row r="63" spans="1:6" x14ac:dyDescent="0.25">
      <c r="F63" s="257"/>
    </row>
    <row r="64" spans="1:6" x14ac:dyDescent="0.25">
      <c r="F64" s="257"/>
    </row>
    <row r="65" spans="6:6" x14ac:dyDescent="0.25">
      <c r="F65" s="257"/>
    </row>
    <row r="66" spans="6:6" x14ac:dyDescent="0.25">
      <c r="F66" s="257"/>
    </row>
    <row r="67" spans="6:6" x14ac:dyDescent="0.25">
      <c r="F67" s="257"/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F43"/>
  <sheetViews>
    <sheetView zoomScaleNormal="100" workbookViewId="0">
      <pane xSplit="1" ySplit="5" topLeftCell="B22" activePane="bottomRight" state="frozen"/>
      <selection activeCell="C15" sqref="C15"/>
      <selection pane="topRight" activeCell="C15" sqref="C15"/>
      <selection pane="bottomLeft" activeCell="C15" sqref="C15"/>
      <selection pane="bottomRight" activeCell="C6" sqref="C6:C43"/>
    </sheetView>
  </sheetViews>
  <sheetFormatPr defaultRowHeight="15.75" x14ac:dyDescent="0.3"/>
  <cols>
    <col min="1" max="1" width="10.7109375" style="265" customWidth="1"/>
    <col min="2" max="2" width="91.85546875" style="265" customWidth="1"/>
    <col min="3" max="3" width="53.140625" style="265" customWidth="1"/>
    <col min="4" max="4" width="32.28515625" style="265" customWidth="1"/>
    <col min="5" max="5" width="9.42578125" customWidth="1"/>
  </cols>
  <sheetData>
    <row r="1" spans="1:6" x14ac:dyDescent="0.3">
      <c r="A1" s="264" t="s">
        <v>31</v>
      </c>
      <c r="B1" s="21" t="str">
        <f>'1. key ratios'!B1</f>
        <v>სს ტერაბანკი</v>
      </c>
      <c r="E1" s="21"/>
      <c r="F1" s="21"/>
    </row>
    <row r="2" spans="1:6" s="186" customFormat="1" ht="15.75" customHeight="1" x14ac:dyDescent="0.3">
      <c r="A2" s="266" t="s">
        <v>33</v>
      </c>
      <c r="B2" s="69">
        <f>'1. key ratios'!B2</f>
        <v>43008</v>
      </c>
    </row>
    <row r="3" spans="1:6" s="186" customFormat="1" ht="15.75" customHeight="1" x14ac:dyDescent="0.3">
      <c r="A3" s="266"/>
    </row>
    <row r="4" spans="1:6" s="186" customFormat="1" ht="15.75" customHeight="1" thickBot="1" x14ac:dyDescent="0.35">
      <c r="A4" s="186" t="s">
        <v>327</v>
      </c>
      <c r="B4" s="267" t="s">
        <v>21</v>
      </c>
      <c r="D4" s="268" t="s">
        <v>74</v>
      </c>
    </row>
    <row r="5" spans="1:6" ht="38.25" x14ac:dyDescent="0.25">
      <c r="A5" s="269" t="s">
        <v>35</v>
      </c>
      <c r="B5" s="35" t="s">
        <v>264</v>
      </c>
      <c r="C5" s="35" t="s">
        <v>328</v>
      </c>
      <c r="D5" s="36" t="s">
        <v>329</v>
      </c>
    </row>
    <row r="6" spans="1:6" x14ac:dyDescent="0.3">
      <c r="A6" s="270">
        <v>1</v>
      </c>
      <c r="B6" s="271" t="s">
        <v>81</v>
      </c>
      <c r="C6" s="272">
        <f>'2. RC'!E7</f>
        <v>42174380.890000001</v>
      </c>
      <c r="D6" s="273"/>
      <c r="E6" s="274"/>
    </row>
    <row r="7" spans="1:6" x14ac:dyDescent="0.3">
      <c r="A7" s="270">
        <v>2</v>
      </c>
      <c r="B7" s="271" t="s">
        <v>82</v>
      </c>
      <c r="C7" s="272">
        <f>'2. RC'!E8</f>
        <v>92041895.809999987</v>
      </c>
      <c r="D7" s="273"/>
      <c r="E7" s="274"/>
    </row>
    <row r="8" spans="1:6" x14ac:dyDescent="0.3">
      <c r="A8" s="270">
        <v>3</v>
      </c>
      <c r="B8" s="271" t="s">
        <v>83</v>
      </c>
      <c r="C8" s="272">
        <f>'2. RC'!E9</f>
        <v>21631275.040000003</v>
      </c>
      <c r="D8" s="273"/>
      <c r="E8" s="274"/>
    </row>
    <row r="9" spans="1:6" x14ac:dyDescent="0.3">
      <c r="A9" s="270">
        <v>4</v>
      </c>
      <c r="B9" s="271" t="s">
        <v>84</v>
      </c>
      <c r="C9" s="272">
        <f>'2. RC'!E10</f>
        <v>0</v>
      </c>
      <c r="D9" s="273"/>
      <c r="E9" s="274"/>
    </row>
    <row r="10" spans="1:6" x14ac:dyDescent="0.3">
      <c r="A10" s="270">
        <v>5</v>
      </c>
      <c r="B10" s="271" t="s">
        <v>85</v>
      </c>
      <c r="C10" s="272">
        <f>'2. RC'!E11</f>
        <v>45131199.82</v>
      </c>
      <c r="D10" s="273"/>
      <c r="E10" s="274"/>
    </row>
    <row r="11" spans="1:6" x14ac:dyDescent="0.3">
      <c r="A11" s="270">
        <v>6.1</v>
      </c>
      <c r="B11" s="271" t="s">
        <v>86</v>
      </c>
      <c r="C11" s="275">
        <f>'2. RC'!E12</f>
        <v>516846072.05000043</v>
      </c>
      <c r="D11" s="276"/>
      <c r="E11" s="277"/>
    </row>
    <row r="12" spans="1:6" x14ac:dyDescent="0.3">
      <c r="A12" s="270">
        <v>6.2</v>
      </c>
      <c r="B12" s="278" t="s">
        <v>87</v>
      </c>
      <c r="C12" s="275">
        <f>'2. RC'!E13</f>
        <v>-40549548.940000303</v>
      </c>
      <c r="D12" s="279" t="s">
        <v>330</v>
      </c>
      <c r="E12" s="277"/>
    </row>
    <row r="13" spans="1:6" x14ac:dyDescent="0.3">
      <c r="A13" s="270" t="s">
        <v>331</v>
      </c>
      <c r="B13" s="278" t="s">
        <v>332</v>
      </c>
      <c r="C13" s="280">
        <f>-'5. RWA'!C6*1.25%</f>
        <v>-9452598.4766398501</v>
      </c>
      <c r="D13" s="279" t="s">
        <v>330</v>
      </c>
      <c r="E13" s="277"/>
    </row>
    <row r="14" spans="1:6" x14ac:dyDescent="0.3">
      <c r="A14" s="270" t="s">
        <v>333</v>
      </c>
      <c r="B14" s="278" t="s">
        <v>334</v>
      </c>
      <c r="C14" s="280">
        <v>-8421077.1700000055</v>
      </c>
      <c r="D14" s="279" t="s">
        <v>330</v>
      </c>
      <c r="E14" s="277"/>
    </row>
    <row r="15" spans="1:6" x14ac:dyDescent="0.3">
      <c r="A15" s="270">
        <v>6</v>
      </c>
      <c r="B15" s="271" t="s">
        <v>88</v>
      </c>
      <c r="C15" s="281">
        <f>C11+C12</f>
        <v>476296523.11000013</v>
      </c>
      <c r="D15" s="276"/>
      <c r="E15" s="274"/>
    </row>
    <row r="16" spans="1:6" x14ac:dyDescent="0.3">
      <c r="A16" s="270">
        <v>7</v>
      </c>
      <c r="B16" s="271" t="s">
        <v>89</v>
      </c>
      <c r="C16" s="272">
        <f>'2. RC'!E15</f>
        <v>4719268.41</v>
      </c>
      <c r="D16" s="273"/>
      <c r="E16" s="274"/>
    </row>
    <row r="17" spans="1:5" x14ac:dyDescent="0.3">
      <c r="A17" s="270">
        <v>8</v>
      </c>
      <c r="B17" s="271" t="s">
        <v>90</v>
      </c>
      <c r="C17" s="272">
        <f>'2. RC'!E16</f>
        <v>10287806.91</v>
      </c>
      <c r="D17" s="273"/>
      <c r="E17" s="274"/>
    </row>
    <row r="18" spans="1:5" x14ac:dyDescent="0.3">
      <c r="A18" s="270">
        <v>9</v>
      </c>
      <c r="B18" s="271" t="s">
        <v>91</v>
      </c>
      <c r="C18" s="272">
        <f>'2. RC'!E17</f>
        <v>0</v>
      </c>
      <c r="D18" s="273"/>
      <c r="E18" s="274"/>
    </row>
    <row r="19" spans="1:5" x14ac:dyDescent="0.3">
      <c r="A19" s="270">
        <v>9.1999999999999993</v>
      </c>
      <c r="B19" s="282" t="s">
        <v>335</v>
      </c>
      <c r="C19" s="283">
        <v>0</v>
      </c>
      <c r="D19" s="273"/>
      <c r="E19" s="274"/>
    </row>
    <row r="20" spans="1:5" x14ac:dyDescent="0.3">
      <c r="A20" s="270">
        <v>10</v>
      </c>
      <c r="B20" s="271" t="s">
        <v>92</v>
      </c>
      <c r="C20" s="272">
        <f>'2. RC'!E18</f>
        <v>45493407.189999998</v>
      </c>
      <c r="D20" s="273"/>
      <c r="E20" s="274"/>
    </row>
    <row r="21" spans="1:5" x14ac:dyDescent="0.3">
      <c r="A21" s="270">
        <v>10.1</v>
      </c>
      <c r="B21" s="282" t="s">
        <v>336</v>
      </c>
      <c r="C21" s="272">
        <f>'9. Capital'!C15</f>
        <v>28920509</v>
      </c>
      <c r="D21" s="279" t="s">
        <v>337</v>
      </c>
      <c r="E21" s="274"/>
    </row>
    <row r="22" spans="1:5" x14ac:dyDescent="0.3">
      <c r="A22" s="270">
        <v>11</v>
      </c>
      <c r="B22" s="271" t="s">
        <v>93</v>
      </c>
      <c r="C22" s="272">
        <f>'2. RC'!E19</f>
        <v>3721363.0400000047</v>
      </c>
      <c r="D22" s="273"/>
      <c r="E22" s="274"/>
    </row>
    <row r="23" spans="1:5" x14ac:dyDescent="0.3">
      <c r="A23" s="270">
        <v>12</v>
      </c>
      <c r="B23" s="284" t="s">
        <v>94</v>
      </c>
      <c r="C23" s="285">
        <f>SUM(C6:C10,C15:C18,C20,C22)</f>
        <v>741497120.22000003</v>
      </c>
      <c r="D23" s="286"/>
      <c r="E23" s="287"/>
    </row>
    <row r="24" spans="1:5" x14ac:dyDescent="0.3">
      <c r="A24" s="270">
        <v>13</v>
      </c>
      <c r="B24" s="271" t="s">
        <v>96</v>
      </c>
      <c r="C24" s="272">
        <f>'2. RC'!E22</f>
        <v>7116638.4699999997</v>
      </c>
      <c r="D24" s="273"/>
      <c r="E24" s="274"/>
    </row>
    <row r="25" spans="1:5" x14ac:dyDescent="0.3">
      <c r="A25" s="270">
        <v>14</v>
      </c>
      <c r="B25" s="271" t="s">
        <v>97</v>
      </c>
      <c r="C25" s="272">
        <f>'2. RC'!E23</f>
        <v>134067666.52000368</v>
      </c>
      <c r="D25" s="273"/>
      <c r="E25" s="274"/>
    </row>
    <row r="26" spans="1:5" x14ac:dyDescent="0.3">
      <c r="A26" s="270">
        <v>15</v>
      </c>
      <c r="B26" s="271" t="s">
        <v>98</v>
      </c>
      <c r="C26" s="272">
        <f>'2. RC'!E24</f>
        <v>174922204.77999991</v>
      </c>
      <c r="D26" s="273"/>
      <c r="E26" s="274"/>
    </row>
    <row r="27" spans="1:5" x14ac:dyDescent="0.3">
      <c r="A27" s="270">
        <v>16</v>
      </c>
      <c r="B27" s="271" t="s">
        <v>99</v>
      </c>
      <c r="C27" s="272">
        <f>'2. RC'!E25</f>
        <v>212191467.85000029</v>
      </c>
      <c r="D27" s="273"/>
      <c r="E27" s="274"/>
    </row>
    <row r="28" spans="1:5" x14ac:dyDescent="0.3">
      <c r="A28" s="270">
        <v>17</v>
      </c>
      <c r="B28" s="271" t="s">
        <v>100</v>
      </c>
      <c r="C28" s="272">
        <f>'2. RC'!E26</f>
        <v>0</v>
      </c>
      <c r="D28" s="273"/>
      <c r="E28" s="274"/>
    </row>
    <row r="29" spans="1:5" x14ac:dyDescent="0.3">
      <c r="A29" s="270">
        <v>18</v>
      </c>
      <c r="B29" s="271" t="s">
        <v>101</v>
      </c>
      <c r="C29" s="272">
        <f>'2. RC'!E27</f>
        <v>54373791.5</v>
      </c>
      <c r="D29" s="273"/>
      <c r="E29" s="274"/>
    </row>
    <row r="30" spans="1:5" x14ac:dyDescent="0.3">
      <c r="A30" s="270">
        <v>19</v>
      </c>
      <c r="B30" s="271" t="s">
        <v>102</v>
      </c>
      <c r="C30" s="272">
        <f>'2. RC'!E28</f>
        <v>2337967.17</v>
      </c>
      <c r="D30" s="273"/>
      <c r="E30" s="274"/>
    </row>
    <row r="31" spans="1:5" x14ac:dyDescent="0.3">
      <c r="A31" s="270">
        <v>20</v>
      </c>
      <c r="B31" s="271" t="s">
        <v>103</v>
      </c>
      <c r="C31" s="272">
        <f>'2. RC'!E29</f>
        <v>16576758.410000015</v>
      </c>
      <c r="D31" s="279" t="s">
        <v>330</v>
      </c>
      <c r="E31" s="274"/>
    </row>
    <row r="32" spans="1:5" x14ac:dyDescent="0.3">
      <c r="A32" s="270">
        <v>20.100000000000001</v>
      </c>
      <c r="B32" s="271" t="s">
        <v>338</v>
      </c>
      <c r="C32" s="280">
        <v>534955.66000000038</v>
      </c>
      <c r="D32" s="279" t="s">
        <v>330</v>
      </c>
      <c r="E32" s="274"/>
    </row>
    <row r="33" spans="1:5" x14ac:dyDescent="0.3">
      <c r="A33" s="270">
        <v>21</v>
      </c>
      <c r="B33" s="271" t="s">
        <v>104</v>
      </c>
      <c r="C33" s="272">
        <f>'2. RC'!E30</f>
        <v>30713116.799999997</v>
      </c>
      <c r="D33" s="273"/>
      <c r="E33" s="274"/>
    </row>
    <row r="34" spans="1:5" x14ac:dyDescent="0.3">
      <c r="A34" s="270">
        <v>21.1</v>
      </c>
      <c r="B34" s="282" t="s">
        <v>339</v>
      </c>
      <c r="C34" s="272">
        <v>26997303.02</v>
      </c>
      <c r="D34" s="279" t="s">
        <v>340</v>
      </c>
      <c r="E34" s="274"/>
    </row>
    <row r="35" spans="1:5" x14ac:dyDescent="0.3">
      <c r="A35" s="270">
        <v>22</v>
      </c>
      <c r="B35" s="284" t="s">
        <v>105</v>
      </c>
      <c r="C35" s="285">
        <f>SUM(C24:C31)+C33</f>
        <v>632299611.5000037</v>
      </c>
      <c r="D35" s="286"/>
      <c r="E35" s="287"/>
    </row>
    <row r="36" spans="1:5" x14ac:dyDescent="0.3">
      <c r="A36" s="270">
        <v>23</v>
      </c>
      <c r="B36" s="271" t="s">
        <v>107</v>
      </c>
      <c r="C36" s="272">
        <f>'2. RC'!E33</f>
        <v>121372000</v>
      </c>
      <c r="D36" s="279" t="s">
        <v>341</v>
      </c>
      <c r="E36" s="274"/>
    </row>
    <row r="37" spans="1:5" x14ac:dyDescent="0.3">
      <c r="A37" s="270">
        <v>24</v>
      </c>
      <c r="B37" s="271" t="s">
        <v>108</v>
      </c>
      <c r="C37" s="288">
        <f>'2. RC'!E34</f>
        <v>0</v>
      </c>
      <c r="D37" s="273"/>
      <c r="E37" s="274"/>
    </row>
    <row r="38" spans="1:5" x14ac:dyDescent="0.3">
      <c r="A38" s="270">
        <v>25</v>
      </c>
      <c r="B38" s="271" t="s">
        <v>342</v>
      </c>
      <c r="C38" s="288">
        <f>'2. RC'!E35</f>
        <v>0</v>
      </c>
      <c r="D38" s="273"/>
      <c r="E38" s="274"/>
    </row>
    <row r="39" spans="1:5" x14ac:dyDescent="0.3">
      <c r="A39" s="270">
        <v>26</v>
      </c>
      <c r="B39" s="271" t="s">
        <v>110</v>
      </c>
      <c r="C39" s="288">
        <f>'2. RC'!E36</f>
        <v>0</v>
      </c>
      <c r="D39" s="273"/>
      <c r="E39" s="274"/>
    </row>
    <row r="40" spans="1:5" x14ac:dyDescent="0.3">
      <c r="A40" s="270">
        <v>27</v>
      </c>
      <c r="B40" s="271" t="s">
        <v>111</v>
      </c>
      <c r="C40" s="288">
        <f>'2. RC'!E37</f>
        <v>0</v>
      </c>
      <c r="D40" s="273"/>
      <c r="E40" s="274"/>
    </row>
    <row r="41" spans="1:5" x14ac:dyDescent="0.3">
      <c r="A41" s="270">
        <v>28</v>
      </c>
      <c r="B41" s="271" t="s">
        <v>112</v>
      </c>
      <c r="C41" s="289">
        <f>'2. RC'!E38</f>
        <v>-12174492.139999989</v>
      </c>
      <c r="D41" s="279" t="s">
        <v>343</v>
      </c>
      <c r="E41" s="274"/>
    </row>
    <row r="42" spans="1:5" x14ac:dyDescent="0.3">
      <c r="A42" s="270">
        <v>29</v>
      </c>
      <c r="B42" s="271" t="s">
        <v>291</v>
      </c>
      <c r="C42" s="288">
        <f>'2. RC'!E39</f>
        <v>0</v>
      </c>
      <c r="D42" s="279" t="s">
        <v>344</v>
      </c>
      <c r="E42" s="274"/>
    </row>
    <row r="43" spans="1:5" ht="16.5" thickBot="1" x14ac:dyDescent="0.35">
      <c r="A43" s="290">
        <v>30</v>
      </c>
      <c r="B43" s="291" t="s">
        <v>114</v>
      </c>
      <c r="C43" s="292">
        <f>SUM(C36:C42)</f>
        <v>109197507.86000001</v>
      </c>
      <c r="D43" s="293"/>
      <c r="E43" s="287"/>
    </row>
  </sheetData>
  <pageMargins left="0.7" right="0.7" top="0.75" bottom="0.75" header="0.3" footer="0.3"/>
  <pageSetup paperSize="9" scale="44" orientation="portrait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2"/>
  <sheetViews>
    <sheetView zoomScaleNormal="100" workbookViewId="0">
      <pane xSplit="2" ySplit="7" topLeftCell="O8" activePane="bottomRight" state="frozen"/>
      <selection activeCell="C15" sqref="C15"/>
      <selection pane="topRight" activeCell="C15" sqref="C15"/>
      <selection pane="bottomLeft" activeCell="C15" sqref="C15"/>
      <selection pane="bottomRight" activeCell="C8" sqref="C8:S21"/>
    </sheetView>
  </sheetViews>
  <sheetFormatPr defaultColWidth="9.140625" defaultRowHeight="12.75" x14ac:dyDescent="0.2"/>
  <cols>
    <col min="1" max="1" width="10.5703125" style="21" bestFit="1" customWidth="1"/>
    <col min="2" max="2" width="95" style="21" customWidth="1"/>
    <col min="3" max="3" width="13.5703125" style="21" bestFit="1" customWidth="1"/>
    <col min="4" max="4" width="13.28515625" style="21" bestFit="1" customWidth="1"/>
    <col min="5" max="5" width="12" style="21" bestFit="1" customWidth="1"/>
    <col min="6" max="6" width="13.28515625" style="21" bestFit="1" customWidth="1"/>
    <col min="7" max="7" width="9.42578125" style="21" bestFit="1" customWidth="1"/>
    <col min="8" max="8" width="13.28515625" style="21" bestFit="1" customWidth="1"/>
    <col min="9" max="9" width="11.140625" style="21" bestFit="1" customWidth="1"/>
    <col min="10" max="12" width="13.28515625" style="21" bestFit="1" customWidth="1"/>
    <col min="13" max="13" width="13.7109375" style="21" bestFit="1" customWidth="1"/>
    <col min="14" max="14" width="13.28515625" style="21" bestFit="1" customWidth="1"/>
    <col min="15" max="15" width="11.5703125" style="21" bestFit="1" customWidth="1"/>
    <col min="16" max="16" width="13.28515625" style="21" bestFit="1" customWidth="1"/>
    <col min="17" max="17" width="9.42578125" style="21" bestFit="1" customWidth="1"/>
    <col min="18" max="18" width="13.28515625" style="21" bestFit="1" customWidth="1"/>
    <col min="19" max="19" width="33" style="21" bestFit="1" customWidth="1"/>
    <col min="20" max="16384" width="9.140625" style="115"/>
  </cols>
  <sheetData>
    <row r="1" spans="1:19" x14ac:dyDescent="0.2">
      <c r="A1" s="21" t="s">
        <v>31</v>
      </c>
      <c r="B1" s="21" t="str">
        <f>'1. key ratios'!B1</f>
        <v>სს ტერაბანკი</v>
      </c>
    </row>
    <row r="2" spans="1:19" x14ac:dyDescent="0.2">
      <c r="A2" s="21" t="s">
        <v>33</v>
      </c>
      <c r="B2" s="69">
        <f>'1. key ratios'!B2</f>
        <v>43008</v>
      </c>
    </row>
    <row r="4" spans="1:19" ht="39" thickBot="1" x14ac:dyDescent="0.25">
      <c r="A4" s="294" t="s">
        <v>345</v>
      </c>
      <c r="B4" s="295" t="s">
        <v>346</v>
      </c>
    </row>
    <row r="5" spans="1:19" x14ac:dyDescent="0.2">
      <c r="A5" s="296"/>
      <c r="B5" s="297"/>
      <c r="C5" s="298" t="s">
        <v>259</v>
      </c>
      <c r="D5" s="298" t="s">
        <v>260</v>
      </c>
      <c r="E5" s="298" t="s">
        <v>261</v>
      </c>
      <c r="F5" s="298" t="s">
        <v>262</v>
      </c>
      <c r="G5" s="298" t="s">
        <v>347</v>
      </c>
      <c r="H5" s="298" t="s">
        <v>348</v>
      </c>
      <c r="I5" s="298" t="s">
        <v>349</v>
      </c>
      <c r="J5" s="298" t="s">
        <v>350</v>
      </c>
      <c r="K5" s="298" t="s">
        <v>351</v>
      </c>
      <c r="L5" s="298" t="s">
        <v>352</v>
      </c>
      <c r="M5" s="298" t="s">
        <v>353</v>
      </c>
      <c r="N5" s="298" t="s">
        <v>354</v>
      </c>
      <c r="O5" s="298" t="s">
        <v>355</v>
      </c>
      <c r="P5" s="298" t="s">
        <v>356</v>
      </c>
      <c r="Q5" s="298" t="s">
        <v>357</v>
      </c>
      <c r="R5" s="299" t="s">
        <v>358</v>
      </c>
      <c r="S5" s="300" t="s">
        <v>359</v>
      </c>
    </row>
    <row r="6" spans="1:19" ht="46.5" customHeight="1" x14ac:dyDescent="0.2">
      <c r="A6" s="301"/>
      <c r="B6" s="433" t="s">
        <v>360</v>
      </c>
      <c r="C6" s="429">
        <v>0</v>
      </c>
      <c r="D6" s="430"/>
      <c r="E6" s="429">
        <v>0.2</v>
      </c>
      <c r="F6" s="430"/>
      <c r="G6" s="429">
        <v>0.35</v>
      </c>
      <c r="H6" s="430"/>
      <c r="I6" s="429">
        <v>0.5</v>
      </c>
      <c r="J6" s="430"/>
      <c r="K6" s="429">
        <v>0.75</v>
      </c>
      <c r="L6" s="430"/>
      <c r="M6" s="429">
        <v>1</v>
      </c>
      <c r="N6" s="430"/>
      <c r="O6" s="429">
        <v>1.5</v>
      </c>
      <c r="P6" s="430"/>
      <c r="Q6" s="429">
        <v>2.5</v>
      </c>
      <c r="R6" s="430"/>
      <c r="S6" s="431" t="s">
        <v>361</v>
      </c>
    </row>
    <row r="7" spans="1:19" x14ac:dyDescent="0.2">
      <c r="A7" s="301"/>
      <c r="B7" s="434"/>
      <c r="C7" s="302" t="s">
        <v>362</v>
      </c>
      <c r="D7" s="302" t="s">
        <v>363</v>
      </c>
      <c r="E7" s="302" t="s">
        <v>362</v>
      </c>
      <c r="F7" s="302" t="s">
        <v>363</v>
      </c>
      <c r="G7" s="302" t="s">
        <v>362</v>
      </c>
      <c r="H7" s="302" t="s">
        <v>363</v>
      </c>
      <c r="I7" s="302" t="s">
        <v>362</v>
      </c>
      <c r="J7" s="302" t="s">
        <v>363</v>
      </c>
      <c r="K7" s="302" t="s">
        <v>362</v>
      </c>
      <c r="L7" s="302" t="s">
        <v>363</v>
      </c>
      <c r="M7" s="302" t="s">
        <v>362</v>
      </c>
      <c r="N7" s="302" t="s">
        <v>363</v>
      </c>
      <c r="O7" s="302" t="s">
        <v>362</v>
      </c>
      <c r="P7" s="302" t="s">
        <v>363</v>
      </c>
      <c r="Q7" s="302" t="s">
        <v>362</v>
      </c>
      <c r="R7" s="302" t="s">
        <v>363</v>
      </c>
      <c r="S7" s="432"/>
    </row>
    <row r="8" spans="1:19" s="309" customFormat="1" x14ac:dyDescent="0.2">
      <c r="A8" s="303">
        <v>1</v>
      </c>
      <c r="B8" s="304" t="s">
        <v>364</v>
      </c>
      <c r="C8" s="305">
        <v>61239010.550000012</v>
      </c>
      <c r="D8" s="306"/>
      <c r="E8" s="305">
        <v>0</v>
      </c>
      <c r="F8" s="307"/>
      <c r="G8" s="305">
        <v>0</v>
      </c>
      <c r="H8" s="306"/>
      <c r="I8" s="305">
        <v>0</v>
      </c>
      <c r="J8" s="306"/>
      <c r="K8" s="305">
        <v>0</v>
      </c>
      <c r="L8" s="306"/>
      <c r="M8" s="305">
        <v>77562414.649999991</v>
      </c>
      <c r="N8" s="306"/>
      <c r="O8" s="305">
        <v>0</v>
      </c>
      <c r="P8" s="306"/>
      <c r="Q8" s="305">
        <v>0</v>
      </c>
      <c r="R8" s="307"/>
      <c r="S8" s="308">
        <f>$C$6*SUM(C8:D8)+$E$6*SUM(E8:F8)+$G$6*SUM(G8:H8)+$I$6*SUM(I8:J8)+$K$6*SUM(K8:L8)+$M$6*SUM(M8:N8)+$O$6*SUM(O8:P8)+$Q$6*SUM(Q8:R8)</f>
        <v>77562414.649999991</v>
      </c>
    </row>
    <row r="9" spans="1:19" s="309" customFormat="1" x14ac:dyDescent="0.2">
      <c r="A9" s="303">
        <v>2</v>
      </c>
      <c r="B9" s="304" t="s">
        <v>365</v>
      </c>
      <c r="C9" s="305">
        <v>0</v>
      </c>
      <c r="D9" s="306"/>
      <c r="E9" s="305">
        <v>0</v>
      </c>
      <c r="F9" s="306"/>
      <c r="G9" s="305">
        <v>0</v>
      </c>
      <c r="H9" s="306"/>
      <c r="I9" s="305">
        <v>0</v>
      </c>
      <c r="J9" s="306"/>
      <c r="K9" s="305">
        <v>0</v>
      </c>
      <c r="L9" s="306"/>
      <c r="M9" s="305">
        <v>0</v>
      </c>
      <c r="N9" s="306"/>
      <c r="O9" s="305">
        <v>0</v>
      </c>
      <c r="P9" s="306"/>
      <c r="Q9" s="305">
        <v>0</v>
      </c>
      <c r="R9" s="307"/>
      <c r="S9" s="308">
        <f t="shared" ref="S9:S21" si="0">$C$6*SUM(C9:D9)+$E$6*SUM(E9:F9)+$G$6*SUM(G9:H9)+$I$6*SUM(I9:J9)+$K$6*SUM(K9:L9)+$M$6*SUM(M9:N9)+$O$6*SUM(O9:P9)+$Q$6*SUM(Q9:R9)</f>
        <v>0</v>
      </c>
    </row>
    <row r="10" spans="1:19" s="309" customFormat="1" x14ac:dyDescent="0.2">
      <c r="A10" s="303">
        <v>3</v>
      </c>
      <c r="B10" s="304" t="s">
        <v>366</v>
      </c>
      <c r="C10" s="305">
        <v>0</v>
      </c>
      <c r="D10" s="306"/>
      <c r="E10" s="305">
        <v>0</v>
      </c>
      <c r="F10" s="306"/>
      <c r="G10" s="305">
        <v>0</v>
      </c>
      <c r="H10" s="306"/>
      <c r="I10" s="305">
        <v>0</v>
      </c>
      <c r="J10" s="306"/>
      <c r="K10" s="305">
        <v>0</v>
      </c>
      <c r="L10" s="306"/>
      <c r="M10" s="305">
        <v>0</v>
      </c>
      <c r="N10" s="306"/>
      <c r="O10" s="305">
        <v>0</v>
      </c>
      <c r="P10" s="306"/>
      <c r="Q10" s="305">
        <v>0</v>
      </c>
      <c r="R10" s="307"/>
      <c r="S10" s="308">
        <f t="shared" si="0"/>
        <v>0</v>
      </c>
    </row>
    <row r="11" spans="1:19" s="309" customFormat="1" x14ac:dyDescent="0.2">
      <c r="A11" s="303">
        <v>4</v>
      </c>
      <c r="B11" s="304" t="s">
        <v>367</v>
      </c>
      <c r="C11" s="305">
        <v>0</v>
      </c>
      <c r="D11" s="306"/>
      <c r="E11" s="305">
        <v>0</v>
      </c>
      <c r="F11" s="306"/>
      <c r="G11" s="305">
        <v>0</v>
      </c>
      <c r="H11" s="306"/>
      <c r="I11" s="305">
        <v>0</v>
      </c>
      <c r="J11" s="306"/>
      <c r="K11" s="305">
        <v>0</v>
      </c>
      <c r="L11" s="306"/>
      <c r="M11" s="305">
        <v>0</v>
      </c>
      <c r="N11" s="306"/>
      <c r="O11" s="305">
        <v>0</v>
      </c>
      <c r="P11" s="306"/>
      <c r="Q11" s="305">
        <v>0</v>
      </c>
      <c r="R11" s="307"/>
      <c r="S11" s="308">
        <f t="shared" si="0"/>
        <v>0</v>
      </c>
    </row>
    <row r="12" spans="1:19" s="309" customFormat="1" x14ac:dyDescent="0.2">
      <c r="A12" s="303">
        <v>5</v>
      </c>
      <c r="B12" s="304" t="s">
        <v>368</v>
      </c>
      <c r="C12" s="305">
        <v>0</v>
      </c>
      <c r="D12" s="306"/>
      <c r="E12" s="305">
        <v>0</v>
      </c>
      <c r="F12" s="306"/>
      <c r="G12" s="305">
        <v>0</v>
      </c>
      <c r="H12" s="306"/>
      <c r="I12" s="305">
        <v>0</v>
      </c>
      <c r="J12" s="306"/>
      <c r="K12" s="305">
        <v>0</v>
      </c>
      <c r="L12" s="306"/>
      <c r="M12" s="305">
        <v>0</v>
      </c>
      <c r="N12" s="306"/>
      <c r="O12" s="305">
        <v>0</v>
      </c>
      <c r="P12" s="306"/>
      <c r="Q12" s="305">
        <v>0</v>
      </c>
      <c r="R12" s="307"/>
      <c r="S12" s="308">
        <f t="shared" si="0"/>
        <v>0</v>
      </c>
    </row>
    <row r="13" spans="1:19" s="309" customFormat="1" x14ac:dyDescent="0.2">
      <c r="A13" s="303">
        <v>6</v>
      </c>
      <c r="B13" s="304" t="s">
        <v>369</v>
      </c>
      <c r="C13" s="305">
        <v>0</v>
      </c>
      <c r="D13" s="306"/>
      <c r="E13" s="305">
        <v>7821092.8799999999</v>
      </c>
      <c r="F13" s="306"/>
      <c r="G13" s="305">
        <v>0</v>
      </c>
      <c r="H13" s="306"/>
      <c r="I13" s="305">
        <v>11850756.630000001</v>
      </c>
      <c r="J13" s="306"/>
      <c r="K13" s="305">
        <v>0</v>
      </c>
      <c r="L13" s="306"/>
      <c r="M13" s="305">
        <v>2019265.85</v>
      </c>
      <c r="N13" s="306"/>
      <c r="O13" s="305">
        <v>0</v>
      </c>
      <c r="P13" s="306"/>
      <c r="Q13" s="305">
        <v>0</v>
      </c>
      <c r="R13" s="307"/>
      <c r="S13" s="308">
        <f t="shared" si="0"/>
        <v>9508862.7410000004</v>
      </c>
    </row>
    <row r="14" spans="1:19" s="309" customFormat="1" x14ac:dyDescent="0.2">
      <c r="A14" s="303">
        <v>7</v>
      </c>
      <c r="B14" s="304" t="s">
        <v>370</v>
      </c>
      <c r="C14" s="305">
        <v>0</v>
      </c>
      <c r="D14" s="306"/>
      <c r="E14" s="305">
        <v>0</v>
      </c>
      <c r="F14" s="306"/>
      <c r="G14" s="305">
        <v>0</v>
      </c>
      <c r="H14" s="306"/>
      <c r="I14" s="305">
        <v>0</v>
      </c>
      <c r="J14" s="306">
        <v>0</v>
      </c>
      <c r="K14" s="305">
        <v>0</v>
      </c>
      <c r="L14" s="306"/>
      <c r="M14" s="305">
        <v>98903084.089999989</v>
      </c>
      <c r="N14" s="306">
        <v>16885114.204999998</v>
      </c>
      <c r="O14" s="305">
        <v>0</v>
      </c>
      <c r="P14" s="306"/>
      <c r="Q14" s="305">
        <v>0</v>
      </c>
      <c r="R14" s="307"/>
      <c r="S14" s="308">
        <f t="shared" si="0"/>
        <v>115788198.29499999</v>
      </c>
    </row>
    <row r="15" spans="1:19" s="309" customFormat="1" x14ac:dyDescent="0.2">
      <c r="A15" s="303">
        <v>8</v>
      </c>
      <c r="B15" s="304" t="s">
        <v>371</v>
      </c>
      <c r="C15" s="305">
        <v>0</v>
      </c>
      <c r="D15" s="306"/>
      <c r="E15" s="305">
        <v>0</v>
      </c>
      <c r="F15" s="306"/>
      <c r="G15" s="305">
        <v>0</v>
      </c>
      <c r="H15" s="306"/>
      <c r="I15" s="305">
        <v>0</v>
      </c>
      <c r="J15" s="306">
        <v>0</v>
      </c>
      <c r="K15" s="305">
        <v>165363507.01000044</v>
      </c>
      <c r="L15" s="306">
        <v>4775047.2819999857</v>
      </c>
      <c r="M15" s="305">
        <v>0</v>
      </c>
      <c r="N15" s="306"/>
      <c r="O15" s="305">
        <v>0</v>
      </c>
      <c r="P15" s="306"/>
      <c r="Q15" s="305">
        <v>0</v>
      </c>
      <c r="R15" s="307"/>
      <c r="S15" s="308">
        <f t="shared" si="0"/>
        <v>127603915.71900031</v>
      </c>
    </row>
    <row r="16" spans="1:19" s="309" customFormat="1" x14ac:dyDescent="0.2">
      <c r="A16" s="303">
        <v>9</v>
      </c>
      <c r="B16" s="304" t="s">
        <v>372</v>
      </c>
      <c r="C16" s="305">
        <v>0</v>
      </c>
      <c r="D16" s="306"/>
      <c r="E16" s="305">
        <v>0</v>
      </c>
      <c r="F16" s="306"/>
      <c r="G16" s="305">
        <v>0</v>
      </c>
      <c r="H16" s="306"/>
      <c r="I16" s="305">
        <v>0</v>
      </c>
      <c r="J16" s="306"/>
      <c r="K16" s="305">
        <v>0</v>
      </c>
      <c r="L16" s="306"/>
      <c r="M16" s="305">
        <v>0</v>
      </c>
      <c r="N16" s="306"/>
      <c r="O16" s="305">
        <v>0</v>
      </c>
      <c r="P16" s="306"/>
      <c r="Q16" s="305">
        <v>0</v>
      </c>
      <c r="R16" s="307"/>
      <c r="S16" s="308">
        <f t="shared" si="0"/>
        <v>0</v>
      </c>
    </row>
    <row r="17" spans="1:19" s="309" customFormat="1" x14ac:dyDescent="0.2">
      <c r="A17" s="303">
        <v>10</v>
      </c>
      <c r="B17" s="304" t="s">
        <v>373</v>
      </c>
      <c r="C17" s="305">
        <v>0</v>
      </c>
      <c r="D17" s="306"/>
      <c r="E17" s="305">
        <v>0</v>
      </c>
      <c r="F17" s="306"/>
      <c r="G17" s="305">
        <v>0</v>
      </c>
      <c r="H17" s="306"/>
      <c r="I17" s="305">
        <v>0</v>
      </c>
      <c r="J17" s="306"/>
      <c r="K17" s="305">
        <v>0</v>
      </c>
      <c r="L17" s="306"/>
      <c r="M17" s="305">
        <v>15635554.39000001</v>
      </c>
      <c r="N17" s="306"/>
      <c r="O17" s="305">
        <v>1478114.9399999995</v>
      </c>
      <c r="P17" s="306"/>
      <c r="Q17" s="305">
        <v>0</v>
      </c>
      <c r="R17" s="307"/>
      <c r="S17" s="308">
        <f t="shared" si="0"/>
        <v>17852726.800000008</v>
      </c>
    </row>
    <row r="18" spans="1:19" s="309" customFormat="1" x14ac:dyDescent="0.2">
      <c r="A18" s="303">
        <v>11</v>
      </c>
      <c r="B18" s="304" t="s">
        <v>374</v>
      </c>
      <c r="C18" s="305">
        <v>0</v>
      </c>
      <c r="D18" s="306"/>
      <c r="E18" s="305">
        <v>0</v>
      </c>
      <c r="F18" s="306"/>
      <c r="G18" s="305">
        <v>0</v>
      </c>
      <c r="H18" s="306"/>
      <c r="I18" s="305">
        <v>0</v>
      </c>
      <c r="J18" s="306"/>
      <c r="K18" s="305">
        <v>0</v>
      </c>
      <c r="L18" s="306"/>
      <c r="M18" s="305">
        <v>0</v>
      </c>
      <c r="N18" s="306"/>
      <c r="O18" s="305">
        <v>0</v>
      </c>
      <c r="P18" s="306"/>
      <c r="Q18" s="305">
        <v>0</v>
      </c>
      <c r="R18" s="307"/>
      <c r="S18" s="308">
        <f t="shared" si="0"/>
        <v>0</v>
      </c>
    </row>
    <row r="19" spans="1:19" s="309" customFormat="1" x14ac:dyDescent="0.2">
      <c r="A19" s="303">
        <v>12</v>
      </c>
      <c r="B19" s="304" t="s">
        <v>375</v>
      </c>
      <c r="C19" s="305">
        <v>0</v>
      </c>
      <c r="D19" s="306"/>
      <c r="E19" s="305">
        <v>0</v>
      </c>
      <c r="F19" s="306"/>
      <c r="G19" s="305">
        <v>0</v>
      </c>
      <c r="H19" s="306"/>
      <c r="I19" s="305">
        <v>0</v>
      </c>
      <c r="J19" s="306"/>
      <c r="K19" s="305">
        <v>0</v>
      </c>
      <c r="L19" s="306"/>
      <c r="M19" s="305">
        <v>0</v>
      </c>
      <c r="N19" s="306"/>
      <c r="O19" s="305">
        <v>0</v>
      </c>
      <c r="P19" s="306"/>
      <c r="Q19" s="305">
        <v>0</v>
      </c>
      <c r="R19" s="307"/>
      <c r="S19" s="308">
        <f t="shared" si="0"/>
        <v>0</v>
      </c>
    </row>
    <row r="20" spans="1:19" s="309" customFormat="1" x14ac:dyDescent="0.2">
      <c r="A20" s="303">
        <v>13</v>
      </c>
      <c r="B20" s="304" t="s">
        <v>376</v>
      </c>
      <c r="C20" s="305">
        <v>0</v>
      </c>
      <c r="D20" s="306"/>
      <c r="E20" s="305">
        <v>0</v>
      </c>
      <c r="F20" s="306"/>
      <c r="G20" s="305">
        <v>0</v>
      </c>
      <c r="H20" s="306"/>
      <c r="I20" s="305">
        <v>0</v>
      </c>
      <c r="J20" s="306"/>
      <c r="K20" s="305">
        <v>0</v>
      </c>
      <c r="L20" s="306"/>
      <c r="M20" s="305">
        <v>0</v>
      </c>
      <c r="N20" s="306"/>
      <c r="O20" s="305">
        <v>0</v>
      </c>
      <c r="P20" s="306"/>
      <c r="Q20" s="305">
        <v>0</v>
      </c>
      <c r="R20" s="307"/>
      <c r="S20" s="308">
        <f t="shared" si="0"/>
        <v>0</v>
      </c>
    </row>
    <row r="21" spans="1:19" s="309" customFormat="1" x14ac:dyDescent="0.2">
      <c r="A21" s="303">
        <v>14</v>
      </c>
      <c r="B21" s="304" t="s">
        <v>377</v>
      </c>
      <c r="C21" s="305">
        <v>42162153.210000001</v>
      </c>
      <c r="D21" s="306"/>
      <c r="E21" s="305">
        <v>12227.68</v>
      </c>
      <c r="F21" s="306"/>
      <c r="G21" s="305">
        <v>0</v>
      </c>
      <c r="H21" s="306"/>
      <c r="I21" s="305">
        <v>0</v>
      </c>
      <c r="J21" s="306">
        <v>0</v>
      </c>
      <c r="K21" s="305">
        <v>0</v>
      </c>
      <c r="L21" s="306"/>
      <c r="M21" s="305">
        <v>236950506.25000015</v>
      </c>
      <c r="N21" s="306">
        <v>6459879.3090000004</v>
      </c>
      <c r="O21" s="305">
        <v>0</v>
      </c>
      <c r="P21" s="306"/>
      <c r="Q21" s="305">
        <v>0</v>
      </c>
      <c r="R21" s="307"/>
      <c r="S21" s="308">
        <f t="shared" si="0"/>
        <v>243412831.09500015</v>
      </c>
    </row>
    <row r="22" spans="1:19" ht="13.5" thickBot="1" x14ac:dyDescent="0.25">
      <c r="A22" s="310"/>
      <c r="B22" s="311" t="s">
        <v>80</v>
      </c>
      <c r="C22" s="312">
        <f>SUM(C8:C21)</f>
        <v>103401163.76000002</v>
      </c>
      <c r="D22" s="312">
        <f t="shared" ref="D22:S22" si="1">SUM(D8:D21)</f>
        <v>0</v>
      </c>
      <c r="E22" s="312">
        <f t="shared" si="1"/>
        <v>7833320.5599999996</v>
      </c>
      <c r="F22" s="312">
        <f t="shared" si="1"/>
        <v>0</v>
      </c>
      <c r="G22" s="312">
        <f t="shared" si="1"/>
        <v>0</v>
      </c>
      <c r="H22" s="312">
        <f t="shared" si="1"/>
        <v>0</v>
      </c>
      <c r="I22" s="312">
        <f>SUM(I8:I21)</f>
        <v>11850756.630000001</v>
      </c>
      <c r="J22" s="312">
        <f t="shared" si="1"/>
        <v>0</v>
      </c>
      <c r="K22" s="312">
        <f t="shared" si="1"/>
        <v>165363507.01000044</v>
      </c>
      <c r="L22" s="312">
        <f t="shared" si="1"/>
        <v>4775047.2819999857</v>
      </c>
      <c r="M22" s="312">
        <f t="shared" si="1"/>
        <v>431070825.23000014</v>
      </c>
      <c r="N22" s="312">
        <f t="shared" si="1"/>
        <v>23344993.513999999</v>
      </c>
      <c r="O22" s="312">
        <f t="shared" si="1"/>
        <v>1478114.9399999995</v>
      </c>
      <c r="P22" s="312">
        <f t="shared" si="1"/>
        <v>0</v>
      </c>
      <c r="Q22" s="312">
        <f t="shared" si="1"/>
        <v>0</v>
      </c>
      <c r="R22" s="312">
        <f t="shared" si="1"/>
        <v>0</v>
      </c>
      <c r="S22" s="313">
        <f t="shared" si="1"/>
        <v>591728949.30000043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8"/>
  <sheetViews>
    <sheetView zoomScaleNormal="100" workbookViewId="0">
      <pane xSplit="2" ySplit="6" topLeftCell="S7" activePane="bottomRight" state="frozen"/>
      <selection activeCell="C15" sqref="C15"/>
      <selection pane="topRight" activeCell="C15" sqref="C15"/>
      <selection pane="bottomLeft" activeCell="C15" sqref="C15"/>
      <selection pane="bottomRight" activeCell="C7" sqref="C7:U20"/>
    </sheetView>
  </sheetViews>
  <sheetFormatPr defaultColWidth="9.140625" defaultRowHeight="12.75" x14ac:dyDescent="0.2"/>
  <cols>
    <col min="1" max="1" width="10.5703125" style="21" bestFit="1" customWidth="1"/>
    <col min="2" max="2" width="74.5703125" style="21" customWidth="1"/>
    <col min="3" max="3" width="19" style="21" customWidth="1"/>
    <col min="4" max="4" width="19.5703125" style="21" customWidth="1"/>
    <col min="5" max="5" width="31.140625" style="21" customWidth="1"/>
    <col min="6" max="6" width="29.140625" style="21" customWidth="1"/>
    <col min="7" max="7" width="28.5703125" style="21" customWidth="1"/>
    <col min="8" max="8" width="26.42578125" style="21" customWidth="1"/>
    <col min="9" max="9" width="23.7109375" style="21" customWidth="1"/>
    <col min="10" max="10" width="21.5703125" style="21" customWidth="1"/>
    <col min="11" max="11" width="15.7109375" style="21" customWidth="1"/>
    <col min="12" max="12" width="13.28515625" style="21" customWidth="1"/>
    <col min="13" max="13" width="20.85546875" style="21" customWidth="1"/>
    <col min="14" max="14" width="19.28515625" style="21" customWidth="1"/>
    <col min="15" max="15" width="18.42578125" style="21" customWidth="1"/>
    <col min="16" max="16" width="19" style="21" customWidth="1"/>
    <col min="17" max="17" width="20.28515625" style="21" customWidth="1"/>
    <col min="18" max="18" width="18" style="21" customWidth="1"/>
    <col min="19" max="19" width="36" style="21" customWidth="1"/>
    <col min="20" max="20" width="19.42578125" style="21" customWidth="1"/>
    <col min="21" max="21" width="19.140625" style="21" customWidth="1"/>
    <col min="22" max="22" width="20" style="21" customWidth="1"/>
    <col min="23" max="16384" width="9.140625" style="115"/>
  </cols>
  <sheetData>
    <row r="1" spans="1:22" x14ac:dyDescent="0.2">
      <c r="A1" s="21" t="s">
        <v>31</v>
      </c>
      <c r="B1" s="21" t="str">
        <f>'1. key ratios'!B1</f>
        <v>სს ტერაბანკი</v>
      </c>
    </row>
    <row r="2" spans="1:22" x14ac:dyDescent="0.2">
      <c r="A2" s="21" t="s">
        <v>33</v>
      </c>
      <c r="B2" s="69">
        <f>'1. key ratios'!B2</f>
        <v>43008</v>
      </c>
    </row>
    <row r="4" spans="1:22" ht="27.75" thickBot="1" x14ac:dyDescent="0.35">
      <c r="A4" s="21" t="s">
        <v>378</v>
      </c>
      <c r="B4" s="314" t="s">
        <v>379</v>
      </c>
      <c r="V4" s="268" t="s">
        <v>74</v>
      </c>
    </row>
    <row r="5" spans="1:22" x14ac:dyDescent="0.2">
      <c r="A5" s="315"/>
      <c r="B5" s="316"/>
      <c r="C5" s="435" t="s">
        <v>380</v>
      </c>
      <c r="D5" s="436"/>
      <c r="E5" s="436"/>
      <c r="F5" s="436"/>
      <c r="G5" s="436"/>
      <c r="H5" s="436"/>
      <c r="I5" s="436"/>
      <c r="J5" s="436"/>
      <c r="K5" s="436"/>
      <c r="L5" s="437"/>
      <c r="M5" s="435" t="s">
        <v>381</v>
      </c>
      <c r="N5" s="436"/>
      <c r="O5" s="436"/>
      <c r="P5" s="436"/>
      <c r="Q5" s="436"/>
      <c r="R5" s="436"/>
      <c r="S5" s="437"/>
      <c r="T5" s="438" t="s">
        <v>382</v>
      </c>
      <c r="U5" s="438" t="s">
        <v>383</v>
      </c>
      <c r="V5" s="440" t="s">
        <v>384</v>
      </c>
    </row>
    <row r="6" spans="1:22" s="294" customFormat="1" ht="140.25" x14ac:dyDescent="0.25">
      <c r="A6" s="214"/>
      <c r="B6" s="317"/>
      <c r="C6" s="318" t="s">
        <v>385</v>
      </c>
      <c r="D6" s="319" t="s">
        <v>386</v>
      </c>
      <c r="E6" s="320" t="s">
        <v>387</v>
      </c>
      <c r="F6" s="321" t="s">
        <v>388</v>
      </c>
      <c r="G6" s="319" t="s">
        <v>389</v>
      </c>
      <c r="H6" s="319" t="s">
        <v>390</v>
      </c>
      <c r="I6" s="319" t="s">
        <v>391</v>
      </c>
      <c r="J6" s="319" t="s">
        <v>392</v>
      </c>
      <c r="K6" s="319" t="s">
        <v>393</v>
      </c>
      <c r="L6" s="322" t="s">
        <v>394</v>
      </c>
      <c r="M6" s="318" t="s">
        <v>395</v>
      </c>
      <c r="N6" s="319" t="s">
        <v>396</v>
      </c>
      <c r="O6" s="319" t="s">
        <v>397</v>
      </c>
      <c r="P6" s="319" t="s">
        <v>398</v>
      </c>
      <c r="Q6" s="319" t="s">
        <v>399</v>
      </c>
      <c r="R6" s="319" t="s">
        <v>400</v>
      </c>
      <c r="S6" s="322" t="s">
        <v>401</v>
      </c>
      <c r="T6" s="439"/>
      <c r="U6" s="439"/>
      <c r="V6" s="441"/>
    </row>
    <row r="7" spans="1:22" s="309" customFormat="1" x14ac:dyDescent="0.2">
      <c r="A7" s="323">
        <v>1</v>
      </c>
      <c r="B7" s="324" t="s">
        <v>364</v>
      </c>
      <c r="C7" s="325">
        <v>0</v>
      </c>
      <c r="D7" s="305">
        <v>0</v>
      </c>
      <c r="E7" s="305">
        <v>0</v>
      </c>
      <c r="F7" s="305">
        <v>0</v>
      </c>
      <c r="G7" s="305">
        <v>0</v>
      </c>
      <c r="H7" s="305">
        <v>0</v>
      </c>
      <c r="I7" s="305">
        <v>0</v>
      </c>
      <c r="J7" s="305">
        <v>0</v>
      </c>
      <c r="K7" s="305">
        <v>0</v>
      </c>
      <c r="L7" s="305">
        <v>0</v>
      </c>
      <c r="M7" s="326"/>
      <c r="N7" s="306"/>
      <c r="O7" s="306"/>
      <c r="P7" s="306"/>
      <c r="Q7" s="306"/>
      <c r="R7" s="306"/>
      <c r="S7" s="327"/>
      <c r="T7" s="328">
        <v>0</v>
      </c>
      <c r="U7" s="329"/>
      <c r="V7" s="330">
        <f>SUM(C7:S7)</f>
        <v>0</v>
      </c>
    </row>
    <row r="8" spans="1:22" s="309" customFormat="1" x14ac:dyDescent="0.2">
      <c r="A8" s="323">
        <v>2</v>
      </c>
      <c r="B8" s="324" t="s">
        <v>365</v>
      </c>
      <c r="C8" s="325">
        <v>0</v>
      </c>
      <c r="D8" s="305">
        <v>0</v>
      </c>
      <c r="E8" s="305">
        <v>0</v>
      </c>
      <c r="F8" s="305">
        <v>0</v>
      </c>
      <c r="G8" s="305">
        <v>0</v>
      </c>
      <c r="H8" s="305">
        <v>0</v>
      </c>
      <c r="I8" s="305">
        <v>0</v>
      </c>
      <c r="J8" s="305">
        <v>0</v>
      </c>
      <c r="K8" s="305">
        <v>0</v>
      </c>
      <c r="L8" s="305">
        <v>0</v>
      </c>
      <c r="M8" s="326"/>
      <c r="N8" s="306"/>
      <c r="O8" s="306"/>
      <c r="P8" s="306"/>
      <c r="Q8" s="306"/>
      <c r="R8" s="306"/>
      <c r="S8" s="327"/>
      <c r="T8" s="328">
        <v>0</v>
      </c>
      <c r="U8" s="329"/>
      <c r="V8" s="330">
        <f t="shared" ref="V8:V20" si="0">SUM(C8:S8)</f>
        <v>0</v>
      </c>
    </row>
    <row r="9" spans="1:22" s="309" customFormat="1" x14ac:dyDescent="0.2">
      <c r="A9" s="323">
        <v>3</v>
      </c>
      <c r="B9" s="324" t="s">
        <v>366</v>
      </c>
      <c r="C9" s="325">
        <v>0</v>
      </c>
      <c r="D9" s="305">
        <v>0</v>
      </c>
      <c r="E9" s="305">
        <v>0</v>
      </c>
      <c r="F9" s="305">
        <v>0</v>
      </c>
      <c r="G9" s="305">
        <v>0</v>
      </c>
      <c r="H9" s="305">
        <v>0</v>
      </c>
      <c r="I9" s="305">
        <v>0</v>
      </c>
      <c r="J9" s="305">
        <v>0</v>
      </c>
      <c r="K9" s="305">
        <v>0</v>
      </c>
      <c r="L9" s="305">
        <v>0</v>
      </c>
      <c r="M9" s="326"/>
      <c r="N9" s="306"/>
      <c r="O9" s="306"/>
      <c r="P9" s="306"/>
      <c r="Q9" s="306"/>
      <c r="R9" s="306"/>
      <c r="S9" s="327"/>
      <c r="T9" s="328">
        <v>0</v>
      </c>
      <c r="U9" s="329"/>
      <c r="V9" s="330">
        <f>SUM(C9:S9)</f>
        <v>0</v>
      </c>
    </row>
    <row r="10" spans="1:22" s="309" customFormat="1" x14ac:dyDescent="0.2">
      <c r="A10" s="323">
        <v>4</v>
      </c>
      <c r="B10" s="324" t="s">
        <v>367</v>
      </c>
      <c r="C10" s="325">
        <v>0</v>
      </c>
      <c r="D10" s="305">
        <v>0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05">
        <v>0</v>
      </c>
      <c r="M10" s="326"/>
      <c r="N10" s="306"/>
      <c r="O10" s="306"/>
      <c r="P10" s="306"/>
      <c r="Q10" s="306"/>
      <c r="R10" s="306"/>
      <c r="S10" s="327"/>
      <c r="T10" s="328">
        <v>0</v>
      </c>
      <c r="U10" s="329"/>
      <c r="V10" s="330">
        <f t="shared" si="0"/>
        <v>0</v>
      </c>
    </row>
    <row r="11" spans="1:22" s="309" customFormat="1" x14ac:dyDescent="0.2">
      <c r="A11" s="323">
        <v>5</v>
      </c>
      <c r="B11" s="324" t="s">
        <v>368</v>
      </c>
      <c r="C11" s="325">
        <v>0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326"/>
      <c r="N11" s="306"/>
      <c r="O11" s="306"/>
      <c r="P11" s="306"/>
      <c r="Q11" s="306"/>
      <c r="R11" s="306"/>
      <c r="S11" s="327"/>
      <c r="T11" s="328">
        <v>0</v>
      </c>
      <c r="U11" s="329"/>
      <c r="V11" s="330">
        <f t="shared" si="0"/>
        <v>0</v>
      </c>
    </row>
    <row r="12" spans="1:22" s="309" customFormat="1" x14ac:dyDescent="0.2">
      <c r="A12" s="323">
        <v>6</v>
      </c>
      <c r="B12" s="324" t="s">
        <v>369</v>
      </c>
      <c r="C12" s="32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326"/>
      <c r="N12" s="306"/>
      <c r="O12" s="306"/>
      <c r="P12" s="306"/>
      <c r="Q12" s="306"/>
      <c r="R12" s="306"/>
      <c r="S12" s="327"/>
      <c r="T12" s="328">
        <v>0</v>
      </c>
      <c r="U12" s="329"/>
      <c r="V12" s="330">
        <f t="shared" si="0"/>
        <v>0</v>
      </c>
    </row>
    <row r="13" spans="1:22" s="309" customFormat="1" x14ac:dyDescent="0.2">
      <c r="A13" s="323">
        <v>7</v>
      </c>
      <c r="B13" s="324" t="s">
        <v>370</v>
      </c>
      <c r="C13" s="325">
        <v>0</v>
      </c>
      <c r="D13" s="305">
        <v>23123154.67921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326"/>
      <c r="N13" s="306"/>
      <c r="O13" s="306"/>
      <c r="P13" s="306"/>
      <c r="Q13" s="306"/>
      <c r="R13" s="306"/>
      <c r="S13" s="327"/>
      <c r="T13" s="328">
        <v>14030145.004980002</v>
      </c>
      <c r="U13" s="329">
        <v>9093009.6742299981</v>
      </c>
      <c r="V13" s="330">
        <f t="shared" si="0"/>
        <v>23123154.67921</v>
      </c>
    </row>
    <row r="14" spans="1:22" s="309" customFormat="1" x14ac:dyDescent="0.2">
      <c r="A14" s="323">
        <v>8</v>
      </c>
      <c r="B14" s="324" t="s">
        <v>371</v>
      </c>
      <c r="C14" s="325">
        <v>0</v>
      </c>
      <c r="D14" s="305">
        <v>1155585.5388374999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26"/>
      <c r="N14" s="306"/>
      <c r="O14" s="306"/>
      <c r="P14" s="306"/>
      <c r="Q14" s="306"/>
      <c r="R14" s="306"/>
      <c r="S14" s="327"/>
      <c r="T14" s="328">
        <v>572686.21860000002</v>
      </c>
      <c r="U14" s="329">
        <v>582899.32023750001</v>
      </c>
      <c r="V14" s="330">
        <f t="shared" si="0"/>
        <v>1155585.5388374999</v>
      </c>
    </row>
    <row r="15" spans="1:22" s="309" customFormat="1" x14ac:dyDescent="0.2">
      <c r="A15" s="323">
        <v>9</v>
      </c>
      <c r="B15" s="324" t="s">
        <v>372</v>
      </c>
      <c r="C15" s="32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05">
        <v>0</v>
      </c>
      <c r="M15" s="326"/>
      <c r="N15" s="306"/>
      <c r="O15" s="306"/>
      <c r="P15" s="306"/>
      <c r="Q15" s="306"/>
      <c r="R15" s="306"/>
      <c r="S15" s="327"/>
      <c r="T15" s="328">
        <v>0</v>
      </c>
      <c r="U15" s="329"/>
      <c r="V15" s="330">
        <f t="shared" si="0"/>
        <v>0</v>
      </c>
    </row>
    <row r="16" spans="1:22" s="309" customFormat="1" x14ac:dyDescent="0.2">
      <c r="A16" s="323">
        <v>10</v>
      </c>
      <c r="B16" s="324" t="s">
        <v>373</v>
      </c>
      <c r="C16" s="32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26"/>
      <c r="N16" s="306"/>
      <c r="O16" s="306"/>
      <c r="P16" s="306"/>
      <c r="Q16" s="306"/>
      <c r="R16" s="306"/>
      <c r="S16" s="327"/>
      <c r="T16" s="328">
        <v>0</v>
      </c>
      <c r="U16" s="329"/>
      <c r="V16" s="330">
        <f t="shared" si="0"/>
        <v>0</v>
      </c>
    </row>
    <row r="17" spans="1:22" s="309" customFormat="1" x14ac:dyDescent="0.2">
      <c r="A17" s="323">
        <v>11</v>
      </c>
      <c r="B17" s="324" t="s">
        <v>374</v>
      </c>
      <c r="C17" s="325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326"/>
      <c r="N17" s="306"/>
      <c r="O17" s="306"/>
      <c r="P17" s="306"/>
      <c r="Q17" s="306"/>
      <c r="R17" s="306"/>
      <c r="S17" s="327"/>
      <c r="T17" s="328">
        <v>0</v>
      </c>
      <c r="U17" s="329"/>
      <c r="V17" s="330">
        <f t="shared" si="0"/>
        <v>0</v>
      </c>
    </row>
    <row r="18" spans="1:22" s="309" customFormat="1" x14ac:dyDescent="0.2">
      <c r="A18" s="323">
        <v>12</v>
      </c>
      <c r="B18" s="324" t="s">
        <v>375</v>
      </c>
      <c r="C18" s="325">
        <v>0</v>
      </c>
      <c r="D18" s="305">
        <v>0</v>
      </c>
      <c r="E18" s="305">
        <v>0</v>
      </c>
      <c r="F18" s="305">
        <v>0</v>
      </c>
      <c r="G18" s="305">
        <v>0</v>
      </c>
      <c r="H18" s="305">
        <v>0</v>
      </c>
      <c r="I18" s="305">
        <v>0</v>
      </c>
      <c r="J18" s="305">
        <v>0</v>
      </c>
      <c r="K18" s="305">
        <v>0</v>
      </c>
      <c r="L18" s="305">
        <v>0</v>
      </c>
      <c r="M18" s="326"/>
      <c r="N18" s="306"/>
      <c r="O18" s="306"/>
      <c r="P18" s="306"/>
      <c r="Q18" s="306"/>
      <c r="R18" s="306"/>
      <c r="S18" s="327"/>
      <c r="T18" s="328">
        <v>0</v>
      </c>
      <c r="U18" s="329"/>
      <c r="V18" s="330">
        <f t="shared" si="0"/>
        <v>0</v>
      </c>
    </row>
    <row r="19" spans="1:22" s="309" customFormat="1" x14ac:dyDescent="0.2">
      <c r="A19" s="323">
        <v>13</v>
      </c>
      <c r="B19" s="324" t="s">
        <v>376</v>
      </c>
      <c r="C19" s="32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305">
        <v>0</v>
      </c>
      <c r="M19" s="326"/>
      <c r="N19" s="306"/>
      <c r="O19" s="306"/>
      <c r="P19" s="306"/>
      <c r="Q19" s="306"/>
      <c r="R19" s="306"/>
      <c r="S19" s="327"/>
      <c r="T19" s="328">
        <v>0</v>
      </c>
      <c r="U19" s="329"/>
      <c r="V19" s="330">
        <f t="shared" si="0"/>
        <v>0</v>
      </c>
    </row>
    <row r="20" spans="1:22" s="309" customFormat="1" x14ac:dyDescent="0.2">
      <c r="A20" s="323">
        <v>14</v>
      </c>
      <c r="B20" s="324" t="s">
        <v>377</v>
      </c>
      <c r="C20" s="325">
        <v>0</v>
      </c>
      <c r="D20" s="305">
        <v>10963637.041789999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305">
        <v>0</v>
      </c>
      <c r="M20" s="326"/>
      <c r="N20" s="306"/>
      <c r="O20" s="306"/>
      <c r="P20" s="306"/>
      <c r="Q20" s="306"/>
      <c r="R20" s="306"/>
      <c r="S20" s="327"/>
      <c r="T20" s="328">
        <v>10290302.663099999</v>
      </c>
      <c r="U20" s="329">
        <v>673334.37869000004</v>
      </c>
      <c r="V20" s="330">
        <f t="shared" si="0"/>
        <v>10963637.041789999</v>
      </c>
    </row>
    <row r="21" spans="1:22" ht="13.5" thickBot="1" x14ac:dyDescent="0.25">
      <c r="A21" s="310"/>
      <c r="B21" s="331" t="s">
        <v>80</v>
      </c>
      <c r="C21" s="332">
        <f>SUM(C7:C20)</f>
        <v>0</v>
      </c>
      <c r="D21" s="312">
        <f t="shared" ref="D21:V21" si="1">SUM(D7:D20)</f>
        <v>35242377.259837501</v>
      </c>
      <c r="E21" s="312">
        <f t="shared" si="1"/>
        <v>0</v>
      </c>
      <c r="F21" s="312">
        <f t="shared" si="1"/>
        <v>0</v>
      </c>
      <c r="G21" s="312">
        <f t="shared" si="1"/>
        <v>0</v>
      </c>
      <c r="H21" s="312">
        <f t="shared" si="1"/>
        <v>0</v>
      </c>
      <c r="I21" s="312">
        <f t="shared" si="1"/>
        <v>0</v>
      </c>
      <c r="J21" s="312">
        <f t="shared" si="1"/>
        <v>0</v>
      </c>
      <c r="K21" s="312">
        <f t="shared" si="1"/>
        <v>0</v>
      </c>
      <c r="L21" s="333">
        <f t="shared" si="1"/>
        <v>0</v>
      </c>
      <c r="M21" s="332">
        <f t="shared" si="1"/>
        <v>0</v>
      </c>
      <c r="N21" s="312">
        <f t="shared" si="1"/>
        <v>0</v>
      </c>
      <c r="O21" s="312">
        <f t="shared" si="1"/>
        <v>0</v>
      </c>
      <c r="P21" s="312">
        <f t="shared" si="1"/>
        <v>0</v>
      </c>
      <c r="Q21" s="312">
        <f t="shared" si="1"/>
        <v>0</v>
      </c>
      <c r="R21" s="312">
        <f t="shared" si="1"/>
        <v>0</v>
      </c>
      <c r="S21" s="333">
        <f t="shared" si="1"/>
        <v>0</v>
      </c>
      <c r="T21" s="333">
        <f>SUM(T7:T20)</f>
        <v>24893133.88668</v>
      </c>
      <c r="U21" s="333">
        <f t="shared" si="1"/>
        <v>10349243.373157499</v>
      </c>
      <c r="V21" s="334">
        <f t="shared" si="1"/>
        <v>35242377.259837501</v>
      </c>
    </row>
    <row r="24" spans="1:22" x14ac:dyDescent="0.2">
      <c r="A24" s="26"/>
      <c r="B24" s="26"/>
      <c r="C24" s="335"/>
      <c r="D24" s="335"/>
      <c r="E24" s="335"/>
    </row>
    <row r="25" spans="1:22" x14ac:dyDescent="0.2">
      <c r="A25" s="336"/>
      <c r="B25" s="336"/>
      <c r="C25" s="26"/>
      <c r="D25" s="335"/>
      <c r="E25" s="335"/>
    </row>
    <row r="26" spans="1:22" x14ac:dyDescent="0.2">
      <c r="A26" s="336"/>
      <c r="B26" s="337"/>
      <c r="C26" s="26"/>
      <c r="D26" s="335"/>
      <c r="E26" s="335"/>
    </row>
    <row r="27" spans="1:22" x14ac:dyDescent="0.2">
      <c r="A27" s="336"/>
      <c r="B27" s="336"/>
      <c r="C27" s="26"/>
      <c r="D27" s="335"/>
      <c r="E27" s="335"/>
    </row>
    <row r="28" spans="1:22" x14ac:dyDescent="0.2">
      <c r="A28" s="336"/>
      <c r="B28" s="337"/>
      <c r="C28" s="26"/>
      <c r="D28" s="335"/>
      <c r="E28" s="335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zoomScaleNormal="100" workbookViewId="0">
      <pane xSplit="1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C8" sqref="C8:G21"/>
    </sheetView>
  </sheetViews>
  <sheetFormatPr defaultColWidth="9.140625" defaultRowHeight="12.75" x14ac:dyDescent="0.2"/>
  <cols>
    <col min="1" max="1" width="10.5703125" style="21" bestFit="1" customWidth="1"/>
    <col min="2" max="2" width="101.85546875" style="21" customWidth="1"/>
    <col min="3" max="3" width="13.7109375" style="21" customWidth="1"/>
    <col min="4" max="4" width="14.85546875" style="21" bestFit="1" customWidth="1"/>
    <col min="5" max="5" width="17.7109375" style="21" customWidth="1"/>
    <col min="6" max="6" width="15.85546875" style="21" customWidth="1"/>
    <col min="7" max="7" width="17.42578125" style="21" customWidth="1"/>
    <col min="8" max="8" width="15.28515625" style="21" customWidth="1"/>
    <col min="9" max="16384" width="9.140625" style="115"/>
  </cols>
  <sheetData>
    <row r="1" spans="1:9" x14ac:dyDescent="0.2">
      <c r="A1" s="21" t="s">
        <v>31</v>
      </c>
      <c r="B1" s="21" t="str">
        <f>'1. key ratios'!B1</f>
        <v>სს ტერაბანკი</v>
      </c>
    </row>
    <row r="2" spans="1:9" x14ac:dyDescent="0.2">
      <c r="A2" s="21" t="s">
        <v>33</v>
      </c>
      <c r="B2" s="69">
        <f>'1. key ratios'!B2</f>
        <v>43008</v>
      </c>
    </row>
    <row r="4" spans="1:9" ht="13.5" thickBot="1" x14ac:dyDescent="0.25">
      <c r="A4" s="21" t="s">
        <v>402</v>
      </c>
      <c r="B4" s="338" t="s">
        <v>403</v>
      </c>
    </row>
    <row r="5" spans="1:9" x14ac:dyDescent="0.2">
      <c r="A5" s="315"/>
      <c r="B5" s="339"/>
      <c r="C5" s="340" t="s">
        <v>259</v>
      </c>
      <c r="D5" s="340" t="s">
        <v>260</v>
      </c>
      <c r="E5" s="340" t="s">
        <v>261</v>
      </c>
      <c r="F5" s="340" t="s">
        <v>262</v>
      </c>
      <c r="G5" s="341" t="s">
        <v>347</v>
      </c>
      <c r="H5" s="342" t="s">
        <v>348</v>
      </c>
      <c r="I5" s="343"/>
    </row>
    <row r="6" spans="1:9" ht="15" customHeight="1" x14ac:dyDescent="0.2">
      <c r="A6" s="301"/>
      <c r="B6" s="344"/>
      <c r="C6" s="442" t="s">
        <v>404</v>
      </c>
      <c r="D6" s="444" t="s">
        <v>405</v>
      </c>
      <c r="E6" s="445"/>
      <c r="F6" s="442" t="s">
        <v>406</v>
      </c>
      <c r="G6" s="442" t="s">
        <v>407</v>
      </c>
      <c r="H6" s="427" t="s">
        <v>408</v>
      </c>
      <c r="I6" s="343"/>
    </row>
    <row r="7" spans="1:9" ht="76.5" x14ac:dyDescent="0.2">
      <c r="A7" s="301"/>
      <c r="B7" s="344"/>
      <c r="C7" s="443"/>
      <c r="D7" s="345" t="s">
        <v>409</v>
      </c>
      <c r="E7" s="345" t="s">
        <v>410</v>
      </c>
      <c r="F7" s="443"/>
      <c r="G7" s="443"/>
      <c r="H7" s="428"/>
      <c r="I7" s="343"/>
    </row>
    <row r="8" spans="1:9" x14ac:dyDescent="0.2">
      <c r="A8" s="346">
        <v>1</v>
      </c>
      <c r="B8" s="247" t="s">
        <v>364</v>
      </c>
      <c r="C8" s="347">
        <v>138801425.19999999</v>
      </c>
      <c r="D8" s="348">
        <v>0</v>
      </c>
      <c r="E8" s="347">
        <v>0</v>
      </c>
      <c r="F8" s="347">
        <f>'11. CRWA'!S8</f>
        <v>77562414.649999991</v>
      </c>
      <c r="G8" s="349">
        <f>'11. CRWA'!S8-'12. CRM'!V7</f>
        <v>77562414.649999991</v>
      </c>
      <c r="H8" s="350">
        <f>IFERROR(G8/(C8+E8),"")</f>
        <v>0.5588012841960357</v>
      </c>
    </row>
    <row r="9" spans="1:9" ht="15" customHeight="1" x14ac:dyDescent="0.2">
      <c r="A9" s="346">
        <v>2</v>
      </c>
      <c r="B9" s="247" t="s">
        <v>365</v>
      </c>
      <c r="C9" s="347">
        <v>0</v>
      </c>
      <c r="D9" s="348">
        <v>0</v>
      </c>
      <c r="E9" s="347">
        <v>0</v>
      </c>
      <c r="F9" s="347">
        <f>'11. CRWA'!S9</f>
        <v>0</v>
      </c>
      <c r="G9" s="349">
        <f>'11. CRWA'!S9-'12. CRM'!V8</f>
        <v>0</v>
      </c>
      <c r="H9" s="350" t="str">
        <f t="shared" ref="H9:H22" si="0">IFERROR(G9/(C9+E9),"")</f>
        <v/>
      </c>
    </row>
    <row r="10" spans="1:9" x14ac:dyDescent="0.2">
      <c r="A10" s="346">
        <v>3</v>
      </c>
      <c r="B10" s="247" t="s">
        <v>366</v>
      </c>
      <c r="C10" s="347">
        <v>0</v>
      </c>
      <c r="D10" s="348">
        <v>0</v>
      </c>
      <c r="E10" s="347">
        <v>0</v>
      </c>
      <c r="F10" s="347">
        <f>'11. CRWA'!S10</f>
        <v>0</v>
      </c>
      <c r="G10" s="349">
        <f>'11. CRWA'!S10-'12. CRM'!V9</f>
        <v>0</v>
      </c>
      <c r="H10" s="350" t="str">
        <f t="shared" si="0"/>
        <v/>
      </c>
    </row>
    <row r="11" spans="1:9" x14ac:dyDescent="0.2">
      <c r="A11" s="346">
        <v>4</v>
      </c>
      <c r="B11" s="247" t="s">
        <v>367</v>
      </c>
      <c r="C11" s="347">
        <v>0</v>
      </c>
      <c r="D11" s="348">
        <v>0</v>
      </c>
      <c r="E11" s="347">
        <v>0</v>
      </c>
      <c r="F11" s="347">
        <f>'11. CRWA'!S11</f>
        <v>0</v>
      </c>
      <c r="G11" s="349">
        <f>'11. CRWA'!S11-'12. CRM'!V10</f>
        <v>0</v>
      </c>
      <c r="H11" s="350" t="str">
        <f t="shared" si="0"/>
        <v/>
      </c>
    </row>
    <row r="12" spans="1:9" x14ac:dyDescent="0.2">
      <c r="A12" s="346">
        <v>5</v>
      </c>
      <c r="B12" s="247" t="s">
        <v>368</v>
      </c>
      <c r="C12" s="347">
        <v>0</v>
      </c>
      <c r="D12" s="348">
        <v>0</v>
      </c>
      <c r="E12" s="347">
        <v>0</v>
      </c>
      <c r="F12" s="347">
        <f>'11. CRWA'!S12</f>
        <v>0</v>
      </c>
      <c r="G12" s="349">
        <f>'11. CRWA'!S12-'12. CRM'!V11</f>
        <v>0</v>
      </c>
      <c r="H12" s="350" t="str">
        <f t="shared" si="0"/>
        <v/>
      </c>
    </row>
    <row r="13" spans="1:9" x14ac:dyDescent="0.2">
      <c r="A13" s="346">
        <v>6</v>
      </c>
      <c r="B13" s="247" t="s">
        <v>369</v>
      </c>
      <c r="C13" s="347">
        <v>21691115.360000003</v>
      </c>
      <c r="D13" s="348">
        <v>0</v>
      </c>
      <c r="E13" s="347">
        <v>0</v>
      </c>
      <c r="F13" s="347">
        <f>'11. CRWA'!S13</f>
        <v>9508862.7410000004</v>
      </c>
      <c r="G13" s="349">
        <f>'11. CRWA'!S13-'12. CRM'!V12</f>
        <v>9508862.7410000004</v>
      </c>
      <c r="H13" s="350">
        <f t="shared" si="0"/>
        <v>0.43837592411384413</v>
      </c>
    </row>
    <row r="14" spans="1:9" x14ac:dyDescent="0.2">
      <c r="A14" s="346">
        <v>7</v>
      </c>
      <c r="B14" s="247" t="s">
        <v>370</v>
      </c>
      <c r="C14" s="347">
        <v>98903084.089999989</v>
      </c>
      <c r="D14" s="348">
        <v>32611513.460000001</v>
      </c>
      <c r="E14" s="347">
        <v>16885114.204999998</v>
      </c>
      <c r="F14" s="347">
        <v>147919988.47502497</v>
      </c>
      <c r="G14" s="349">
        <v>124796833.79581496</v>
      </c>
      <c r="H14" s="350">
        <f t="shared" si="0"/>
        <v>1.0778027090279372</v>
      </c>
    </row>
    <row r="15" spans="1:9" x14ac:dyDescent="0.2">
      <c r="A15" s="346">
        <v>8</v>
      </c>
      <c r="B15" s="247" t="s">
        <v>371</v>
      </c>
      <c r="C15" s="347">
        <v>165363507.01000044</v>
      </c>
      <c r="D15" s="348">
        <v>9626170.0999999847</v>
      </c>
      <c r="E15" s="347">
        <v>4775047.2819999857</v>
      </c>
      <c r="F15" s="347">
        <v>177438719.79900023</v>
      </c>
      <c r="G15" s="349">
        <v>176283134.26016274</v>
      </c>
      <c r="H15" s="350">
        <f t="shared" si="0"/>
        <v>1.0361151532862838</v>
      </c>
    </row>
    <row r="16" spans="1:9" x14ac:dyDescent="0.2">
      <c r="A16" s="346">
        <v>9</v>
      </c>
      <c r="B16" s="247" t="s">
        <v>372</v>
      </c>
      <c r="C16" s="347">
        <v>0</v>
      </c>
      <c r="D16" s="348">
        <v>0</v>
      </c>
      <c r="E16" s="347">
        <v>0</v>
      </c>
      <c r="F16" s="347">
        <v>0</v>
      </c>
      <c r="G16" s="349">
        <v>0</v>
      </c>
      <c r="H16" s="350" t="str">
        <f t="shared" si="0"/>
        <v/>
      </c>
    </row>
    <row r="17" spans="1:8" x14ac:dyDescent="0.2">
      <c r="A17" s="346">
        <v>10</v>
      </c>
      <c r="B17" s="247" t="s">
        <v>373</v>
      </c>
      <c r="C17" s="347">
        <v>17113669.330000009</v>
      </c>
      <c r="D17" s="348">
        <v>0</v>
      </c>
      <c r="E17" s="347">
        <v>0</v>
      </c>
      <c r="F17" s="347">
        <v>22983131.267500009</v>
      </c>
      <c r="G17" s="349">
        <v>22983131.267500009</v>
      </c>
      <c r="H17" s="350">
        <f t="shared" si="0"/>
        <v>1.3429692267812443</v>
      </c>
    </row>
    <row r="18" spans="1:8" x14ac:dyDescent="0.2">
      <c r="A18" s="346">
        <v>11</v>
      </c>
      <c r="B18" s="247" t="s">
        <v>374</v>
      </c>
      <c r="C18" s="347">
        <v>0</v>
      </c>
      <c r="D18" s="348">
        <v>0</v>
      </c>
      <c r="E18" s="347">
        <v>0</v>
      </c>
      <c r="F18" s="347">
        <v>0</v>
      </c>
      <c r="G18" s="349">
        <v>0</v>
      </c>
      <c r="H18" s="350" t="str">
        <f t="shared" si="0"/>
        <v/>
      </c>
    </row>
    <row r="19" spans="1:8" x14ac:dyDescent="0.2">
      <c r="A19" s="346">
        <v>12</v>
      </c>
      <c r="B19" s="247" t="s">
        <v>375</v>
      </c>
      <c r="C19" s="347">
        <v>0</v>
      </c>
      <c r="D19" s="348">
        <v>0</v>
      </c>
      <c r="E19" s="347">
        <v>0</v>
      </c>
      <c r="F19" s="347">
        <v>0</v>
      </c>
      <c r="G19" s="349">
        <v>0</v>
      </c>
      <c r="H19" s="350" t="str">
        <f t="shared" si="0"/>
        <v/>
      </c>
    </row>
    <row r="20" spans="1:8" x14ac:dyDescent="0.2">
      <c r="A20" s="346">
        <v>13</v>
      </c>
      <c r="B20" s="247" t="s">
        <v>376</v>
      </c>
      <c r="C20" s="347">
        <v>0</v>
      </c>
      <c r="D20" s="348">
        <v>0</v>
      </c>
      <c r="E20" s="347">
        <v>0</v>
      </c>
      <c r="F20" s="347">
        <v>0</v>
      </c>
      <c r="G20" s="349">
        <v>0</v>
      </c>
      <c r="H20" s="350" t="str">
        <f t="shared" si="0"/>
        <v/>
      </c>
    </row>
    <row r="21" spans="1:8" x14ac:dyDescent="0.2">
      <c r="A21" s="346">
        <v>14</v>
      </c>
      <c r="B21" s="247" t="s">
        <v>377</v>
      </c>
      <c r="C21" s="347">
        <v>279124887.14000016</v>
      </c>
      <c r="D21" s="348">
        <v>12308805.719999999</v>
      </c>
      <c r="E21" s="347">
        <v>6459879.3090000004</v>
      </c>
      <c r="F21" s="347">
        <v>355683267.56250024</v>
      </c>
      <c r="G21" s="349">
        <v>344719630.52071023</v>
      </c>
      <c r="H21" s="350">
        <f t="shared" si="0"/>
        <v>1.2070658908281453</v>
      </c>
    </row>
    <row r="22" spans="1:8" ht="13.5" thickBot="1" x14ac:dyDescent="0.25">
      <c r="A22" s="351"/>
      <c r="B22" s="352" t="s">
        <v>80</v>
      </c>
      <c r="C22" s="353">
        <f>SUM(C8:C21)</f>
        <v>720997688.13000059</v>
      </c>
      <c r="D22" s="353">
        <f t="shared" ref="D22:G22" si="1">SUM(D8:D21)</f>
        <v>54546489.279999986</v>
      </c>
      <c r="E22" s="353">
        <f t="shared" si="1"/>
        <v>28120040.795999985</v>
      </c>
      <c r="F22" s="353">
        <f t="shared" si="1"/>
        <v>791096384.4950254</v>
      </c>
      <c r="G22" s="353">
        <f t="shared" si="1"/>
        <v>755854007.23518801</v>
      </c>
      <c r="H22" s="354">
        <f t="shared" si="0"/>
        <v>1.0089922825866704</v>
      </c>
    </row>
    <row r="28" spans="1:8" ht="10.5" customHeight="1" x14ac:dyDescent="0.2"/>
  </sheetData>
  <mergeCells count="5">
    <mergeCell ref="C6:C7"/>
    <mergeCell ref="D6:E6"/>
    <mergeCell ref="F6:F7"/>
    <mergeCell ref="G6:G7"/>
    <mergeCell ref="H6:H7"/>
  </mergeCells>
  <pageMargins left="0.7" right="0.7" top="0.75" bottom="0.75" header="0.3" footer="0.3"/>
  <pageSetup paperSize="9" scale="4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zoomScaleNormal="10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C7" sqref="C7:D15"/>
    </sheetView>
  </sheetViews>
  <sheetFormatPr defaultColWidth="9.140625" defaultRowHeight="12.75" x14ac:dyDescent="0.2"/>
  <cols>
    <col min="1" max="1" width="10.5703125" style="21" bestFit="1" customWidth="1"/>
    <col min="2" max="2" width="104.140625" style="21" customWidth="1"/>
    <col min="3" max="3" width="23.5703125" style="21" customWidth="1"/>
    <col min="4" max="4" width="24.28515625" style="21" customWidth="1"/>
    <col min="5" max="16384" width="9.140625" style="115"/>
  </cols>
  <sheetData>
    <row r="1" spans="1:4" x14ac:dyDescent="0.2">
      <c r="A1" s="21" t="s">
        <v>31</v>
      </c>
      <c r="B1" s="21" t="str">
        <f>'1. key ratios'!B1</f>
        <v>სს ტერაბანკი</v>
      </c>
    </row>
    <row r="2" spans="1:4" x14ac:dyDescent="0.2">
      <c r="A2" s="21" t="s">
        <v>33</v>
      </c>
      <c r="B2" s="69">
        <f>'1. key ratios'!B2</f>
        <v>43008</v>
      </c>
      <c r="C2" s="19"/>
      <c r="D2" s="19"/>
    </row>
    <row r="3" spans="1:4" x14ac:dyDescent="0.2">
      <c r="B3" s="19"/>
      <c r="C3" s="19"/>
      <c r="D3" s="19"/>
    </row>
    <row r="4" spans="1:4" ht="13.5" thickBot="1" x14ac:dyDescent="0.25">
      <c r="A4" s="21" t="s">
        <v>411</v>
      </c>
      <c r="B4" s="355" t="s">
        <v>25</v>
      </c>
      <c r="C4" s="355"/>
      <c r="D4" s="356"/>
    </row>
    <row r="5" spans="1:4" x14ac:dyDescent="0.2">
      <c r="A5" s="357"/>
      <c r="B5" s="297"/>
      <c r="C5" s="358" t="s">
        <v>259</v>
      </c>
      <c r="D5" s="359" t="s">
        <v>260</v>
      </c>
    </row>
    <row r="6" spans="1:4" ht="66.75" customHeight="1" x14ac:dyDescent="0.2">
      <c r="A6" s="360"/>
      <c r="B6" s="361" t="s">
        <v>412</v>
      </c>
      <c r="C6" s="362" t="s">
        <v>413</v>
      </c>
      <c r="D6" s="363" t="s">
        <v>25</v>
      </c>
    </row>
    <row r="7" spans="1:4" ht="13.5" x14ac:dyDescent="0.25">
      <c r="A7" s="364">
        <v>1</v>
      </c>
      <c r="B7" s="247" t="s">
        <v>370</v>
      </c>
      <c r="C7" s="365">
        <v>56764969.429999977</v>
      </c>
      <c r="D7" s="366">
        <v>32131790.180024981</v>
      </c>
    </row>
    <row r="8" spans="1:4" ht="13.5" x14ac:dyDescent="0.25">
      <c r="A8" s="364">
        <v>2</v>
      </c>
      <c r="B8" s="247" t="s">
        <v>371</v>
      </c>
      <c r="C8" s="365">
        <v>66692174.269999899</v>
      </c>
      <c r="D8" s="366">
        <v>49834804.079999924</v>
      </c>
    </row>
    <row r="9" spans="1:4" ht="13.5" x14ac:dyDescent="0.25">
      <c r="A9" s="364">
        <v>3</v>
      </c>
      <c r="B9" s="247" t="s">
        <v>372</v>
      </c>
      <c r="C9" s="365">
        <v>0</v>
      </c>
      <c r="D9" s="366">
        <v>0</v>
      </c>
    </row>
    <row r="10" spans="1:4" ht="13.5" x14ac:dyDescent="0.25">
      <c r="A10" s="364">
        <v>4</v>
      </c>
      <c r="B10" s="247" t="s">
        <v>373</v>
      </c>
      <c r="C10" s="365">
        <v>6840539.290000001</v>
      </c>
      <c r="D10" s="366">
        <v>5130404.4675000012</v>
      </c>
    </row>
    <row r="11" spans="1:4" ht="13.5" x14ac:dyDescent="0.25">
      <c r="A11" s="364">
        <v>5</v>
      </c>
      <c r="B11" s="247" t="s">
        <v>374</v>
      </c>
      <c r="C11" s="365">
        <v>0</v>
      </c>
      <c r="D11" s="366">
        <v>0</v>
      </c>
    </row>
    <row r="12" spans="1:4" ht="13.5" x14ac:dyDescent="0.25">
      <c r="A12" s="364">
        <v>6</v>
      </c>
      <c r="B12" s="247" t="s">
        <v>375</v>
      </c>
      <c r="C12" s="365">
        <v>0</v>
      </c>
      <c r="D12" s="366">
        <v>0</v>
      </c>
    </row>
    <row r="13" spans="1:4" ht="13.5" x14ac:dyDescent="0.25">
      <c r="A13" s="364">
        <v>7</v>
      </c>
      <c r="B13" s="367" t="s">
        <v>376</v>
      </c>
      <c r="C13" s="365">
        <v>0</v>
      </c>
      <c r="D13" s="366">
        <v>0</v>
      </c>
    </row>
    <row r="14" spans="1:4" ht="13.5" x14ac:dyDescent="0.25">
      <c r="A14" s="364">
        <v>8</v>
      </c>
      <c r="B14" s="367" t="s">
        <v>414</v>
      </c>
      <c r="C14" s="365">
        <v>159678046.87000021</v>
      </c>
      <c r="D14" s="366">
        <v>112270436.46750012</v>
      </c>
    </row>
    <row r="15" spans="1:4" ht="13.5" thickBot="1" x14ac:dyDescent="0.25">
      <c r="A15" s="368">
        <v>9</v>
      </c>
      <c r="B15" s="311" t="s">
        <v>80</v>
      </c>
      <c r="C15" s="369">
        <f>SUM(C7:C14)</f>
        <v>289975729.86000007</v>
      </c>
      <c r="D15" s="370">
        <f>SUM(D7:D14)</f>
        <v>199367435.19502503</v>
      </c>
    </row>
    <row r="17" spans="2:2" x14ac:dyDescent="0.2">
      <c r="B17" s="21" t="s">
        <v>415</v>
      </c>
    </row>
  </sheetData>
  <pageMargins left="0.7" right="0.7" top="0.75" bottom="0.75" header="0.3" footer="0.3"/>
  <pageSetup paperSize="9"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22"/>
  <sheetViews>
    <sheetView tabSelected="1" zoomScaleNormal="10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K8" sqref="K8"/>
    </sheetView>
  </sheetViews>
  <sheetFormatPr defaultColWidth="9.140625" defaultRowHeight="15" x14ac:dyDescent="0.3"/>
  <cols>
    <col min="1" max="1" width="10.5703125" style="265" bestFit="1" customWidth="1"/>
    <col min="2" max="2" width="95" style="265" customWidth="1"/>
    <col min="3" max="3" width="15" style="265" customWidth="1"/>
    <col min="4" max="4" width="10" style="265" bestFit="1" customWidth="1"/>
    <col min="5" max="5" width="18.28515625" style="265" bestFit="1" customWidth="1"/>
    <col min="6" max="10" width="5.85546875" style="265" customWidth="1"/>
    <col min="11" max="11" width="11" style="265" bestFit="1" customWidth="1"/>
    <col min="12" max="13" width="5.7109375" style="265" bestFit="1" customWidth="1"/>
    <col min="14" max="14" width="31" style="265" bestFit="1" customWidth="1"/>
    <col min="15" max="16384" width="9.140625" style="115"/>
  </cols>
  <sheetData>
    <row r="1" spans="1:14" x14ac:dyDescent="0.3">
      <c r="A1" s="265" t="s">
        <v>416</v>
      </c>
      <c r="B1" s="21" t="str">
        <f>'1. key ratios'!B1</f>
        <v>სს ტერაბანკი</v>
      </c>
    </row>
    <row r="2" spans="1:14" ht="14.25" customHeight="1" x14ac:dyDescent="0.3">
      <c r="A2" s="265" t="s">
        <v>33</v>
      </c>
      <c r="B2" s="69">
        <f>'1. key ratios'!B2</f>
        <v>43008</v>
      </c>
    </row>
    <row r="3" spans="1:14" ht="14.25" customHeight="1" x14ac:dyDescent="0.3"/>
    <row r="4" spans="1:14" ht="15.75" thickBot="1" x14ac:dyDescent="0.35">
      <c r="A4" s="21" t="s">
        <v>417</v>
      </c>
      <c r="B4" s="371" t="s">
        <v>26</v>
      </c>
    </row>
    <row r="5" spans="1:14" s="376" customFormat="1" ht="12.75" x14ac:dyDescent="0.2">
      <c r="A5" s="372"/>
      <c r="B5" s="373"/>
      <c r="C5" s="374" t="s">
        <v>259</v>
      </c>
      <c r="D5" s="374" t="s">
        <v>260</v>
      </c>
      <c r="E5" s="374" t="s">
        <v>261</v>
      </c>
      <c r="F5" s="374" t="s">
        <v>262</v>
      </c>
      <c r="G5" s="374" t="s">
        <v>347</v>
      </c>
      <c r="H5" s="374" t="s">
        <v>348</v>
      </c>
      <c r="I5" s="374" t="s">
        <v>349</v>
      </c>
      <c r="J5" s="374" t="s">
        <v>350</v>
      </c>
      <c r="K5" s="374" t="s">
        <v>351</v>
      </c>
      <c r="L5" s="374" t="s">
        <v>352</v>
      </c>
      <c r="M5" s="374" t="s">
        <v>353</v>
      </c>
      <c r="N5" s="375" t="s">
        <v>354</v>
      </c>
    </row>
    <row r="6" spans="1:14" ht="45" x14ac:dyDescent="0.3">
      <c r="A6" s="377"/>
      <c r="B6" s="378"/>
      <c r="C6" s="379" t="s">
        <v>418</v>
      </c>
      <c r="D6" s="380" t="s">
        <v>419</v>
      </c>
      <c r="E6" s="381" t="s">
        <v>420</v>
      </c>
      <c r="F6" s="382">
        <v>0</v>
      </c>
      <c r="G6" s="382">
        <v>0.2</v>
      </c>
      <c r="H6" s="382">
        <v>0.35</v>
      </c>
      <c r="I6" s="382">
        <v>0.5</v>
      </c>
      <c r="J6" s="382">
        <v>0.75</v>
      </c>
      <c r="K6" s="382">
        <v>1</v>
      </c>
      <c r="L6" s="382">
        <v>1.5</v>
      </c>
      <c r="M6" s="382">
        <v>2.5</v>
      </c>
      <c r="N6" s="383" t="s">
        <v>26</v>
      </c>
    </row>
    <row r="7" spans="1:14" x14ac:dyDescent="0.3">
      <c r="A7" s="384">
        <v>1</v>
      </c>
      <c r="B7" s="385" t="s">
        <v>421</v>
      </c>
      <c r="C7" s="386">
        <f>SUM(C8:C13)</f>
        <v>17693544.800000001</v>
      </c>
      <c r="D7" s="378"/>
      <c r="E7" s="387">
        <f>SUM(E8:E12)</f>
        <v>353870.89600000001</v>
      </c>
      <c r="F7" s="388">
        <v>0</v>
      </c>
      <c r="G7" s="388">
        <v>0</v>
      </c>
      <c r="H7" s="388">
        <v>0</v>
      </c>
      <c r="I7" s="388">
        <v>0</v>
      </c>
      <c r="J7" s="388">
        <v>0</v>
      </c>
      <c r="K7" s="388">
        <v>353870.89600000001</v>
      </c>
      <c r="L7" s="388">
        <v>0</v>
      </c>
      <c r="M7" s="388">
        <v>0</v>
      </c>
      <c r="N7" s="389">
        <v>353870.89600000001</v>
      </c>
    </row>
    <row r="8" spans="1:14" x14ac:dyDescent="0.3">
      <c r="A8" s="384">
        <v>1.1000000000000001</v>
      </c>
      <c r="B8" s="390" t="s">
        <v>422</v>
      </c>
      <c r="C8" s="388">
        <v>17693544.800000001</v>
      </c>
      <c r="D8" s="391">
        <v>0.02</v>
      </c>
      <c r="E8" s="387">
        <f>C8*D8</f>
        <v>353870.89600000001</v>
      </c>
      <c r="F8" s="388">
        <v>0</v>
      </c>
      <c r="G8" s="388">
        <v>0</v>
      </c>
      <c r="H8" s="388">
        <v>0</v>
      </c>
      <c r="I8" s="388">
        <v>0</v>
      </c>
      <c r="J8" s="388">
        <v>0</v>
      </c>
      <c r="K8" s="388">
        <v>353870.89600000001</v>
      </c>
      <c r="L8" s="388">
        <v>0</v>
      </c>
      <c r="M8" s="388">
        <v>0</v>
      </c>
      <c r="N8" s="389">
        <v>353870.89600000001</v>
      </c>
    </row>
    <row r="9" spans="1:14" x14ac:dyDescent="0.3">
      <c r="A9" s="384">
        <v>1.2</v>
      </c>
      <c r="B9" s="390" t="s">
        <v>423</v>
      </c>
      <c r="C9" s="388">
        <v>0</v>
      </c>
      <c r="D9" s="391">
        <v>0.05</v>
      </c>
      <c r="E9" s="387">
        <f t="shared" ref="E9:E12" si="0">C9*D9</f>
        <v>0</v>
      </c>
      <c r="F9" s="388">
        <v>0</v>
      </c>
      <c r="G9" s="388">
        <v>0</v>
      </c>
      <c r="H9" s="388">
        <v>0</v>
      </c>
      <c r="I9" s="388">
        <v>0</v>
      </c>
      <c r="J9" s="388">
        <v>0</v>
      </c>
      <c r="K9" s="388">
        <v>0</v>
      </c>
      <c r="L9" s="388">
        <v>0</v>
      </c>
      <c r="M9" s="388">
        <v>0</v>
      </c>
      <c r="N9" s="389">
        <v>0</v>
      </c>
    </row>
    <row r="10" spans="1:14" x14ac:dyDescent="0.3">
      <c r="A10" s="384">
        <v>1.3</v>
      </c>
      <c r="B10" s="390" t="s">
        <v>424</v>
      </c>
      <c r="C10" s="388">
        <v>0</v>
      </c>
      <c r="D10" s="391">
        <v>0.08</v>
      </c>
      <c r="E10" s="387">
        <f t="shared" si="0"/>
        <v>0</v>
      </c>
      <c r="F10" s="388">
        <v>0</v>
      </c>
      <c r="G10" s="388">
        <v>0</v>
      </c>
      <c r="H10" s="388">
        <v>0</v>
      </c>
      <c r="I10" s="388">
        <v>0</v>
      </c>
      <c r="J10" s="388">
        <v>0</v>
      </c>
      <c r="K10" s="388">
        <v>0</v>
      </c>
      <c r="L10" s="388">
        <v>0</v>
      </c>
      <c r="M10" s="388">
        <v>0</v>
      </c>
      <c r="N10" s="389">
        <v>0</v>
      </c>
    </row>
    <row r="11" spans="1:14" x14ac:dyDescent="0.3">
      <c r="A11" s="384">
        <v>1.4</v>
      </c>
      <c r="B11" s="390" t="s">
        <v>425</v>
      </c>
      <c r="C11" s="388">
        <v>0</v>
      </c>
      <c r="D11" s="391">
        <v>0.11</v>
      </c>
      <c r="E11" s="387">
        <f t="shared" si="0"/>
        <v>0</v>
      </c>
      <c r="F11" s="388">
        <v>0</v>
      </c>
      <c r="G11" s="388">
        <v>0</v>
      </c>
      <c r="H11" s="388">
        <v>0</v>
      </c>
      <c r="I11" s="388">
        <v>0</v>
      </c>
      <c r="J11" s="388">
        <v>0</v>
      </c>
      <c r="K11" s="388">
        <v>0</v>
      </c>
      <c r="L11" s="388">
        <v>0</v>
      </c>
      <c r="M11" s="388">
        <v>0</v>
      </c>
      <c r="N11" s="389">
        <v>0</v>
      </c>
    </row>
    <row r="12" spans="1:14" x14ac:dyDescent="0.3">
      <c r="A12" s="384">
        <v>1.5</v>
      </c>
      <c r="B12" s="390" t="s">
        <v>426</v>
      </c>
      <c r="C12" s="388">
        <v>0</v>
      </c>
      <c r="D12" s="391">
        <v>0.14000000000000001</v>
      </c>
      <c r="E12" s="387">
        <f t="shared" si="0"/>
        <v>0</v>
      </c>
      <c r="F12" s="388">
        <v>0</v>
      </c>
      <c r="G12" s="388">
        <v>0</v>
      </c>
      <c r="H12" s="388">
        <v>0</v>
      </c>
      <c r="I12" s="388">
        <v>0</v>
      </c>
      <c r="J12" s="388">
        <v>0</v>
      </c>
      <c r="K12" s="388">
        <v>0</v>
      </c>
      <c r="L12" s="388">
        <v>0</v>
      </c>
      <c r="M12" s="388">
        <v>0</v>
      </c>
      <c r="N12" s="389">
        <v>0</v>
      </c>
    </row>
    <row r="13" spans="1:14" x14ac:dyDescent="0.3">
      <c r="A13" s="384">
        <v>1.6</v>
      </c>
      <c r="B13" s="392" t="s">
        <v>427</v>
      </c>
      <c r="C13" s="388">
        <v>0</v>
      </c>
      <c r="D13" s="393"/>
      <c r="E13" s="388"/>
      <c r="F13" s="388">
        <v>0</v>
      </c>
      <c r="G13" s="388">
        <v>0</v>
      </c>
      <c r="H13" s="388">
        <v>0</v>
      </c>
      <c r="I13" s="388">
        <v>0</v>
      </c>
      <c r="J13" s="388">
        <v>0</v>
      </c>
      <c r="K13" s="388">
        <v>0</v>
      </c>
      <c r="L13" s="388">
        <v>0</v>
      </c>
      <c r="M13" s="388">
        <v>0</v>
      </c>
      <c r="N13" s="389">
        <v>0</v>
      </c>
    </row>
    <row r="14" spans="1:14" x14ac:dyDescent="0.3">
      <c r="A14" s="384">
        <v>2</v>
      </c>
      <c r="B14" s="394" t="s">
        <v>428</v>
      </c>
      <c r="C14" s="386">
        <f>SUM(C15:C20)</f>
        <v>0</v>
      </c>
      <c r="D14" s="378"/>
      <c r="E14" s="387">
        <f>SUM(E15:E19)</f>
        <v>0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  <c r="K14" s="388">
        <v>0</v>
      </c>
      <c r="L14" s="388">
        <v>0</v>
      </c>
      <c r="M14" s="388">
        <v>0</v>
      </c>
      <c r="N14" s="389">
        <v>0</v>
      </c>
    </row>
    <row r="15" spans="1:14" x14ac:dyDescent="0.3">
      <c r="A15" s="384">
        <v>2.1</v>
      </c>
      <c r="B15" s="392" t="s">
        <v>422</v>
      </c>
      <c r="C15" s="388">
        <v>0</v>
      </c>
      <c r="D15" s="391">
        <v>5.0000000000000001E-3</v>
      </c>
      <c r="E15" s="387">
        <f>D15*C15</f>
        <v>0</v>
      </c>
      <c r="F15" s="388">
        <v>0</v>
      </c>
      <c r="G15" s="388">
        <v>0</v>
      </c>
      <c r="H15" s="388">
        <v>0</v>
      </c>
      <c r="I15" s="388">
        <v>0</v>
      </c>
      <c r="J15" s="388">
        <v>0</v>
      </c>
      <c r="K15" s="388">
        <v>0</v>
      </c>
      <c r="L15" s="388">
        <v>0</v>
      </c>
      <c r="M15" s="388">
        <v>0</v>
      </c>
      <c r="N15" s="389">
        <v>0</v>
      </c>
    </row>
    <row r="16" spans="1:14" x14ac:dyDescent="0.3">
      <c r="A16" s="384">
        <v>2.2000000000000002</v>
      </c>
      <c r="B16" s="392" t="s">
        <v>423</v>
      </c>
      <c r="C16" s="388">
        <v>0</v>
      </c>
      <c r="D16" s="391">
        <v>0.01</v>
      </c>
      <c r="E16" s="387">
        <f t="shared" ref="E16:E19" si="1">D16*C16</f>
        <v>0</v>
      </c>
      <c r="F16" s="388">
        <v>0</v>
      </c>
      <c r="G16" s="388">
        <v>0</v>
      </c>
      <c r="H16" s="388">
        <v>0</v>
      </c>
      <c r="I16" s="388">
        <v>0</v>
      </c>
      <c r="J16" s="388">
        <v>0</v>
      </c>
      <c r="K16" s="388">
        <v>0</v>
      </c>
      <c r="L16" s="388">
        <v>0</v>
      </c>
      <c r="M16" s="388">
        <v>0</v>
      </c>
      <c r="N16" s="389">
        <v>0</v>
      </c>
    </row>
    <row r="17" spans="1:14" x14ac:dyDescent="0.3">
      <c r="A17" s="384">
        <v>2.2999999999999998</v>
      </c>
      <c r="B17" s="392" t="s">
        <v>424</v>
      </c>
      <c r="C17" s="388">
        <v>0</v>
      </c>
      <c r="D17" s="391">
        <v>0.02</v>
      </c>
      <c r="E17" s="387">
        <f t="shared" si="1"/>
        <v>0</v>
      </c>
      <c r="F17" s="388">
        <v>0</v>
      </c>
      <c r="G17" s="388">
        <v>0</v>
      </c>
      <c r="H17" s="388">
        <v>0</v>
      </c>
      <c r="I17" s="388">
        <v>0</v>
      </c>
      <c r="J17" s="388">
        <v>0</v>
      </c>
      <c r="K17" s="388">
        <v>0</v>
      </c>
      <c r="L17" s="388">
        <v>0</v>
      </c>
      <c r="M17" s="388">
        <v>0</v>
      </c>
      <c r="N17" s="389">
        <v>0</v>
      </c>
    </row>
    <row r="18" spans="1:14" x14ac:dyDescent="0.3">
      <c r="A18" s="384">
        <v>2.4</v>
      </c>
      <c r="B18" s="392" t="s">
        <v>425</v>
      </c>
      <c r="C18" s="388">
        <v>0</v>
      </c>
      <c r="D18" s="391">
        <v>0.03</v>
      </c>
      <c r="E18" s="387">
        <f t="shared" si="1"/>
        <v>0</v>
      </c>
      <c r="F18" s="388">
        <v>0</v>
      </c>
      <c r="G18" s="388">
        <v>0</v>
      </c>
      <c r="H18" s="388">
        <v>0</v>
      </c>
      <c r="I18" s="388">
        <v>0</v>
      </c>
      <c r="J18" s="388">
        <v>0</v>
      </c>
      <c r="K18" s="388">
        <v>0</v>
      </c>
      <c r="L18" s="388">
        <v>0</v>
      </c>
      <c r="M18" s="388">
        <v>0</v>
      </c>
      <c r="N18" s="389">
        <v>0</v>
      </c>
    </row>
    <row r="19" spans="1:14" x14ac:dyDescent="0.3">
      <c r="A19" s="384">
        <v>2.5</v>
      </c>
      <c r="B19" s="392" t="s">
        <v>426</v>
      </c>
      <c r="C19" s="388">
        <v>0</v>
      </c>
      <c r="D19" s="391">
        <v>0.04</v>
      </c>
      <c r="E19" s="387">
        <f t="shared" si="1"/>
        <v>0</v>
      </c>
      <c r="F19" s="388">
        <v>0</v>
      </c>
      <c r="G19" s="388">
        <v>0</v>
      </c>
      <c r="H19" s="388">
        <v>0</v>
      </c>
      <c r="I19" s="388">
        <v>0</v>
      </c>
      <c r="J19" s="388">
        <v>0</v>
      </c>
      <c r="K19" s="388">
        <v>0</v>
      </c>
      <c r="L19" s="388">
        <v>0</v>
      </c>
      <c r="M19" s="388">
        <v>0</v>
      </c>
      <c r="N19" s="389">
        <v>0</v>
      </c>
    </row>
    <row r="20" spans="1:14" x14ac:dyDescent="0.3">
      <c r="A20" s="384">
        <v>2.6</v>
      </c>
      <c r="B20" s="392" t="s">
        <v>427</v>
      </c>
      <c r="C20" s="388">
        <v>0</v>
      </c>
      <c r="D20" s="393"/>
      <c r="E20" s="395"/>
      <c r="F20" s="388">
        <v>0</v>
      </c>
      <c r="G20" s="388">
        <v>0</v>
      </c>
      <c r="H20" s="388">
        <v>0</v>
      </c>
      <c r="I20" s="388">
        <v>0</v>
      </c>
      <c r="J20" s="388">
        <v>0</v>
      </c>
      <c r="K20" s="388">
        <v>0</v>
      </c>
      <c r="L20" s="388">
        <v>0</v>
      </c>
      <c r="M20" s="388">
        <v>0</v>
      </c>
      <c r="N20" s="389">
        <v>0</v>
      </c>
    </row>
    <row r="21" spans="1:14" ht="15.75" thickBot="1" x14ac:dyDescent="0.35">
      <c r="A21" s="396">
        <v>3</v>
      </c>
      <c r="B21" s="397" t="s">
        <v>80</v>
      </c>
      <c r="C21" s="398">
        <f>C7+C14</f>
        <v>17693544.800000001</v>
      </c>
      <c r="D21" s="399"/>
      <c r="E21" s="400">
        <f>SUM(E7+E14)</f>
        <v>353870.89600000001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0</v>
      </c>
      <c r="L21" s="401">
        <v>0</v>
      </c>
      <c r="M21" s="401">
        <v>0</v>
      </c>
      <c r="N21" s="402">
        <v>353870.89600000001</v>
      </c>
    </row>
    <row r="22" spans="1:14" x14ac:dyDescent="0.3">
      <c r="E22" s="403"/>
      <c r="F22" s="403"/>
      <c r="G22" s="403"/>
      <c r="H22" s="403"/>
      <c r="I22" s="403"/>
      <c r="J22" s="403"/>
      <c r="K22" s="403"/>
      <c r="L22" s="403"/>
      <c r="M22" s="40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9"/>
  <sheetViews>
    <sheetView zoomScaleNormal="100" workbookViewId="0">
      <pane xSplit="1" ySplit="5" topLeftCell="B6" activePane="bottomRight" state="frozen"/>
      <selection activeCell="C15" sqref="C15"/>
      <selection pane="topRight" activeCell="C15" sqref="C15"/>
      <selection pane="bottomLeft" activeCell="C15" sqref="C15"/>
      <selection pane="bottomRight" activeCell="C8" sqref="C8:G38"/>
    </sheetView>
  </sheetViews>
  <sheetFormatPr defaultRowHeight="15.75" x14ac:dyDescent="0.3"/>
  <cols>
    <col min="1" max="1" width="9.5703125" style="68" bestFit="1" customWidth="1"/>
    <col min="2" max="2" width="86" style="23" customWidth="1"/>
    <col min="3" max="3" width="13.85546875" style="23" customWidth="1"/>
    <col min="4" max="4" width="13" style="21" customWidth="1"/>
    <col min="5" max="5" width="14.140625" style="21" customWidth="1"/>
    <col min="6" max="6" width="12.7109375" style="21" customWidth="1"/>
    <col min="7" max="7" width="13.7109375" style="21" customWidth="1"/>
    <col min="8" max="8" width="6.7109375" customWidth="1"/>
    <col min="9" max="9" width="12.5703125" bestFit="1" customWidth="1"/>
    <col min="10" max="13" width="6.7109375" customWidth="1"/>
  </cols>
  <sheetData>
    <row r="1" spans="1:8" x14ac:dyDescent="0.3">
      <c r="A1" s="22" t="s">
        <v>31</v>
      </c>
      <c r="B1" s="23" t="s">
        <v>32</v>
      </c>
    </row>
    <row r="2" spans="1:8" x14ac:dyDescent="0.3">
      <c r="A2" s="22" t="s">
        <v>33</v>
      </c>
      <c r="B2" s="24">
        <v>43008</v>
      </c>
      <c r="C2" s="25"/>
      <c r="D2" s="26"/>
      <c r="E2" s="26"/>
      <c r="F2" s="26"/>
      <c r="G2" s="26"/>
      <c r="H2" s="27"/>
    </row>
    <row r="3" spans="1:8" x14ac:dyDescent="0.3">
      <c r="A3" s="22"/>
      <c r="C3" s="25"/>
      <c r="D3" s="26"/>
      <c r="E3" s="26"/>
      <c r="F3" s="26"/>
      <c r="G3" s="26"/>
      <c r="H3" s="27"/>
    </row>
    <row r="4" spans="1:8" ht="16.5" thickBot="1" x14ac:dyDescent="0.35">
      <c r="A4" s="28" t="s">
        <v>34</v>
      </c>
      <c r="B4" s="29" t="s">
        <v>12</v>
      </c>
      <c r="C4" s="30"/>
      <c r="D4" s="31"/>
      <c r="E4" s="31"/>
      <c r="F4" s="31"/>
      <c r="G4" s="31"/>
      <c r="H4" s="27"/>
    </row>
    <row r="5" spans="1:8" ht="15" x14ac:dyDescent="0.25">
      <c r="A5" s="32" t="s">
        <v>35</v>
      </c>
      <c r="B5" s="33"/>
      <c r="C5" s="34" t="s">
        <v>36</v>
      </c>
      <c r="D5" s="35" t="s">
        <v>37</v>
      </c>
      <c r="E5" s="35" t="s">
        <v>38</v>
      </c>
      <c r="F5" s="35" t="s">
        <v>39</v>
      </c>
      <c r="G5" s="36" t="s">
        <v>40</v>
      </c>
    </row>
    <row r="6" spans="1:8" ht="15" x14ac:dyDescent="0.25">
      <c r="A6" s="37"/>
      <c r="B6" s="38" t="s">
        <v>41</v>
      </c>
      <c r="C6" s="39"/>
      <c r="D6" s="40"/>
      <c r="E6" s="40"/>
      <c r="F6" s="40"/>
      <c r="G6" s="41"/>
    </row>
    <row r="7" spans="1:8" ht="15" x14ac:dyDescent="0.25">
      <c r="A7" s="37"/>
      <c r="B7" s="42" t="s">
        <v>42</v>
      </c>
      <c r="C7" s="39"/>
      <c r="D7" s="40"/>
      <c r="E7" s="40"/>
      <c r="F7" s="40"/>
      <c r="G7" s="41"/>
    </row>
    <row r="8" spans="1:8" ht="15" x14ac:dyDescent="0.25">
      <c r="A8" s="43">
        <v>1</v>
      </c>
      <c r="B8" s="44" t="s">
        <v>43</v>
      </c>
      <c r="C8" s="45">
        <v>80276998.800000042</v>
      </c>
      <c r="D8" s="46">
        <v>76989937.570000023</v>
      </c>
      <c r="E8" s="46">
        <v>74795606.299999595</v>
      </c>
      <c r="F8" s="46">
        <v>68835342.11999996</v>
      </c>
      <c r="G8" s="47">
        <v>56153697.349999994</v>
      </c>
    </row>
    <row r="9" spans="1:8" ht="15" x14ac:dyDescent="0.25">
      <c r="A9" s="43">
        <v>2</v>
      </c>
      <c r="B9" s="44" t="s">
        <v>44</v>
      </c>
      <c r="C9" s="45">
        <v>80276998.800000042</v>
      </c>
      <c r="D9" s="45">
        <v>76989937.570000023</v>
      </c>
      <c r="E9" s="45">
        <v>74795606.299999595</v>
      </c>
      <c r="F9" s="45">
        <v>68835342.11999996</v>
      </c>
      <c r="G9" s="48">
        <v>56153697.349999994</v>
      </c>
    </row>
    <row r="10" spans="1:8" ht="15" x14ac:dyDescent="0.25">
      <c r="A10" s="43">
        <v>3</v>
      </c>
      <c r="B10" s="44" t="s">
        <v>20</v>
      </c>
      <c r="C10" s="45">
        <v>116230334.65000011</v>
      </c>
      <c r="D10" s="45">
        <v>112842341.49569386</v>
      </c>
      <c r="E10" s="45">
        <v>110419299.5599997</v>
      </c>
      <c r="F10" s="45">
        <v>106835223.03000006</v>
      </c>
      <c r="G10" s="48">
        <v>95859701.140000105</v>
      </c>
    </row>
    <row r="11" spans="1:8" ht="15" x14ac:dyDescent="0.25">
      <c r="A11" s="37"/>
      <c r="B11" s="38" t="s">
        <v>45</v>
      </c>
      <c r="C11" s="39"/>
      <c r="D11" s="40"/>
      <c r="E11" s="40"/>
      <c r="F11" s="40"/>
      <c r="G11" s="41"/>
    </row>
    <row r="12" spans="1:8" ht="15" customHeight="1" x14ac:dyDescent="0.25">
      <c r="A12" s="43">
        <v>4</v>
      </c>
      <c r="B12" s="44" t="s">
        <v>46</v>
      </c>
      <c r="C12" s="45">
        <v>820727867.01928318</v>
      </c>
      <c r="D12" s="45">
        <v>774395368.41360295</v>
      </c>
      <c r="E12" s="45">
        <v>744854807.92622995</v>
      </c>
      <c r="F12" s="45">
        <v>797372457.71658361</v>
      </c>
      <c r="G12" s="48">
        <v>777356042.86795604</v>
      </c>
    </row>
    <row r="13" spans="1:8" ht="15" customHeight="1" x14ac:dyDescent="0.25">
      <c r="A13" s="43">
        <v>5</v>
      </c>
      <c r="B13" s="44" t="s">
        <v>47</v>
      </c>
      <c r="C13" s="45">
        <v>734438172.13749993</v>
      </c>
      <c r="D13" s="45">
        <v>694495238.74299943</v>
      </c>
      <c r="E13" s="45">
        <v>659502830.77420008</v>
      </c>
      <c r="F13" s="45">
        <v>711096383.0809989</v>
      </c>
      <c r="G13" s="48">
        <v>706012898.87400138</v>
      </c>
    </row>
    <row r="14" spans="1:8" ht="15" x14ac:dyDescent="0.25">
      <c r="A14" s="37"/>
      <c r="B14" s="38" t="s">
        <v>48</v>
      </c>
      <c r="C14" s="39"/>
      <c r="D14" s="40"/>
      <c r="E14" s="40"/>
      <c r="F14" s="40"/>
      <c r="G14" s="41"/>
    </row>
    <row r="15" spans="1:8" s="20" customFormat="1" ht="15" x14ac:dyDescent="0.25">
      <c r="A15" s="43"/>
      <c r="B15" s="42" t="s">
        <v>42</v>
      </c>
      <c r="C15" s="49"/>
      <c r="D15" s="46"/>
      <c r="E15" s="46"/>
      <c r="F15" s="46"/>
      <c r="G15" s="47"/>
    </row>
    <row r="16" spans="1:8" ht="15" x14ac:dyDescent="0.25">
      <c r="A16" s="50">
        <v>6</v>
      </c>
      <c r="B16" s="51" t="s">
        <v>49</v>
      </c>
      <c r="C16" s="52">
        <f>C8/C12</f>
        <v>9.7811956954196991E-2</v>
      </c>
      <c r="D16" s="52">
        <v>9.9419418956131794E-2</v>
      </c>
      <c r="E16" s="52">
        <v>0.10041635699209625</v>
      </c>
      <c r="F16" s="52">
        <v>8.6327714801088168E-2</v>
      </c>
      <c r="G16" s="53">
        <v>7.2236779870943152E-2</v>
      </c>
    </row>
    <row r="17" spans="1:9" ht="15" customHeight="1" x14ac:dyDescent="0.25">
      <c r="A17" s="50">
        <v>7</v>
      </c>
      <c r="B17" s="51" t="s">
        <v>50</v>
      </c>
      <c r="C17" s="52">
        <f>C9/C12</f>
        <v>9.7811956954196991E-2</v>
      </c>
      <c r="D17" s="52">
        <v>9.9419418956131794E-2</v>
      </c>
      <c r="E17" s="52">
        <v>0.10041635699209625</v>
      </c>
      <c r="F17" s="52">
        <v>8.6327714801088168E-2</v>
      </c>
      <c r="G17" s="53">
        <v>7.2236779870943152E-2</v>
      </c>
    </row>
    <row r="18" spans="1:9" ht="15" x14ac:dyDescent="0.25">
      <c r="A18" s="50">
        <v>8</v>
      </c>
      <c r="B18" s="51" t="s">
        <v>51</v>
      </c>
      <c r="C18" s="52">
        <f>C10/C12</f>
        <v>0.14161860382799607</v>
      </c>
      <c r="D18" s="52">
        <v>0.14571670505578876</v>
      </c>
      <c r="E18" s="52">
        <v>0.14824271574136846</v>
      </c>
      <c r="F18" s="52">
        <v>0.1339840898642794</v>
      </c>
      <c r="G18" s="53">
        <v>0.12331505237463383</v>
      </c>
    </row>
    <row r="19" spans="1:9" s="20" customFormat="1" ht="15" x14ac:dyDescent="0.25">
      <c r="A19" s="43"/>
      <c r="B19" s="42" t="s">
        <v>52</v>
      </c>
      <c r="C19" s="52"/>
      <c r="D19" s="52"/>
      <c r="E19" s="52"/>
      <c r="F19" s="52"/>
      <c r="G19" s="53"/>
    </row>
    <row r="20" spans="1:9" ht="15" x14ac:dyDescent="0.25">
      <c r="A20" s="50">
        <v>9</v>
      </c>
      <c r="B20" s="51" t="s">
        <v>53</v>
      </c>
      <c r="C20" s="52">
        <v>9.4775541033518582E-2</v>
      </c>
      <c r="D20" s="52">
        <v>9.9440486078776799E-2</v>
      </c>
      <c r="E20" s="52">
        <v>0.10516748963545665</v>
      </c>
      <c r="F20" s="52">
        <v>0.11658265296022034</v>
      </c>
      <c r="G20" s="53">
        <v>0.10210282130109469</v>
      </c>
    </row>
    <row r="21" spans="1:9" ht="15" x14ac:dyDescent="0.25">
      <c r="A21" s="50">
        <v>10</v>
      </c>
      <c r="B21" s="51" t="s">
        <v>54</v>
      </c>
      <c r="C21" s="52">
        <v>0.15825748049250316</v>
      </c>
      <c r="D21" s="52">
        <v>0.16254369155117274</v>
      </c>
      <c r="E21" s="52">
        <v>0.16742809038495993</v>
      </c>
      <c r="F21" s="52">
        <v>0.15024014405348313</v>
      </c>
      <c r="G21" s="53">
        <v>0.13577613283395226</v>
      </c>
    </row>
    <row r="22" spans="1:9" ht="15" x14ac:dyDescent="0.25">
      <c r="A22" s="37"/>
      <c r="B22" s="38" t="s">
        <v>55</v>
      </c>
      <c r="C22" s="52"/>
      <c r="D22" s="52"/>
      <c r="E22" s="52"/>
      <c r="F22" s="52"/>
      <c r="G22" s="53"/>
    </row>
    <row r="23" spans="1:9" ht="15" customHeight="1" x14ac:dyDescent="0.25">
      <c r="A23" s="54">
        <v>11</v>
      </c>
      <c r="B23" s="55" t="s">
        <v>56</v>
      </c>
      <c r="C23" s="52">
        <v>8.4367337093536471E-2</v>
      </c>
      <c r="D23" s="56">
        <v>8.3581928966828076E-2</v>
      </c>
      <c r="E23" s="52">
        <v>8.266983911440598E-2</v>
      </c>
      <c r="F23" s="52">
        <v>9.0782559195747015E-2</v>
      </c>
      <c r="G23" s="53">
        <v>9.0947142396889905E-2</v>
      </c>
      <c r="I23" s="57"/>
    </row>
    <row r="24" spans="1:9" ht="15" x14ac:dyDescent="0.25">
      <c r="A24" s="54">
        <v>12</v>
      </c>
      <c r="B24" s="55" t="s">
        <v>57</v>
      </c>
      <c r="C24" s="52">
        <v>4.1014626567217452E-2</v>
      </c>
      <c r="D24" s="56">
        <v>4.1196113379557274E-2</v>
      </c>
      <c r="E24" s="52">
        <v>4.2297634596985725E-2</v>
      </c>
      <c r="F24" s="52">
        <v>5.4756954309301921E-2</v>
      </c>
      <c r="G24" s="53">
        <v>5.6397215249469827E-2</v>
      </c>
    </row>
    <row r="25" spans="1:9" ht="15" x14ac:dyDescent="0.25">
      <c r="A25" s="54">
        <v>13</v>
      </c>
      <c r="B25" s="55" t="s">
        <v>58</v>
      </c>
      <c r="C25" s="52">
        <v>2.7341690073535697E-2</v>
      </c>
      <c r="D25" s="56">
        <v>2.8878472911685538E-2</v>
      </c>
      <c r="E25" s="58">
        <v>1.9789349218024686E-2</v>
      </c>
      <c r="F25" s="52">
        <v>1.4489234734212673E-2</v>
      </c>
      <c r="G25" s="53">
        <v>1.4235257617602944E-2</v>
      </c>
      <c r="I25" s="59"/>
    </row>
    <row r="26" spans="1:9" ht="15" x14ac:dyDescent="0.25">
      <c r="A26" s="54">
        <v>14</v>
      </c>
      <c r="B26" s="55" t="s">
        <v>59</v>
      </c>
      <c r="C26" s="52">
        <v>4.3352710526319026E-2</v>
      </c>
      <c r="D26" s="56">
        <v>4.2385815587270802E-2</v>
      </c>
      <c r="E26" s="52">
        <v>4.0372204517420268E-2</v>
      </c>
      <c r="F26" s="52">
        <v>3.602560488644508E-2</v>
      </c>
      <c r="G26" s="53">
        <v>3.4549927147420084E-2</v>
      </c>
      <c r="I26" s="60"/>
    </row>
    <row r="27" spans="1:9" ht="15" x14ac:dyDescent="0.25">
      <c r="A27" s="54">
        <v>15</v>
      </c>
      <c r="B27" s="55" t="s">
        <v>60</v>
      </c>
      <c r="C27" s="52">
        <v>2.0408431019269015E-2</v>
      </c>
      <c r="D27" s="56">
        <v>2.313427262294393E-2</v>
      </c>
      <c r="E27" s="52">
        <v>3.1943245079547419E-2</v>
      </c>
      <c r="F27" s="52">
        <v>-2.0513570475940841E-2</v>
      </c>
      <c r="G27" s="53">
        <v>-3.1242752200824161E-2</v>
      </c>
    </row>
    <row r="28" spans="1:9" ht="15" x14ac:dyDescent="0.25">
      <c r="A28" s="54">
        <v>16</v>
      </c>
      <c r="B28" s="55" t="s">
        <v>61</v>
      </c>
      <c r="C28" s="52">
        <v>0.13602644401600769</v>
      </c>
      <c r="D28" s="56">
        <v>0.15366679493746499</v>
      </c>
      <c r="E28" s="52">
        <v>0.21239922454252888</v>
      </c>
      <c r="F28" s="52">
        <v>-0.15003322133099659</v>
      </c>
      <c r="G28" s="53">
        <v>-0.22746791602065666</v>
      </c>
    </row>
    <row r="29" spans="1:9" ht="15" x14ac:dyDescent="0.25">
      <c r="A29" s="37"/>
      <c r="B29" s="38" t="s">
        <v>62</v>
      </c>
      <c r="C29" s="52"/>
      <c r="D29" s="52"/>
      <c r="E29" s="61"/>
      <c r="F29" s="52"/>
      <c r="G29" s="53"/>
    </row>
    <row r="30" spans="1:9" ht="15" x14ac:dyDescent="0.25">
      <c r="A30" s="54">
        <v>17</v>
      </c>
      <c r="B30" s="55" t="s">
        <v>63</v>
      </c>
      <c r="C30" s="52">
        <v>0.1091019663675519</v>
      </c>
      <c r="D30" s="52">
        <v>0.10739597136539608</v>
      </c>
      <c r="E30" s="56">
        <v>0.11266427797653586</v>
      </c>
      <c r="F30" s="52">
        <v>0.11784423055789221</v>
      </c>
      <c r="G30" s="53">
        <v>0.11620942988721278</v>
      </c>
    </row>
    <row r="31" spans="1:9" ht="15" customHeight="1" x14ac:dyDescent="0.25">
      <c r="A31" s="54">
        <v>18</v>
      </c>
      <c r="B31" s="55" t="s">
        <v>64</v>
      </c>
      <c r="C31" s="52">
        <f>-'2. RC'!E13/'2. RC'!E12</f>
        <v>7.8455755268035554E-2</v>
      </c>
      <c r="D31" s="52">
        <v>7.9771539451083062E-2</v>
      </c>
      <c r="E31" s="56">
        <v>8.3342300094396068E-2</v>
      </c>
      <c r="F31" s="52">
        <v>8.7354858522005668E-2</v>
      </c>
      <c r="G31" s="53">
        <v>8.14409841934461E-2</v>
      </c>
    </row>
    <row r="32" spans="1:9" ht="15" x14ac:dyDescent="0.25">
      <c r="A32" s="54">
        <v>19</v>
      </c>
      <c r="B32" s="55" t="s">
        <v>65</v>
      </c>
      <c r="C32" s="52">
        <f>'2. RC'!D12/'2. RC'!E12</f>
        <v>0.59185938601929944</v>
      </c>
      <c r="D32" s="52">
        <v>0.59440885081266359</v>
      </c>
      <c r="E32" s="56">
        <v>0.62051160848880715</v>
      </c>
      <c r="F32" s="52">
        <v>0.63312424297501102</v>
      </c>
      <c r="G32" s="53">
        <v>0.61581997223197116</v>
      </c>
    </row>
    <row r="33" spans="1:7" ht="15" customHeight="1" x14ac:dyDescent="0.25">
      <c r="A33" s="54">
        <v>20</v>
      </c>
      <c r="B33" s="55" t="s">
        <v>66</v>
      </c>
      <c r="C33" s="52">
        <f>'2. RC'!D20/'2. RC'!E20</f>
        <v>0.55869863553493837</v>
      </c>
      <c r="D33" s="52">
        <v>0.5563357530136922</v>
      </c>
      <c r="E33" s="56">
        <v>0.58083741303898262</v>
      </c>
      <c r="F33" s="52">
        <v>0.60529217265042612</v>
      </c>
      <c r="G33" s="53">
        <v>0.56163827484532514</v>
      </c>
    </row>
    <row r="34" spans="1:7" ht="15" x14ac:dyDescent="0.25">
      <c r="A34" s="54">
        <v>21</v>
      </c>
      <c r="B34" s="55" t="s">
        <v>67</v>
      </c>
      <c r="C34" s="52">
        <v>6.3938086151056603E-2</v>
      </c>
      <c r="D34" s="52">
        <v>9.8898369682243192E-4</v>
      </c>
      <c r="E34" s="56">
        <v>-6.7967914156280756E-2</v>
      </c>
      <c r="F34" s="52">
        <v>-2.8964424097628338E-3</v>
      </c>
      <c r="G34" s="53">
        <v>2.0126038019564696E-2</v>
      </c>
    </row>
    <row r="35" spans="1:7" ht="15" customHeight="1" x14ac:dyDescent="0.25">
      <c r="A35" s="37"/>
      <c r="B35" s="38" t="s">
        <v>68</v>
      </c>
      <c r="C35" s="52"/>
      <c r="D35" s="52"/>
      <c r="E35" s="61"/>
      <c r="F35" s="52"/>
      <c r="G35" s="53"/>
    </row>
    <row r="36" spans="1:7" ht="15" x14ac:dyDescent="0.25">
      <c r="A36" s="54">
        <v>22</v>
      </c>
      <c r="B36" s="55" t="s">
        <v>69</v>
      </c>
      <c r="C36" s="52">
        <v>0.22836243902034337</v>
      </c>
      <c r="D36" s="52">
        <v>0.22801127678310126</v>
      </c>
      <c r="E36" s="52">
        <v>0.1892198861190354</v>
      </c>
      <c r="F36" s="52">
        <v>0.25303196982807985</v>
      </c>
      <c r="G36" s="53">
        <v>0.21131801720167318</v>
      </c>
    </row>
    <row r="37" spans="1:7" ht="15" customHeight="1" x14ac:dyDescent="0.25">
      <c r="A37" s="54">
        <v>23</v>
      </c>
      <c r="B37" s="55" t="s">
        <v>70</v>
      </c>
      <c r="C37" s="52">
        <f>'2. RC'!D31/'2. RC'!E31</f>
        <v>0.63515488048026492</v>
      </c>
      <c r="D37" s="52">
        <v>0.63566945281139131</v>
      </c>
      <c r="E37" s="52">
        <v>0.63496136663117886</v>
      </c>
      <c r="F37" s="52">
        <v>0.68896195757633838</v>
      </c>
      <c r="G37" s="53">
        <v>0.62042007517077569</v>
      </c>
    </row>
    <row r="38" spans="1:7" thickBot="1" x14ac:dyDescent="0.3">
      <c r="A38" s="62">
        <v>24</v>
      </c>
      <c r="B38" s="63" t="s">
        <v>71</v>
      </c>
      <c r="C38" s="64">
        <f>('2. RC'!E23+'2. RC'!E24)/'2. RC'!E20</f>
        <v>0.41671081771474339</v>
      </c>
      <c r="D38" s="64">
        <v>0.48095831033221031</v>
      </c>
      <c r="E38" s="64">
        <v>0.40677379176571599</v>
      </c>
      <c r="F38" s="64">
        <v>0.48651370302949992</v>
      </c>
      <c r="G38" s="65">
        <v>0.47749482080193206</v>
      </c>
    </row>
    <row r="39" spans="1:7" x14ac:dyDescent="0.3">
      <c r="A39" s="66"/>
      <c r="B39" s="67"/>
    </row>
  </sheetData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19" activePane="bottomRight" state="frozen"/>
      <selection activeCell="C15" sqref="C15"/>
      <selection pane="topRight" activeCell="C15" sqref="C15"/>
      <selection pane="bottomLeft" activeCell="C15" sqref="C15"/>
      <selection pane="bottomRight" activeCell="C7" sqref="C7:H41"/>
    </sheetView>
  </sheetViews>
  <sheetFormatPr defaultRowHeight="15" x14ac:dyDescent="0.25"/>
  <cols>
    <col min="1" max="1" width="9.5703125" style="21" bestFit="1" customWidth="1"/>
    <col min="2" max="2" width="55.140625" style="21" bestFit="1" customWidth="1"/>
    <col min="3" max="4" width="14.7109375" style="21" bestFit="1" customWidth="1"/>
    <col min="5" max="5" width="14.5703125" style="21" customWidth="1"/>
    <col min="6" max="6" width="14.28515625" style="21" customWidth="1"/>
    <col min="7" max="7" width="15.140625" style="21" customWidth="1"/>
    <col min="8" max="8" width="14.5703125" style="21" customWidth="1"/>
  </cols>
  <sheetData>
    <row r="1" spans="1:8" ht="15.75" x14ac:dyDescent="0.3">
      <c r="A1" s="22" t="s">
        <v>31</v>
      </c>
      <c r="B1" s="21" t="str">
        <f>'1. key ratios'!B1</f>
        <v>სს ტერაბანკი</v>
      </c>
    </row>
    <row r="2" spans="1:8" ht="15.75" x14ac:dyDescent="0.3">
      <c r="A2" s="22" t="s">
        <v>33</v>
      </c>
      <c r="B2" s="69">
        <f>'1. key ratios'!B2</f>
        <v>43008</v>
      </c>
    </row>
    <row r="3" spans="1:8" ht="15.75" x14ac:dyDescent="0.3">
      <c r="A3" s="22"/>
    </row>
    <row r="4" spans="1:8" ht="16.5" thickBot="1" x14ac:dyDescent="0.35">
      <c r="A4" s="70" t="s">
        <v>72</v>
      </c>
      <c r="B4" s="71" t="s">
        <v>73</v>
      </c>
      <c r="C4" s="70"/>
      <c r="D4" s="72"/>
      <c r="E4" s="72"/>
      <c r="F4" s="70"/>
      <c r="G4" s="72"/>
      <c r="H4" s="73" t="s">
        <v>74</v>
      </c>
    </row>
    <row r="5" spans="1:8" ht="15.75" x14ac:dyDescent="0.3">
      <c r="A5" s="74"/>
      <c r="B5" s="75"/>
      <c r="C5" s="406" t="s">
        <v>75</v>
      </c>
      <c r="D5" s="407"/>
      <c r="E5" s="408"/>
      <c r="F5" s="406" t="s">
        <v>76</v>
      </c>
      <c r="G5" s="407"/>
      <c r="H5" s="409"/>
    </row>
    <row r="6" spans="1:8" ht="15.75" x14ac:dyDescent="0.3">
      <c r="A6" s="76" t="s">
        <v>35</v>
      </c>
      <c r="B6" s="77" t="s">
        <v>77</v>
      </c>
      <c r="C6" s="78" t="s">
        <v>78</v>
      </c>
      <c r="D6" s="78" t="s">
        <v>79</v>
      </c>
      <c r="E6" s="78" t="s">
        <v>80</v>
      </c>
      <c r="F6" s="78" t="s">
        <v>78</v>
      </c>
      <c r="G6" s="78" t="s">
        <v>79</v>
      </c>
      <c r="H6" s="79" t="s">
        <v>80</v>
      </c>
    </row>
    <row r="7" spans="1:8" ht="15.75" x14ac:dyDescent="0.3">
      <c r="A7" s="76">
        <v>1</v>
      </c>
      <c r="B7" s="80" t="s">
        <v>81</v>
      </c>
      <c r="C7" s="81">
        <v>12050061.439999999</v>
      </c>
      <c r="D7" s="81">
        <v>30124319.450000003</v>
      </c>
      <c r="E7" s="82">
        <f>C7+D7</f>
        <v>42174380.890000001</v>
      </c>
      <c r="F7" s="81">
        <v>13010825.439999999</v>
      </c>
      <c r="G7" s="81">
        <v>18993864.949999999</v>
      </c>
      <c r="H7" s="83">
        <f>F7+G7</f>
        <v>32004690.390000001</v>
      </c>
    </row>
    <row r="8" spans="1:8" ht="15.75" x14ac:dyDescent="0.3">
      <c r="A8" s="76">
        <v>2</v>
      </c>
      <c r="B8" s="80" t="s">
        <v>82</v>
      </c>
      <c r="C8" s="81">
        <v>14498703.359999999</v>
      </c>
      <c r="D8" s="81">
        <v>77543192.449999988</v>
      </c>
      <c r="E8" s="82">
        <f t="shared" ref="E8:E20" si="0">C8+D8</f>
        <v>92041895.809999987</v>
      </c>
      <c r="F8" s="81">
        <v>21540035.550000001</v>
      </c>
      <c r="G8" s="81">
        <v>60743467.730000004</v>
      </c>
      <c r="H8" s="83">
        <f t="shared" ref="H8:H40" si="1">F8+G8</f>
        <v>82283503.280000001</v>
      </c>
    </row>
    <row r="9" spans="1:8" ht="15.75" x14ac:dyDescent="0.3">
      <c r="A9" s="76">
        <v>3</v>
      </c>
      <c r="B9" s="80" t="s">
        <v>83</v>
      </c>
      <c r="C9" s="81">
        <v>119083.06999999999</v>
      </c>
      <c r="D9" s="81">
        <v>21512191.970000003</v>
      </c>
      <c r="E9" s="82">
        <f t="shared" si="0"/>
        <v>21631275.040000003</v>
      </c>
      <c r="F9" s="81">
        <v>39692.68</v>
      </c>
      <c r="G9" s="81">
        <v>19420121.050000001</v>
      </c>
      <c r="H9" s="83">
        <f t="shared" si="1"/>
        <v>19459813.73</v>
      </c>
    </row>
    <row r="10" spans="1:8" ht="15.75" x14ac:dyDescent="0.3">
      <c r="A10" s="76">
        <v>4</v>
      </c>
      <c r="B10" s="80" t="s">
        <v>84</v>
      </c>
      <c r="C10" s="81">
        <v>0</v>
      </c>
      <c r="D10" s="81">
        <v>0</v>
      </c>
      <c r="E10" s="82">
        <f t="shared" si="0"/>
        <v>0</v>
      </c>
      <c r="F10" s="81">
        <v>0</v>
      </c>
      <c r="G10" s="81">
        <v>0</v>
      </c>
      <c r="H10" s="83">
        <f t="shared" si="1"/>
        <v>0</v>
      </c>
    </row>
    <row r="11" spans="1:8" ht="15.75" x14ac:dyDescent="0.3">
      <c r="A11" s="76">
        <v>5</v>
      </c>
      <c r="B11" s="80" t="s">
        <v>85</v>
      </c>
      <c r="C11" s="81">
        <v>45131199.82</v>
      </c>
      <c r="D11" s="81">
        <v>0</v>
      </c>
      <c r="E11" s="82">
        <f t="shared" si="0"/>
        <v>45131199.82</v>
      </c>
      <c r="F11" s="81">
        <v>33382212.41</v>
      </c>
      <c r="G11" s="81">
        <v>0</v>
      </c>
      <c r="H11" s="83">
        <f t="shared" si="1"/>
        <v>33382212.41</v>
      </c>
    </row>
    <row r="12" spans="1:8" ht="15.75" x14ac:dyDescent="0.3">
      <c r="A12" s="76">
        <v>6.1</v>
      </c>
      <c r="B12" s="84" t="s">
        <v>86</v>
      </c>
      <c r="C12" s="81">
        <v>210945873.1800006</v>
      </c>
      <c r="D12" s="81">
        <v>305900198.86999983</v>
      </c>
      <c r="E12" s="82">
        <f t="shared" si="0"/>
        <v>516846072.05000043</v>
      </c>
      <c r="F12" s="81">
        <v>190938371.81000021</v>
      </c>
      <c r="G12" s="81">
        <v>306063965.66000068</v>
      </c>
      <c r="H12" s="83">
        <f t="shared" si="1"/>
        <v>497002337.47000086</v>
      </c>
    </row>
    <row r="13" spans="1:8" ht="15.75" x14ac:dyDescent="0.3">
      <c r="A13" s="76">
        <v>6.2</v>
      </c>
      <c r="B13" s="84" t="s">
        <v>87</v>
      </c>
      <c r="C13" s="85">
        <v>-16810187.610000666</v>
      </c>
      <c r="D13" s="85">
        <v>-23739361.329999637</v>
      </c>
      <c r="E13" s="86">
        <f t="shared" si="0"/>
        <v>-40549548.940000303</v>
      </c>
      <c r="F13" s="85">
        <v>-18006056.51000037</v>
      </c>
      <c r="G13" s="85">
        <v>-22470302.999999687</v>
      </c>
      <c r="H13" s="83">
        <f t="shared" si="1"/>
        <v>-40476359.510000058</v>
      </c>
    </row>
    <row r="14" spans="1:8" ht="15.75" x14ac:dyDescent="0.3">
      <c r="A14" s="76">
        <v>6</v>
      </c>
      <c r="B14" s="80" t="s">
        <v>88</v>
      </c>
      <c r="C14" s="82">
        <f>C12+C13</f>
        <v>194135685.56999993</v>
      </c>
      <c r="D14" s="82">
        <f>D12+D13</f>
        <v>282160837.5400002</v>
      </c>
      <c r="E14" s="82">
        <f t="shared" si="0"/>
        <v>476296523.11000013</v>
      </c>
      <c r="F14" s="82">
        <f>F12+F13</f>
        <v>172932315.29999983</v>
      </c>
      <c r="G14" s="82">
        <f>G12+G13</f>
        <v>283593662.66000098</v>
      </c>
      <c r="H14" s="83">
        <f t="shared" si="1"/>
        <v>456525977.96000081</v>
      </c>
    </row>
    <row r="15" spans="1:8" ht="15.75" x14ac:dyDescent="0.3">
      <c r="A15" s="76">
        <v>7</v>
      </c>
      <c r="B15" s="80" t="s">
        <v>89</v>
      </c>
      <c r="C15" s="81">
        <v>2352180.8799999994</v>
      </c>
      <c r="D15" s="81">
        <v>2367087.5300000003</v>
      </c>
      <c r="E15" s="82">
        <f t="shared" si="0"/>
        <v>4719268.41</v>
      </c>
      <c r="F15" s="81">
        <v>1740342.1099999999</v>
      </c>
      <c r="G15" s="81">
        <v>1345321.4100000001</v>
      </c>
      <c r="H15" s="83">
        <f t="shared" si="1"/>
        <v>3085663.52</v>
      </c>
    </row>
    <row r="16" spans="1:8" ht="15.75" x14ac:dyDescent="0.3">
      <c r="A16" s="76">
        <v>8</v>
      </c>
      <c r="B16" s="80" t="s">
        <v>90</v>
      </c>
      <c r="C16" s="81">
        <v>10287806.91</v>
      </c>
      <c r="D16" s="81">
        <v>0</v>
      </c>
      <c r="E16" s="82">
        <f t="shared" si="0"/>
        <v>10287806.91</v>
      </c>
      <c r="F16" s="81">
        <v>8762490.3500000015</v>
      </c>
      <c r="G16" s="81">
        <v>0</v>
      </c>
      <c r="H16" s="83">
        <f t="shared" si="1"/>
        <v>8762490.3500000015</v>
      </c>
    </row>
    <row r="17" spans="1:8" ht="15.75" x14ac:dyDescent="0.3">
      <c r="A17" s="76">
        <v>9</v>
      </c>
      <c r="B17" s="80" t="s">
        <v>91</v>
      </c>
      <c r="C17" s="81">
        <v>0</v>
      </c>
      <c r="D17" s="81">
        <v>0</v>
      </c>
      <c r="E17" s="82">
        <f t="shared" si="0"/>
        <v>0</v>
      </c>
      <c r="F17" s="81">
        <v>2538</v>
      </c>
      <c r="G17" s="81">
        <v>0</v>
      </c>
      <c r="H17" s="83">
        <f t="shared" si="1"/>
        <v>2538</v>
      </c>
    </row>
    <row r="18" spans="1:8" ht="15.75" x14ac:dyDescent="0.3">
      <c r="A18" s="76">
        <v>10</v>
      </c>
      <c r="B18" s="80" t="s">
        <v>92</v>
      </c>
      <c r="C18" s="81">
        <v>45493407.189999998</v>
      </c>
      <c r="D18" s="81">
        <v>0</v>
      </c>
      <c r="E18" s="82">
        <f t="shared" si="0"/>
        <v>45493407.189999998</v>
      </c>
      <c r="F18" s="81">
        <v>45867942.549999997</v>
      </c>
      <c r="G18" s="81">
        <v>0</v>
      </c>
      <c r="H18" s="83">
        <f t="shared" si="1"/>
        <v>45867942.549999997</v>
      </c>
    </row>
    <row r="19" spans="1:8" ht="15.75" x14ac:dyDescent="0.3">
      <c r="A19" s="76">
        <v>11</v>
      </c>
      <c r="B19" s="80" t="s">
        <v>93</v>
      </c>
      <c r="C19" s="81">
        <v>3155562.66</v>
      </c>
      <c r="D19" s="81">
        <v>565800.38000000466</v>
      </c>
      <c r="E19" s="82">
        <f t="shared" si="0"/>
        <v>3721363.0400000047</v>
      </c>
      <c r="F19" s="81">
        <v>2787472.5300000003</v>
      </c>
      <c r="G19" s="81">
        <v>354270.75000000006</v>
      </c>
      <c r="H19" s="83">
        <f t="shared" si="1"/>
        <v>3141743.2800000003</v>
      </c>
    </row>
    <row r="20" spans="1:8" ht="15.75" x14ac:dyDescent="0.3">
      <c r="A20" s="76">
        <v>12</v>
      </c>
      <c r="B20" s="87" t="s">
        <v>94</v>
      </c>
      <c r="C20" s="82">
        <f>SUM(C7:C11)+SUM(C14:C19)</f>
        <v>327223690.89999992</v>
      </c>
      <c r="D20" s="82">
        <f>SUM(D7:D11)+SUM(D14:D19)</f>
        <v>414273429.32000017</v>
      </c>
      <c r="E20" s="82">
        <f t="shared" si="0"/>
        <v>741497120.22000003</v>
      </c>
      <c r="F20" s="82">
        <f>SUM(F7:F11)+SUM(F14:F19)</f>
        <v>300065866.91999984</v>
      </c>
      <c r="G20" s="82">
        <f>SUM(G7:G11)+SUM(G14:G19)</f>
        <v>384450708.55000103</v>
      </c>
      <c r="H20" s="83">
        <f t="shared" si="1"/>
        <v>684516575.47000086</v>
      </c>
    </row>
    <row r="21" spans="1:8" ht="15.75" x14ac:dyDescent="0.3">
      <c r="A21" s="76"/>
      <c r="B21" s="77" t="s">
        <v>95</v>
      </c>
      <c r="C21" s="88"/>
      <c r="D21" s="88"/>
      <c r="E21" s="88"/>
      <c r="F21" s="88"/>
      <c r="G21" s="88"/>
      <c r="H21" s="89"/>
    </row>
    <row r="22" spans="1:8" ht="15.75" x14ac:dyDescent="0.3">
      <c r="A22" s="76">
        <v>13</v>
      </c>
      <c r="B22" s="80" t="s">
        <v>96</v>
      </c>
      <c r="C22" s="81">
        <v>7005802.8300000001</v>
      </c>
      <c r="D22" s="81">
        <v>110835.64</v>
      </c>
      <c r="E22" s="82">
        <f>C22+D22</f>
        <v>7116638.4699999997</v>
      </c>
      <c r="F22" s="81">
        <v>0</v>
      </c>
      <c r="G22" s="81">
        <v>30661539.920000002</v>
      </c>
      <c r="H22" s="83">
        <f t="shared" si="1"/>
        <v>30661539.920000002</v>
      </c>
    </row>
    <row r="23" spans="1:8" ht="15.75" x14ac:dyDescent="0.3">
      <c r="A23" s="76">
        <v>14</v>
      </c>
      <c r="B23" s="80" t="s">
        <v>97</v>
      </c>
      <c r="C23" s="81">
        <v>53060888.400000997</v>
      </c>
      <c r="D23" s="81">
        <v>81006778.120002672</v>
      </c>
      <c r="E23" s="82">
        <f t="shared" ref="E23:E40" si="2">C23+D23</f>
        <v>134067666.52000368</v>
      </c>
      <c r="F23" s="81">
        <v>150932651.46999976</v>
      </c>
      <c r="G23" s="81">
        <v>88288326.030000478</v>
      </c>
      <c r="H23" s="83">
        <f t="shared" si="1"/>
        <v>239220977.50000024</v>
      </c>
    </row>
    <row r="24" spans="1:8" ht="15.75" x14ac:dyDescent="0.3">
      <c r="A24" s="76">
        <v>15</v>
      </c>
      <c r="B24" s="80" t="s">
        <v>98</v>
      </c>
      <c r="C24" s="81">
        <v>69111468.099999994</v>
      </c>
      <c r="D24" s="81">
        <v>105810736.67999992</v>
      </c>
      <c r="E24" s="82">
        <f t="shared" si="2"/>
        <v>174922204.77999991</v>
      </c>
      <c r="F24" s="81">
        <v>39969482.219999991</v>
      </c>
      <c r="G24" s="81">
        <v>47662659.819999978</v>
      </c>
      <c r="H24" s="83">
        <f t="shared" si="1"/>
        <v>87632142.039999962</v>
      </c>
    </row>
    <row r="25" spans="1:8" ht="15.75" x14ac:dyDescent="0.3">
      <c r="A25" s="76">
        <v>16</v>
      </c>
      <c r="B25" s="80" t="s">
        <v>99</v>
      </c>
      <c r="C25" s="81">
        <v>66755238.850000001</v>
      </c>
      <c r="D25" s="81">
        <v>145436229.0000003</v>
      </c>
      <c r="E25" s="82">
        <f t="shared" si="2"/>
        <v>212191467.85000029</v>
      </c>
      <c r="F25" s="81">
        <v>31743713.920000002</v>
      </c>
      <c r="G25" s="81">
        <v>155932561.8300001</v>
      </c>
      <c r="H25" s="83">
        <f t="shared" si="1"/>
        <v>187676275.75000012</v>
      </c>
    </row>
    <row r="26" spans="1:8" ht="15.75" x14ac:dyDescent="0.3">
      <c r="A26" s="76">
        <v>17</v>
      </c>
      <c r="B26" s="80" t="s">
        <v>100</v>
      </c>
      <c r="C26" s="81">
        <v>0</v>
      </c>
      <c r="D26" s="81">
        <v>0</v>
      </c>
      <c r="E26" s="82">
        <f t="shared" si="2"/>
        <v>0</v>
      </c>
      <c r="F26" s="81">
        <v>0</v>
      </c>
      <c r="G26" s="81">
        <v>0</v>
      </c>
      <c r="H26" s="83">
        <f t="shared" si="1"/>
        <v>0</v>
      </c>
    </row>
    <row r="27" spans="1:8" ht="15.75" x14ac:dyDescent="0.3">
      <c r="A27" s="76">
        <v>18</v>
      </c>
      <c r="B27" s="80" t="s">
        <v>101</v>
      </c>
      <c r="C27" s="81">
        <v>29000000</v>
      </c>
      <c r="D27" s="81">
        <v>25373791.5</v>
      </c>
      <c r="E27" s="82">
        <f t="shared" si="2"/>
        <v>54373791.5</v>
      </c>
      <c r="F27" s="81">
        <v>0</v>
      </c>
      <c r="G27" s="81">
        <v>9318800</v>
      </c>
      <c r="H27" s="83">
        <f t="shared" si="1"/>
        <v>9318800</v>
      </c>
    </row>
    <row r="28" spans="1:8" ht="15.75" x14ac:dyDescent="0.3">
      <c r="A28" s="76">
        <v>19</v>
      </c>
      <c r="B28" s="80" t="s">
        <v>102</v>
      </c>
      <c r="C28" s="81">
        <v>799719.48</v>
      </c>
      <c r="D28" s="81">
        <v>1538247.69</v>
      </c>
      <c r="E28" s="82">
        <f t="shared" si="2"/>
        <v>2337967.17</v>
      </c>
      <c r="F28" s="81">
        <v>718602.79</v>
      </c>
      <c r="G28" s="81">
        <v>2186139.96</v>
      </c>
      <c r="H28" s="83">
        <f t="shared" si="1"/>
        <v>2904742.75</v>
      </c>
    </row>
    <row r="29" spans="1:8" ht="15.75" x14ac:dyDescent="0.3">
      <c r="A29" s="76">
        <v>20</v>
      </c>
      <c r="B29" s="80" t="s">
        <v>103</v>
      </c>
      <c r="C29" s="81">
        <v>4958309.67</v>
      </c>
      <c r="D29" s="81">
        <v>11618448.740000015</v>
      </c>
      <c r="E29" s="82">
        <f t="shared" si="2"/>
        <v>16576758.410000015</v>
      </c>
      <c r="F29" s="81">
        <v>3710639.2399999998</v>
      </c>
      <c r="G29" s="81">
        <v>2853479.7399999998</v>
      </c>
      <c r="H29" s="83">
        <f t="shared" si="1"/>
        <v>6564118.9799999995</v>
      </c>
    </row>
    <row r="30" spans="1:8" ht="15.75" x14ac:dyDescent="0.3">
      <c r="A30" s="76">
        <v>21</v>
      </c>
      <c r="B30" s="80" t="s">
        <v>104</v>
      </c>
      <c r="C30" s="81">
        <v>0</v>
      </c>
      <c r="D30" s="81">
        <v>30713116.799999997</v>
      </c>
      <c r="E30" s="82">
        <f t="shared" si="2"/>
        <v>30713116.799999997</v>
      </c>
      <c r="F30" s="81">
        <v>0</v>
      </c>
      <c r="G30" s="81">
        <v>34248745.409999996</v>
      </c>
      <c r="H30" s="83">
        <f t="shared" si="1"/>
        <v>34248745.409999996</v>
      </c>
    </row>
    <row r="31" spans="1:8" ht="15.75" x14ac:dyDescent="0.3">
      <c r="A31" s="76">
        <v>22</v>
      </c>
      <c r="B31" s="87" t="s">
        <v>105</v>
      </c>
      <c r="C31" s="82">
        <f>SUM(C22:C30)</f>
        <v>230691427.33000097</v>
      </c>
      <c r="D31" s="82">
        <f>SUM(D22:D30)</f>
        <v>401608184.17000294</v>
      </c>
      <c r="E31" s="82">
        <f>C31+D31</f>
        <v>632299611.50000393</v>
      </c>
      <c r="F31" s="82">
        <f>SUM(F22:F30)</f>
        <v>227075089.63999978</v>
      </c>
      <c r="G31" s="82">
        <f>SUM(G22:G30)</f>
        <v>371152252.71000051</v>
      </c>
      <c r="H31" s="83">
        <f t="shared" si="1"/>
        <v>598227342.35000026</v>
      </c>
    </row>
    <row r="32" spans="1:8" ht="15.75" x14ac:dyDescent="0.3">
      <c r="A32" s="76"/>
      <c r="B32" s="77" t="s">
        <v>106</v>
      </c>
      <c r="C32" s="88"/>
      <c r="D32" s="88"/>
      <c r="E32" s="81"/>
      <c r="F32" s="88"/>
      <c r="G32" s="88"/>
      <c r="H32" s="89"/>
    </row>
    <row r="33" spans="1:8" ht="15.75" x14ac:dyDescent="0.3">
      <c r="A33" s="76">
        <v>23</v>
      </c>
      <c r="B33" s="80" t="s">
        <v>107</v>
      </c>
      <c r="C33" s="81">
        <v>121372000</v>
      </c>
      <c r="D33" s="88"/>
      <c r="E33" s="82">
        <f t="shared" si="2"/>
        <v>121372000</v>
      </c>
      <c r="F33" s="81">
        <v>111000000</v>
      </c>
      <c r="G33" s="88"/>
      <c r="H33" s="83">
        <f t="shared" si="1"/>
        <v>111000000</v>
      </c>
    </row>
    <row r="34" spans="1:8" ht="15.75" x14ac:dyDescent="0.3">
      <c r="A34" s="76">
        <v>24</v>
      </c>
      <c r="B34" s="80" t="s">
        <v>108</v>
      </c>
      <c r="C34" s="81">
        <v>0</v>
      </c>
      <c r="D34" s="88"/>
      <c r="E34" s="82">
        <f t="shared" si="2"/>
        <v>0</v>
      </c>
      <c r="F34" s="81">
        <v>0</v>
      </c>
      <c r="G34" s="88"/>
      <c r="H34" s="83">
        <f t="shared" si="1"/>
        <v>0</v>
      </c>
    </row>
    <row r="35" spans="1:8" ht="15.75" x14ac:dyDescent="0.3">
      <c r="A35" s="76">
        <v>25</v>
      </c>
      <c r="B35" s="84" t="s">
        <v>109</v>
      </c>
      <c r="C35" s="81">
        <v>0</v>
      </c>
      <c r="D35" s="88"/>
      <c r="E35" s="82">
        <f t="shared" si="2"/>
        <v>0</v>
      </c>
      <c r="F35" s="81">
        <v>0</v>
      </c>
      <c r="G35" s="88"/>
      <c r="H35" s="83">
        <f t="shared" si="1"/>
        <v>0</v>
      </c>
    </row>
    <row r="36" spans="1:8" ht="15.75" x14ac:dyDescent="0.3">
      <c r="A36" s="76">
        <v>26</v>
      </c>
      <c r="B36" s="80" t="s">
        <v>110</v>
      </c>
      <c r="C36" s="81">
        <v>0</v>
      </c>
      <c r="D36" s="88"/>
      <c r="E36" s="82">
        <f t="shared" si="2"/>
        <v>0</v>
      </c>
      <c r="F36" s="81">
        <v>0</v>
      </c>
      <c r="G36" s="88"/>
      <c r="H36" s="83">
        <f t="shared" si="1"/>
        <v>0</v>
      </c>
    </row>
    <row r="37" spans="1:8" ht="15.75" x14ac:dyDescent="0.3">
      <c r="A37" s="76">
        <v>27</v>
      </c>
      <c r="B37" s="80" t="s">
        <v>111</v>
      </c>
      <c r="C37" s="81">
        <v>0</v>
      </c>
      <c r="D37" s="88"/>
      <c r="E37" s="82">
        <f t="shared" si="2"/>
        <v>0</v>
      </c>
      <c r="F37" s="81">
        <v>0</v>
      </c>
      <c r="G37" s="88"/>
      <c r="H37" s="83">
        <f t="shared" si="1"/>
        <v>0</v>
      </c>
    </row>
    <row r="38" spans="1:8" ht="15.75" x14ac:dyDescent="0.3">
      <c r="A38" s="76">
        <v>28</v>
      </c>
      <c r="B38" s="80" t="s">
        <v>112</v>
      </c>
      <c r="C38" s="81">
        <v>-12174492.139999989</v>
      </c>
      <c r="D38" s="88"/>
      <c r="E38" s="82">
        <f t="shared" si="2"/>
        <v>-12174492.139999989</v>
      </c>
      <c r="F38" s="81">
        <v>-24710766.649999991</v>
      </c>
      <c r="G38" s="88"/>
      <c r="H38" s="83">
        <f t="shared" si="1"/>
        <v>-24710766.649999991</v>
      </c>
    </row>
    <row r="39" spans="1:8" ht="15.75" x14ac:dyDescent="0.3">
      <c r="A39" s="76">
        <v>29</v>
      </c>
      <c r="B39" s="80" t="s">
        <v>113</v>
      </c>
      <c r="C39" s="81">
        <v>0</v>
      </c>
      <c r="D39" s="88"/>
      <c r="E39" s="82">
        <f t="shared" si="2"/>
        <v>0</v>
      </c>
      <c r="F39" s="81">
        <v>0</v>
      </c>
      <c r="G39" s="88"/>
      <c r="H39" s="83">
        <f t="shared" si="1"/>
        <v>0</v>
      </c>
    </row>
    <row r="40" spans="1:8" ht="15.75" x14ac:dyDescent="0.3">
      <c r="A40" s="76">
        <v>30</v>
      </c>
      <c r="B40" s="87" t="s">
        <v>114</v>
      </c>
      <c r="C40" s="81">
        <v>109197507.86000001</v>
      </c>
      <c r="D40" s="88"/>
      <c r="E40" s="82">
        <f t="shared" si="2"/>
        <v>109197507.86000001</v>
      </c>
      <c r="F40" s="81">
        <v>86289233.350000009</v>
      </c>
      <c r="G40" s="88"/>
      <c r="H40" s="83">
        <f t="shared" si="1"/>
        <v>86289233.350000009</v>
      </c>
    </row>
    <row r="41" spans="1:8" ht="16.5" thickBot="1" x14ac:dyDescent="0.35">
      <c r="A41" s="90">
        <v>31</v>
      </c>
      <c r="B41" s="91" t="s">
        <v>115</v>
      </c>
      <c r="C41" s="92">
        <f>C31+C40</f>
        <v>339888935.19000101</v>
      </c>
      <c r="D41" s="92">
        <f>D31+D40</f>
        <v>401608184.17000294</v>
      </c>
      <c r="E41" s="92">
        <f>C41+D41</f>
        <v>741497119.36000395</v>
      </c>
      <c r="F41" s="92">
        <f>F31+F40</f>
        <v>313364322.98999977</v>
      </c>
      <c r="G41" s="92">
        <f>G31+G40</f>
        <v>371152252.71000051</v>
      </c>
      <c r="H41" s="93">
        <f>F41+G41</f>
        <v>684516575.70000029</v>
      </c>
    </row>
    <row r="42" spans="1:8" x14ac:dyDescent="0.25">
      <c r="C42" s="94"/>
      <c r="D42" s="94"/>
      <c r="E42" s="94"/>
      <c r="F42" s="94"/>
      <c r="G42" s="94"/>
      <c r="H42" s="94"/>
    </row>
    <row r="43" spans="1:8" x14ac:dyDescent="0.25">
      <c r="B43" s="95"/>
    </row>
  </sheetData>
  <mergeCells count="2">
    <mergeCell ref="C5:E5"/>
    <mergeCell ref="F5:H5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67"/>
  <sheetViews>
    <sheetView zoomScaleNormal="100" workbookViewId="0">
      <pane xSplit="1" ySplit="6" topLeftCell="B46" activePane="bottomRight" state="frozen"/>
      <selection activeCell="C15" sqref="C15"/>
      <selection pane="topRight" activeCell="C15" sqref="C15"/>
      <selection pane="bottomLeft" activeCell="C15" sqref="C15"/>
      <selection pane="bottomRight" activeCell="C8" sqref="C8:H67"/>
    </sheetView>
  </sheetViews>
  <sheetFormatPr defaultColWidth="9.140625" defaultRowHeight="15" x14ac:dyDescent="0.25"/>
  <cols>
    <col min="1" max="1" width="9.5703125" style="21" bestFit="1" customWidth="1"/>
    <col min="2" max="2" width="89.140625" style="21" customWidth="1"/>
    <col min="3" max="4" width="12.7109375" style="21" customWidth="1"/>
    <col min="5" max="5" width="13.140625" style="21" customWidth="1"/>
    <col min="6" max="7" width="12.7109375" style="21" customWidth="1"/>
    <col min="8" max="8" width="13.85546875" style="21" customWidth="1"/>
    <col min="9" max="9" width="8.85546875" customWidth="1"/>
    <col min="10" max="10" width="12.5703125" style="115" bestFit="1" customWidth="1"/>
    <col min="11" max="16384" width="9.140625" style="115"/>
  </cols>
  <sheetData>
    <row r="1" spans="1:8" ht="15.75" x14ac:dyDescent="0.3">
      <c r="A1" s="22" t="s">
        <v>31</v>
      </c>
      <c r="B1" s="21" t="str">
        <f>'1. key ratios'!B1</f>
        <v>სს ტერაბანკი</v>
      </c>
      <c r="C1" s="23"/>
      <c r="F1" s="23"/>
    </row>
    <row r="2" spans="1:8" ht="15.75" x14ac:dyDescent="0.3">
      <c r="A2" s="22" t="s">
        <v>33</v>
      </c>
      <c r="B2" s="69">
        <f>'1. key ratios'!B2</f>
        <v>43008</v>
      </c>
      <c r="C2" s="25"/>
      <c r="D2" s="26"/>
      <c r="E2" s="26"/>
      <c r="F2" s="25"/>
      <c r="G2" s="26"/>
      <c r="H2" s="26"/>
    </row>
    <row r="3" spans="1:8" ht="15.75" x14ac:dyDescent="0.3">
      <c r="A3" s="22"/>
      <c r="B3" s="23"/>
      <c r="C3" s="25"/>
      <c r="D3" s="26"/>
      <c r="E3" s="26"/>
      <c r="F3" s="25"/>
      <c r="G3" s="26"/>
      <c r="H3" s="26"/>
    </row>
    <row r="4" spans="1:8" ht="16.5" thickBot="1" x14ac:dyDescent="0.35">
      <c r="A4" s="96" t="s">
        <v>116</v>
      </c>
      <c r="B4" s="97" t="s">
        <v>117</v>
      </c>
      <c r="C4" s="98"/>
      <c r="D4" s="98"/>
      <c r="E4" s="98"/>
      <c r="F4" s="98"/>
      <c r="G4" s="98"/>
      <c r="H4" s="99" t="s">
        <v>74</v>
      </c>
    </row>
    <row r="5" spans="1:8" ht="15.75" x14ac:dyDescent="0.3">
      <c r="A5" s="100"/>
      <c r="B5" s="101"/>
      <c r="C5" s="406" t="s">
        <v>75</v>
      </c>
      <c r="D5" s="407"/>
      <c r="E5" s="408"/>
      <c r="F5" s="406" t="s">
        <v>76</v>
      </c>
      <c r="G5" s="407"/>
      <c r="H5" s="409"/>
    </row>
    <row r="6" spans="1:8" x14ac:dyDescent="0.25">
      <c r="A6" s="102" t="s">
        <v>35</v>
      </c>
      <c r="B6" s="103"/>
      <c r="C6" s="104" t="s">
        <v>78</v>
      </c>
      <c r="D6" s="104" t="s">
        <v>118</v>
      </c>
      <c r="E6" s="104" t="s">
        <v>80</v>
      </c>
      <c r="F6" s="104" t="s">
        <v>78</v>
      </c>
      <c r="G6" s="104" t="s">
        <v>118</v>
      </c>
      <c r="H6" s="105" t="s">
        <v>80</v>
      </c>
    </row>
    <row r="7" spans="1:8" x14ac:dyDescent="0.25">
      <c r="A7" s="106"/>
      <c r="B7" s="107" t="s">
        <v>119</v>
      </c>
      <c r="C7" s="108"/>
      <c r="D7" s="108"/>
      <c r="E7" s="108"/>
      <c r="F7" s="108"/>
      <c r="G7" s="108"/>
      <c r="H7" s="109"/>
    </row>
    <row r="8" spans="1:8" ht="15.75" x14ac:dyDescent="0.3">
      <c r="A8" s="106">
        <v>1</v>
      </c>
      <c r="B8" s="110" t="s">
        <v>120</v>
      </c>
      <c r="C8" s="111">
        <v>578870.61</v>
      </c>
      <c r="D8" s="112">
        <v>82211.63</v>
      </c>
      <c r="E8" s="82">
        <f>C8+D8</f>
        <v>661082.24</v>
      </c>
      <c r="F8" s="111">
        <v>932254.1</v>
      </c>
      <c r="G8" s="112">
        <v>6762.0399999999991</v>
      </c>
      <c r="H8" s="83">
        <f>F8+G8</f>
        <v>939016.14</v>
      </c>
    </row>
    <row r="9" spans="1:8" ht="15.75" x14ac:dyDescent="0.3">
      <c r="A9" s="106">
        <v>2</v>
      </c>
      <c r="B9" s="110" t="s">
        <v>121</v>
      </c>
      <c r="C9" s="113">
        <f>SUM(C10:C18)</f>
        <v>17014952.48</v>
      </c>
      <c r="D9" s="113">
        <f>SUM(D10:D18)</f>
        <v>21299407.149999999</v>
      </c>
      <c r="E9" s="82">
        <f t="shared" ref="E9:E67" si="0">C9+D9</f>
        <v>38314359.629999995</v>
      </c>
      <c r="F9" s="113">
        <f>SUM(F10:F18)</f>
        <v>18161746.950000003</v>
      </c>
      <c r="G9" s="113">
        <f>SUM(G10:G18)</f>
        <v>22442615.720000003</v>
      </c>
      <c r="H9" s="83">
        <f t="shared" ref="H9:H67" si="1">F9+G9</f>
        <v>40604362.670000002</v>
      </c>
    </row>
    <row r="10" spans="1:8" ht="15.75" x14ac:dyDescent="0.3">
      <c r="A10" s="106">
        <v>2.1</v>
      </c>
      <c r="B10" s="114" t="s">
        <v>122</v>
      </c>
      <c r="C10" s="111">
        <v>0</v>
      </c>
      <c r="D10" s="111">
        <v>0</v>
      </c>
      <c r="E10" s="82">
        <f t="shared" si="0"/>
        <v>0</v>
      </c>
      <c r="F10" s="111">
        <v>0</v>
      </c>
      <c r="G10" s="111">
        <v>0</v>
      </c>
      <c r="H10" s="83">
        <f t="shared" si="1"/>
        <v>0</v>
      </c>
    </row>
    <row r="11" spans="1:8" ht="15.75" x14ac:dyDescent="0.3">
      <c r="A11" s="106">
        <v>2.2000000000000002</v>
      </c>
      <c r="B11" s="114" t="s">
        <v>123</v>
      </c>
      <c r="C11" s="111">
        <v>3566376.1800000016</v>
      </c>
      <c r="D11" s="111">
        <v>7550513.2499999991</v>
      </c>
      <c r="E11" s="82">
        <f t="shared" si="0"/>
        <v>11116889.43</v>
      </c>
      <c r="F11" s="111">
        <v>3684262.2700000005</v>
      </c>
      <c r="G11" s="111">
        <v>4929674.6300000008</v>
      </c>
      <c r="H11" s="83">
        <f t="shared" si="1"/>
        <v>8613936.9000000022</v>
      </c>
    </row>
    <row r="12" spans="1:8" ht="15.75" x14ac:dyDescent="0.3">
      <c r="A12" s="106">
        <v>2.2999999999999998</v>
      </c>
      <c r="B12" s="114" t="s">
        <v>124</v>
      </c>
      <c r="C12" s="111">
        <v>23681.77</v>
      </c>
      <c r="D12" s="111">
        <v>19663.009999999998</v>
      </c>
      <c r="E12" s="82">
        <f t="shared" si="0"/>
        <v>43344.78</v>
      </c>
      <c r="F12" s="111">
        <v>39627.65</v>
      </c>
      <c r="G12" s="111">
        <v>0</v>
      </c>
      <c r="H12" s="83">
        <f t="shared" si="1"/>
        <v>39627.65</v>
      </c>
    </row>
    <row r="13" spans="1:8" ht="15.75" x14ac:dyDescent="0.3">
      <c r="A13" s="106">
        <v>2.4</v>
      </c>
      <c r="B13" s="114" t="s">
        <v>125</v>
      </c>
      <c r="C13" s="111">
        <v>601259.44000000006</v>
      </c>
      <c r="D13" s="111">
        <v>515699.31999999995</v>
      </c>
      <c r="E13" s="82">
        <f t="shared" si="0"/>
        <v>1116958.76</v>
      </c>
      <c r="F13" s="111">
        <v>441289.26000000007</v>
      </c>
      <c r="G13" s="111">
        <v>406045.19999999995</v>
      </c>
      <c r="H13" s="83">
        <f t="shared" si="1"/>
        <v>847334.46</v>
      </c>
    </row>
    <row r="14" spans="1:8" ht="15.75" x14ac:dyDescent="0.3">
      <c r="A14" s="106">
        <v>2.5</v>
      </c>
      <c r="B14" s="114" t="s">
        <v>126</v>
      </c>
      <c r="C14" s="111">
        <v>553040.85</v>
      </c>
      <c r="D14" s="111">
        <v>2413596.7700000005</v>
      </c>
      <c r="E14" s="82">
        <f t="shared" si="0"/>
        <v>2966637.6200000006</v>
      </c>
      <c r="F14" s="111">
        <v>785616.69</v>
      </c>
      <c r="G14" s="111">
        <v>1158139.1499999999</v>
      </c>
      <c r="H14" s="83">
        <f t="shared" si="1"/>
        <v>1943755.8399999999</v>
      </c>
    </row>
    <row r="15" spans="1:8" ht="15.75" x14ac:dyDescent="0.3">
      <c r="A15" s="106">
        <v>2.6</v>
      </c>
      <c r="B15" s="114" t="s">
        <v>127</v>
      </c>
      <c r="C15" s="111">
        <v>0</v>
      </c>
      <c r="D15" s="111">
        <v>0</v>
      </c>
      <c r="E15" s="82">
        <f t="shared" si="0"/>
        <v>0</v>
      </c>
      <c r="F15" s="111">
        <v>0</v>
      </c>
      <c r="G15" s="111">
        <v>0</v>
      </c>
      <c r="H15" s="83">
        <f t="shared" si="1"/>
        <v>0</v>
      </c>
    </row>
    <row r="16" spans="1:8" ht="15.75" x14ac:dyDescent="0.3">
      <c r="A16" s="106">
        <v>2.7</v>
      </c>
      <c r="B16" s="114" t="s">
        <v>128</v>
      </c>
      <c r="C16" s="111">
        <v>2301.8000000000002</v>
      </c>
      <c r="D16" s="111">
        <v>11552.42</v>
      </c>
      <c r="E16" s="82">
        <f t="shared" si="0"/>
        <v>13854.220000000001</v>
      </c>
      <c r="F16" s="111">
        <v>2971.21</v>
      </c>
      <c r="G16" s="111">
        <v>11769.810000000001</v>
      </c>
      <c r="H16" s="83">
        <f t="shared" si="1"/>
        <v>14741.02</v>
      </c>
    </row>
    <row r="17" spans="1:10" ht="15.75" x14ac:dyDescent="0.3">
      <c r="A17" s="106">
        <v>2.8</v>
      </c>
      <c r="B17" s="114" t="s">
        <v>129</v>
      </c>
      <c r="C17" s="111">
        <v>8928268.7200000007</v>
      </c>
      <c r="D17" s="111">
        <v>5559364.1299999999</v>
      </c>
      <c r="E17" s="82">
        <f t="shared" si="0"/>
        <v>14487632.850000001</v>
      </c>
      <c r="F17" s="111">
        <v>9252773.4900000002</v>
      </c>
      <c r="G17" s="111">
        <v>5038251.9000000004</v>
      </c>
      <c r="H17" s="83">
        <f t="shared" si="1"/>
        <v>14291025.390000001</v>
      </c>
    </row>
    <row r="18" spans="1:10" ht="15.75" x14ac:dyDescent="0.3">
      <c r="A18" s="106">
        <v>2.9</v>
      </c>
      <c r="B18" s="114" t="s">
        <v>130</v>
      </c>
      <c r="C18" s="111">
        <v>3340023.7199999997</v>
      </c>
      <c r="D18" s="111">
        <v>5229018.25</v>
      </c>
      <c r="E18" s="82">
        <f t="shared" si="0"/>
        <v>8569041.9699999988</v>
      </c>
      <c r="F18" s="111">
        <v>3955206.3800000008</v>
      </c>
      <c r="G18" s="111">
        <v>10898735.030000001</v>
      </c>
      <c r="H18" s="83">
        <f t="shared" si="1"/>
        <v>14853941.410000002</v>
      </c>
    </row>
    <row r="19" spans="1:10" ht="15.75" x14ac:dyDescent="0.3">
      <c r="A19" s="106">
        <v>3</v>
      </c>
      <c r="B19" s="110" t="s">
        <v>131</v>
      </c>
      <c r="C19" s="111">
        <v>870113.26</v>
      </c>
      <c r="D19" s="111">
        <v>746265.28000000014</v>
      </c>
      <c r="E19" s="82">
        <f t="shared" si="0"/>
        <v>1616378.54</v>
      </c>
      <c r="F19" s="111">
        <v>1098900.2300000002</v>
      </c>
      <c r="G19" s="111">
        <v>739029.32</v>
      </c>
      <c r="H19" s="83">
        <f t="shared" si="1"/>
        <v>1837929.5500000003</v>
      </c>
    </row>
    <row r="20" spans="1:10" ht="15.75" x14ac:dyDescent="0.3">
      <c r="A20" s="106">
        <v>4</v>
      </c>
      <c r="B20" s="110" t="s">
        <v>132</v>
      </c>
      <c r="C20" s="111">
        <v>2750223.39</v>
      </c>
      <c r="D20" s="111">
        <v>0</v>
      </c>
      <c r="E20" s="82">
        <f t="shared" si="0"/>
        <v>2750223.39</v>
      </c>
      <c r="F20" s="111">
        <v>2451851.5100000002</v>
      </c>
      <c r="G20" s="111">
        <v>0</v>
      </c>
      <c r="H20" s="83">
        <f t="shared" si="1"/>
        <v>2451851.5100000002</v>
      </c>
    </row>
    <row r="21" spans="1:10" ht="15.75" x14ac:dyDescent="0.3">
      <c r="A21" s="106">
        <v>5</v>
      </c>
      <c r="B21" s="110" t="s">
        <v>133</v>
      </c>
      <c r="C21" s="111">
        <v>615981.27000000014</v>
      </c>
      <c r="D21" s="111">
        <v>152095.96000000002</v>
      </c>
      <c r="E21" s="82">
        <f t="shared" si="0"/>
        <v>768077.23000000021</v>
      </c>
      <c r="F21" s="111">
        <v>427804.95999999996</v>
      </c>
      <c r="G21" s="111">
        <v>117443.15</v>
      </c>
      <c r="H21" s="83">
        <f>F21+G21</f>
        <v>545248.11</v>
      </c>
    </row>
    <row r="22" spans="1:10" ht="15.75" x14ac:dyDescent="0.3">
      <c r="A22" s="106">
        <v>6</v>
      </c>
      <c r="B22" s="116" t="s">
        <v>134</v>
      </c>
      <c r="C22" s="113">
        <f>C8+C9+C19+C20+C21</f>
        <v>21830141.010000002</v>
      </c>
      <c r="D22" s="113">
        <f>D8+D9+D19+D20+D21</f>
        <v>22279980.02</v>
      </c>
      <c r="E22" s="82">
        <f>C22+D22</f>
        <v>44110121.030000001</v>
      </c>
      <c r="F22" s="113">
        <f>F8+F9+F19+F20+F21</f>
        <v>23072557.750000007</v>
      </c>
      <c r="G22" s="113">
        <f>G8+G9+G19+G20+G21</f>
        <v>23305850.23</v>
      </c>
      <c r="H22" s="83">
        <f>F22+G22</f>
        <v>46378407.980000004</v>
      </c>
      <c r="J22" s="117"/>
    </row>
    <row r="23" spans="1:10" ht="15.75" x14ac:dyDescent="0.3">
      <c r="A23" s="106"/>
      <c r="B23" s="107" t="s">
        <v>135</v>
      </c>
      <c r="C23" s="111"/>
      <c r="D23" s="111"/>
      <c r="E23" s="81"/>
      <c r="F23" s="111"/>
      <c r="G23" s="111"/>
      <c r="H23" s="89"/>
    </row>
    <row r="24" spans="1:10" ht="15.75" x14ac:dyDescent="0.3">
      <c r="A24" s="106">
        <v>7</v>
      </c>
      <c r="B24" s="110" t="s">
        <v>136</v>
      </c>
      <c r="C24" s="111">
        <v>5270721.3399999989</v>
      </c>
      <c r="D24" s="111">
        <v>3246002.629999999</v>
      </c>
      <c r="E24" s="82">
        <f t="shared" si="0"/>
        <v>8516723.9699999988</v>
      </c>
      <c r="F24" s="111">
        <v>9622978.4300000016</v>
      </c>
      <c r="G24" s="111">
        <v>2089576.6400000015</v>
      </c>
      <c r="H24" s="83">
        <f t="shared" si="1"/>
        <v>11712555.070000004</v>
      </c>
    </row>
    <row r="25" spans="1:10" ht="15.75" x14ac:dyDescent="0.3">
      <c r="A25" s="106">
        <v>8</v>
      </c>
      <c r="B25" s="110" t="s">
        <v>137</v>
      </c>
      <c r="C25" s="111">
        <v>4075780.88</v>
      </c>
      <c r="D25" s="111">
        <v>4929127.8800000008</v>
      </c>
      <c r="E25" s="82">
        <f t="shared" si="0"/>
        <v>9004908.7600000016</v>
      </c>
      <c r="F25" s="111">
        <v>6050503.4199999999</v>
      </c>
      <c r="G25" s="111">
        <v>6927564.5299999984</v>
      </c>
      <c r="H25" s="83">
        <f t="shared" si="1"/>
        <v>12978067.949999999</v>
      </c>
    </row>
    <row r="26" spans="1:10" ht="15.75" x14ac:dyDescent="0.3">
      <c r="A26" s="106">
        <v>9</v>
      </c>
      <c r="B26" s="110" t="s">
        <v>138</v>
      </c>
      <c r="C26" s="111">
        <v>275090.34000000003</v>
      </c>
      <c r="D26" s="111">
        <v>10456.19</v>
      </c>
      <c r="E26" s="82">
        <f t="shared" si="0"/>
        <v>285546.53000000003</v>
      </c>
      <c r="F26" s="111">
        <v>164754.96</v>
      </c>
      <c r="G26" s="111">
        <v>573884.54</v>
      </c>
      <c r="H26" s="83">
        <f t="shared" si="1"/>
        <v>738639.5</v>
      </c>
      <c r="J26" s="118"/>
    </row>
    <row r="27" spans="1:10" ht="15.75" x14ac:dyDescent="0.3">
      <c r="A27" s="106">
        <v>10</v>
      </c>
      <c r="B27" s="110" t="s">
        <v>139</v>
      </c>
      <c r="C27" s="111">
        <v>0</v>
      </c>
      <c r="D27" s="111">
        <v>0</v>
      </c>
      <c r="E27" s="82">
        <f t="shared" si="0"/>
        <v>0</v>
      </c>
      <c r="F27" s="111">
        <v>0</v>
      </c>
      <c r="G27" s="111">
        <v>0</v>
      </c>
      <c r="H27" s="83">
        <f t="shared" si="1"/>
        <v>0</v>
      </c>
    </row>
    <row r="28" spans="1:10" ht="15.75" x14ac:dyDescent="0.3">
      <c r="A28" s="106">
        <v>11</v>
      </c>
      <c r="B28" s="110" t="s">
        <v>140</v>
      </c>
      <c r="C28" s="111">
        <v>1324814.8500000001</v>
      </c>
      <c r="D28" s="111">
        <v>2311851.3899999997</v>
      </c>
      <c r="E28" s="82">
        <f t="shared" si="0"/>
        <v>3636666.2399999998</v>
      </c>
      <c r="F28" s="111">
        <v>339945.19</v>
      </c>
      <c r="G28" s="111">
        <v>2990498.08</v>
      </c>
      <c r="H28" s="83">
        <f t="shared" si="1"/>
        <v>3330443.27</v>
      </c>
    </row>
    <row r="29" spans="1:10" ht="15.75" x14ac:dyDescent="0.3">
      <c r="A29" s="106">
        <v>12</v>
      </c>
      <c r="B29" s="110" t="s">
        <v>141</v>
      </c>
      <c r="C29" s="111">
        <v>0</v>
      </c>
      <c r="D29" s="111">
        <v>0</v>
      </c>
      <c r="E29" s="82">
        <f t="shared" si="0"/>
        <v>0</v>
      </c>
      <c r="F29" s="111">
        <v>0</v>
      </c>
      <c r="G29" s="111">
        <v>0</v>
      </c>
      <c r="H29" s="83">
        <f t="shared" si="1"/>
        <v>0</v>
      </c>
    </row>
    <row r="30" spans="1:10" ht="15.75" x14ac:dyDescent="0.3">
      <c r="A30" s="106">
        <v>13</v>
      </c>
      <c r="B30" s="119" t="s">
        <v>142</v>
      </c>
      <c r="C30" s="113">
        <f>SUM(C24:C29)</f>
        <v>10946407.409999998</v>
      </c>
      <c r="D30" s="113">
        <f>SUM(D24:D29)</f>
        <v>10497438.09</v>
      </c>
      <c r="E30" s="82">
        <f t="shared" si="0"/>
        <v>21443845.5</v>
      </c>
      <c r="F30" s="113">
        <f>SUM(F24:F29)</f>
        <v>16178182.000000002</v>
      </c>
      <c r="G30" s="113">
        <f>SUM(G24:G29)</f>
        <v>12581523.790000001</v>
      </c>
      <c r="H30" s="83">
        <f t="shared" si="1"/>
        <v>28759705.790000003</v>
      </c>
    </row>
    <row r="31" spans="1:10" ht="15.75" x14ac:dyDescent="0.3">
      <c r="A31" s="106">
        <v>14</v>
      </c>
      <c r="B31" s="119" t="s">
        <v>143</v>
      </c>
      <c r="C31" s="113">
        <f>C22-C30</f>
        <v>10883733.600000003</v>
      </c>
      <c r="D31" s="113">
        <f>D22-D30</f>
        <v>11782541.93</v>
      </c>
      <c r="E31" s="82">
        <f t="shared" si="0"/>
        <v>22666275.530000001</v>
      </c>
      <c r="F31" s="113">
        <f>F22-F30</f>
        <v>6894375.7500000056</v>
      </c>
      <c r="G31" s="113">
        <f>G22-G30</f>
        <v>10724326.439999999</v>
      </c>
      <c r="H31" s="83">
        <f t="shared" si="1"/>
        <v>17618702.190000005</v>
      </c>
    </row>
    <row r="32" spans="1:10" x14ac:dyDescent="0.25">
      <c r="A32" s="106"/>
      <c r="B32" s="107"/>
      <c r="C32" s="120"/>
      <c r="D32" s="120"/>
      <c r="E32" s="120"/>
      <c r="F32" s="120"/>
      <c r="G32" s="120"/>
      <c r="H32" s="121"/>
    </row>
    <row r="33" spans="1:8" ht="15.75" x14ac:dyDescent="0.3">
      <c r="A33" s="106"/>
      <c r="B33" s="107" t="s">
        <v>144</v>
      </c>
      <c r="C33" s="111"/>
      <c r="D33" s="111"/>
      <c r="E33" s="81"/>
      <c r="F33" s="111"/>
      <c r="G33" s="111"/>
      <c r="H33" s="89"/>
    </row>
    <row r="34" spans="1:8" ht="15.75" x14ac:dyDescent="0.3">
      <c r="A34" s="106">
        <v>15</v>
      </c>
      <c r="B34" s="122" t="s">
        <v>145</v>
      </c>
      <c r="C34" s="123">
        <f>C35-C36</f>
        <v>2102162.3200000003</v>
      </c>
      <c r="D34" s="123">
        <f>D35-D36</f>
        <v>663842.88000000035</v>
      </c>
      <c r="E34" s="82">
        <f t="shared" si="0"/>
        <v>2766005.2000000007</v>
      </c>
      <c r="F34" s="123">
        <f>F35-F36</f>
        <v>2021566.0700000003</v>
      </c>
      <c r="G34" s="123">
        <f>G35-G36</f>
        <v>549320.99999999953</v>
      </c>
      <c r="H34" s="83">
        <f t="shared" si="1"/>
        <v>2570887.0699999998</v>
      </c>
    </row>
    <row r="35" spans="1:8" ht="15.75" x14ac:dyDescent="0.3">
      <c r="A35" s="106">
        <v>15.1</v>
      </c>
      <c r="B35" s="114" t="s">
        <v>146</v>
      </c>
      <c r="C35" s="111">
        <v>3349858.7800000003</v>
      </c>
      <c r="D35" s="111">
        <v>3046373.0300000003</v>
      </c>
      <c r="E35" s="82">
        <f t="shared" si="0"/>
        <v>6396231.8100000005</v>
      </c>
      <c r="F35" s="111">
        <v>3151456.6100000003</v>
      </c>
      <c r="G35" s="111">
        <v>2396482.8399999994</v>
      </c>
      <c r="H35" s="83">
        <f t="shared" si="1"/>
        <v>5547939.4499999993</v>
      </c>
    </row>
    <row r="36" spans="1:8" ht="15.75" x14ac:dyDescent="0.3">
      <c r="A36" s="106">
        <v>15.2</v>
      </c>
      <c r="B36" s="114" t="s">
        <v>147</v>
      </c>
      <c r="C36" s="111">
        <v>1247696.46</v>
      </c>
      <c r="D36" s="111">
        <v>2382530.15</v>
      </c>
      <c r="E36" s="82">
        <f t="shared" si="0"/>
        <v>3630226.61</v>
      </c>
      <c r="F36" s="111">
        <v>1129890.54</v>
      </c>
      <c r="G36" s="111">
        <v>1847161.8399999999</v>
      </c>
      <c r="H36" s="83">
        <f t="shared" si="1"/>
        <v>2977052.38</v>
      </c>
    </row>
    <row r="37" spans="1:8" ht="15.75" x14ac:dyDescent="0.3">
      <c r="A37" s="106">
        <v>16</v>
      </c>
      <c r="B37" s="110" t="s">
        <v>148</v>
      </c>
      <c r="C37" s="111">
        <v>0</v>
      </c>
      <c r="D37" s="111">
        <v>0</v>
      </c>
      <c r="E37" s="82">
        <f t="shared" si="0"/>
        <v>0</v>
      </c>
      <c r="F37" s="111">
        <v>0</v>
      </c>
      <c r="G37" s="111">
        <v>0</v>
      </c>
      <c r="H37" s="83">
        <f t="shared" si="1"/>
        <v>0</v>
      </c>
    </row>
    <row r="38" spans="1:8" ht="15.75" x14ac:dyDescent="0.3">
      <c r="A38" s="106">
        <v>17</v>
      </c>
      <c r="B38" s="110" t="s">
        <v>149</v>
      </c>
      <c r="C38" s="111">
        <v>0</v>
      </c>
      <c r="D38" s="111">
        <v>0</v>
      </c>
      <c r="E38" s="82">
        <f t="shared" si="0"/>
        <v>0</v>
      </c>
      <c r="F38" s="111">
        <v>0</v>
      </c>
      <c r="G38" s="111">
        <v>0</v>
      </c>
      <c r="H38" s="83">
        <f t="shared" si="1"/>
        <v>0</v>
      </c>
    </row>
    <row r="39" spans="1:8" ht="15.75" x14ac:dyDescent="0.3">
      <c r="A39" s="106">
        <v>18</v>
      </c>
      <c r="B39" s="110" t="s">
        <v>150</v>
      </c>
      <c r="C39" s="111">
        <v>0</v>
      </c>
      <c r="D39" s="111">
        <v>0</v>
      </c>
      <c r="E39" s="82">
        <f t="shared" si="0"/>
        <v>0</v>
      </c>
      <c r="F39" s="111">
        <v>0</v>
      </c>
      <c r="G39" s="111">
        <v>0</v>
      </c>
      <c r="H39" s="83">
        <f t="shared" si="1"/>
        <v>0</v>
      </c>
    </row>
    <row r="40" spans="1:8" ht="15.75" x14ac:dyDescent="0.3">
      <c r="A40" s="106">
        <v>19</v>
      </c>
      <c r="B40" s="110" t="s">
        <v>151</v>
      </c>
      <c r="C40" s="111">
        <v>6032679.3600000003</v>
      </c>
      <c r="D40" s="111">
        <v>0</v>
      </c>
      <c r="E40" s="82">
        <f t="shared" si="0"/>
        <v>6032679.3600000003</v>
      </c>
      <c r="F40" s="111">
        <v>2789886.7800000003</v>
      </c>
      <c r="G40" s="111">
        <v>0</v>
      </c>
      <c r="H40" s="83">
        <f t="shared" si="1"/>
        <v>2789886.7800000003</v>
      </c>
    </row>
    <row r="41" spans="1:8" ht="15.75" x14ac:dyDescent="0.3">
      <c r="A41" s="106">
        <v>20</v>
      </c>
      <c r="B41" s="110" t="s">
        <v>152</v>
      </c>
      <c r="C41" s="111">
        <v>-3067493.6999999993</v>
      </c>
      <c r="D41" s="111">
        <v>0</v>
      </c>
      <c r="E41" s="82">
        <f t="shared" si="0"/>
        <v>-3067493.6999999993</v>
      </c>
      <c r="F41" s="111">
        <v>1406912.2699999996</v>
      </c>
      <c r="G41" s="111">
        <v>0</v>
      </c>
      <c r="H41" s="83">
        <f t="shared" si="1"/>
        <v>1406912.2699999996</v>
      </c>
    </row>
    <row r="42" spans="1:8" ht="15.75" x14ac:dyDescent="0.3">
      <c r="A42" s="106">
        <v>21</v>
      </c>
      <c r="B42" s="110" t="s">
        <v>153</v>
      </c>
      <c r="C42" s="111">
        <v>19997.12</v>
      </c>
      <c r="D42" s="111">
        <v>0</v>
      </c>
      <c r="E42" s="82">
        <f t="shared" si="0"/>
        <v>19997.12</v>
      </c>
      <c r="F42" s="111">
        <v>513141.1</v>
      </c>
      <c r="G42" s="111">
        <v>0</v>
      </c>
      <c r="H42" s="83">
        <f t="shared" si="1"/>
        <v>513141.1</v>
      </c>
    </row>
    <row r="43" spans="1:8" ht="15.75" x14ac:dyDescent="0.3">
      <c r="A43" s="106">
        <v>22</v>
      </c>
      <c r="B43" s="110" t="s">
        <v>154</v>
      </c>
      <c r="C43" s="111">
        <v>4515</v>
      </c>
      <c r="D43" s="111">
        <v>793908.16999999993</v>
      </c>
      <c r="E43" s="82">
        <f t="shared" si="0"/>
        <v>798423.16999999993</v>
      </c>
      <c r="F43" s="111">
        <v>1000</v>
      </c>
      <c r="G43" s="111">
        <v>23761.42</v>
      </c>
      <c r="H43" s="83">
        <f t="shared" si="1"/>
        <v>24761.42</v>
      </c>
    </row>
    <row r="44" spans="1:8" ht="15.75" x14ac:dyDescent="0.3">
      <c r="A44" s="106">
        <v>23</v>
      </c>
      <c r="B44" s="110" t="s">
        <v>155</v>
      </c>
      <c r="C44" s="111">
        <v>36320.31</v>
      </c>
      <c r="D44" s="111">
        <v>2420.69</v>
      </c>
      <c r="E44" s="82">
        <f t="shared" si="0"/>
        <v>38741</v>
      </c>
      <c r="F44" s="111">
        <v>5380.4599999999627</v>
      </c>
      <c r="G44" s="111">
        <v>58.29</v>
      </c>
      <c r="H44" s="83">
        <f t="shared" si="1"/>
        <v>5438.7499999999627</v>
      </c>
    </row>
    <row r="45" spans="1:8" ht="15.75" x14ac:dyDescent="0.3">
      <c r="A45" s="106">
        <v>24</v>
      </c>
      <c r="B45" s="119" t="s">
        <v>156</v>
      </c>
      <c r="C45" s="113">
        <f>C34+C37+C38+C39+C40+C41+C42+C43+C44</f>
        <v>5128180.4100000011</v>
      </c>
      <c r="D45" s="113">
        <f>D34+D37+D38+D39+D40+D41+D42+D43+D44</f>
        <v>1460171.7400000002</v>
      </c>
      <c r="E45" s="82">
        <f t="shared" si="0"/>
        <v>6588352.1500000013</v>
      </c>
      <c r="F45" s="113">
        <f>F34+F37+F38+F39+F40+F41+F42+F43+F44</f>
        <v>6737886.6799999997</v>
      </c>
      <c r="G45" s="113">
        <f>G34+G37+G38+G39+G40+G41+G42+G43+G44</f>
        <v>573140.70999999961</v>
      </c>
      <c r="H45" s="83">
        <f t="shared" si="1"/>
        <v>7311027.3899999997</v>
      </c>
    </row>
    <row r="46" spans="1:8" x14ac:dyDescent="0.25">
      <c r="A46" s="106"/>
      <c r="B46" s="107" t="s">
        <v>157</v>
      </c>
      <c r="C46" s="111"/>
      <c r="D46" s="111"/>
      <c r="E46" s="111"/>
      <c r="F46" s="111"/>
      <c r="G46" s="111"/>
      <c r="H46" s="124"/>
    </row>
    <row r="47" spans="1:8" ht="15.75" x14ac:dyDescent="0.3">
      <c r="A47" s="106">
        <v>25</v>
      </c>
      <c r="B47" s="110" t="s">
        <v>158</v>
      </c>
      <c r="C47" s="111">
        <v>325742.96999999997</v>
      </c>
      <c r="D47" s="111">
        <v>625906.05000000005</v>
      </c>
      <c r="E47" s="82">
        <f t="shared" si="0"/>
        <v>951649.02</v>
      </c>
      <c r="F47" s="111">
        <v>319091.68</v>
      </c>
      <c r="G47" s="111">
        <v>23672.51</v>
      </c>
      <c r="H47" s="83">
        <f t="shared" si="1"/>
        <v>342764.19</v>
      </c>
    </row>
    <row r="48" spans="1:8" ht="15.75" x14ac:dyDescent="0.3">
      <c r="A48" s="106">
        <v>26</v>
      </c>
      <c r="B48" s="110" t="s">
        <v>159</v>
      </c>
      <c r="C48" s="111">
        <v>1669863.3800000001</v>
      </c>
      <c r="D48" s="111">
        <v>16971.27</v>
      </c>
      <c r="E48" s="82">
        <f t="shared" si="0"/>
        <v>1686834.6500000001</v>
      </c>
      <c r="F48" s="111">
        <v>1982923.9899999998</v>
      </c>
      <c r="G48" s="111">
        <v>134162.27000000002</v>
      </c>
      <c r="H48" s="83">
        <f t="shared" si="1"/>
        <v>2117086.2599999998</v>
      </c>
    </row>
    <row r="49" spans="1:9" ht="15.75" x14ac:dyDescent="0.3">
      <c r="A49" s="106">
        <v>27</v>
      </c>
      <c r="B49" s="110" t="s">
        <v>160</v>
      </c>
      <c r="C49" s="111">
        <v>7716672.7399999993</v>
      </c>
      <c r="D49" s="111">
        <v>0</v>
      </c>
      <c r="E49" s="82">
        <f t="shared" si="0"/>
        <v>7716672.7399999993</v>
      </c>
      <c r="F49" s="111">
        <v>6654214.9400000004</v>
      </c>
      <c r="G49" s="111">
        <v>0</v>
      </c>
      <c r="H49" s="83">
        <f t="shared" si="1"/>
        <v>6654214.9400000004</v>
      </c>
    </row>
    <row r="50" spans="1:9" ht="15.75" x14ac:dyDescent="0.3">
      <c r="A50" s="106">
        <v>28</v>
      </c>
      <c r="B50" s="110" t="s">
        <v>161</v>
      </c>
      <c r="C50" s="111">
        <v>1233.5</v>
      </c>
      <c r="D50" s="111">
        <v>0</v>
      </c>
      <c r="E50" s="82">
        <f t="shared" si="0"/>
        <v>1233.5</v>
      </c>
      <c r="F50" s="111">
        <v>8937.0300000000007</v>
      </c>
      <c r="G50" s="111">
        <v>0</v>
      </c>
      <c r="H50" s="83">
        <f t="shared" si="1"/>
        <v>8937.0300000000007</v>
      </c>
    </row>
    <row r="51" spans="1:9" ht="15.75" x14ac:dyDescent="0.3">
      <c r="A51" s="106">
        <v>29</v>
      </c>
      <c r="B51" s="110" t="s">
        <v>162</v>
      </c>
      <c r="C51" s="111">
        <v>3364998.58</v>
      </c>
      <c r="D51" s="111">
        <v>0</v>
      </c>
      <c r="E51" s="82">
        <f t="shared" si="0"/>
        <v>3364998.58</v>
      </c>
      <c r="F51" s="111">
        <v>3008601.06</v>
      </c>
      <c r="G51" s="111">
        <v>0</v>
      </c>
      <c r="H51" s="83">
        <f t="shared" si="1"/>
        <v>3008601.06</v>
      </c>
    </row>
    <row r="52" spans="1:9" ht="15.75" x14ac:dyDescent="0.3">
      <c r="A52" s="106">
        <v>30</v>
      </c>
      <c r="B52" s="110" t="s">
        <v>163</v>
      </c>
      <c r="C52" s="111">
        <v>4264382.76</v>
      </c>
      <c r="D52" s="111">
        <v>21185</v>
      </c>
      <c r="E52" s="82">
        <f t="shared" si="0"/>
        <v>4285567.76</v>
      </c>
      <c r="F52" s="111">
        <v>3618119.52</v>
      </c>
      <c r="G52" s="111">
        <v>697.25</v>
      </c>
      <c r="H52" s="83">
        <f t="shared" si="1"/>
        <v>3618816.77</v>
      </c>
    </row>
    <row r="53" spans="1:9" ht="15.75" x14ac:dyDescent="0.3">
      <c r="A53" s="106">
        <v>31</v>
      </c>
      <c r="B53" s="119" t="s">
        <v>164</v>
      </c>
      <c r="C53" s="113">
        <f>C47+C48+C49+C50+C51+C52</f>
        <v>17342893.93</v>
      </c>
      <c r="D53" s="113">
        <f>D47+D48+D49+D50+D51+D52</f>
        <v>664062.32000000007</v>
      </c>
      <c r="E53" s="82">
        <f t="shared" si="0"/>
        <v>18006956.25</v>
      </c>
      <c r="F53" s="113">
        <f>F47+F48+F49+F50+F51+F52</f>
        <v>15591888.219999999</v>
      </c>
      <c r="G53" s="113">
        <f>G47+G48+G49+G50+G51+G52</f>
        <v>158532.03000000003</v>
      </c>
      <c r="H53" s="83">
        <f t="shared" si="1"/>
        <v>15750420.249999998</v>
      </c>
    </row>
    <row r="54" spans="1:9" ht="15.75" x14ac:dyDescent="0.3">
      <c r="A54" s="106">
        <v>32</v>
      </c>
      <c r="B54" s="119" t="s">
        <v>165</v>
      </c>
      <c r="C54" s="113">
        <f>C45-C53</f>
        <v>-12214713.52</v>
      </c>
      <c r="D54" s="113">
        <f>D45-D53</f>
        <v>796109.42000000016</v>
      </c>
      <c r="E54" s="82">
        <f t="shared" si="0"/>
        <v>-11418604.1</v>
      </c>
      <c r="F54" s="113">
        <f>F45-F53</f>
        <v>-8854001.5399999991</v>
      </c>
      <c r="G54" s="113">
        <f>G45-G53</f>
        <v>414608.67999999959</v>
      </c>
      <c r="H54" s="83">
        <f t="shared" si="1"/>
        <v>-8439392.8599999994</v>
      </c>
    </row>
    <row r="55" spans="1:9" x14ac:dyDescent="0.25">
      <c r="A55" s="106"/>
      <c r="B55" s="107"/>
      <c r="C55" s="120"/>
      <c r="D55" s="120"/>
      <c r="E55" s="120"/>
      <c r="F55" s="120"/>
      <c r="G55" s="120"/>
      <c r="H55" s="121"/>
    </row>
    <row r="56" spans="1:9" ht="15.75" x14ac:dyDescent="0.3">
      <c r="A56" s="106">
        <v>33</v>
      </c>
      <c r="B56" s="119" t="s">
        <v>166</v>
      </c>
      <c r="C56" s="113">
        <f>C31+C54</f>
        <v>-1330979.9199999962</v>
      </c>
      <c r="D56" s="113">
        <f>D31+D54</f>
        <v>12578651.35</v>
      </c>
      <c r="E56" s="82">
        <f t="shared" si="0"/>
        <v>11247671.430000003</v>
      </c>
      <c r="F56" s="113">
        <f>F31+F54</f>
        <v>-1959625.7899999935</v>
      </c>
      <c r="G56" s="113">
        <f>G31+G54</f>
        <v>11138935.119999999</v>
      </c>
      <c r="H56" s="83">
        <f t="shared" si="1"/>
        <v>9179309.3300000057</v>
      </c>
    </row>
    <row r="57" spans="1:9" x14ac:dyDescent="0.25">
      <c r="A57" s="106"/>
      <c r="B57" s="107"/>
      <c r="C57" s="111"/>
      <c r="D57" s="120"/>
      <c r="E57" s="120"/>
      <c r="F57" s="111"/>
      <c r="G57" s="120"/>
      <c r="H57" s="121"/>
    </row>
    <row r="58" spans="1:9" ht="15.75" x14ac:dyDescent="0.3">
      <c r="A58" s="106">
        <v>34</v>
      </c>
      <c r="B58" s="110" t="s">
        <v>167</v>
      </c>
      <c r="C58" s="111">
        <v>-639700.3200000003</v>
      </c>
      <c r="D58" s="111" t="s">
        <v>429</v>
      </c>
      <c r="E58" s="82">
        <f>C58</f>
        <v>-639700.3200000003</v>
      </c>
      <c r="F58" s="111">
        <v>22402765.66</v>
      </c>
      <c r="G58" s="111" t="s">
        <v>429</v>
      </c>
      <c r="H58" s="83">
        <f>F58</f>
        <v>22402765.66</v>
      </c>
    </row>
    <row r="59" spans="1:9" s="126" customFormat="1" ht="15.75" x14ac:dyDescent="0.3">
      <c r="A59" s="106">
        <v>35</v>
      </c>
      <c r="B59" s="122" t="s">
        <v>168</v>
      </c>
      <c r="C59" s="111">
        <v>2538</v>
      </c>
      <c r="D59" s="111" t="s">
        <v>429</v>
      </c>
      <c r="E59" s="82">
        <f t="shared" ref="E59:E60" si="2">C59</f>
        <v>2538</v>
      </c>
      <c r="F59" s="111">
        <v>0</v>
      </c>
      <c r="G59" s="111" t="s">
        <v>429</v>
      </c>
      <c r="H59" s="83">
        <f t="shared" ref="H59:H60" si="3">F59</f>
        <v>0</v>
      </c>
      <c r="I59" s="125"/>
    </row>
    <row r="60" spans="1:9" ht="15.75" x14ac:dyDescent="0.3">
      <c r="A60" s="106">
        <v>36</v>
      </c>
      <c r="B60" s="110" t="s">
        <v>169</v>
      </c>
      <c r="C60" s="111">
        <v>1214610.02</v>
      </c>
      <c r="D60" s="111" t="s">
        <v>429</v>
      </c>
      <c r="E60" s="82">
        <f t="shared" si="2"/>
        <v>1214610.02</v>
      </c>
      <c r="F60" s="111">
        <v>3804830.17</v>
      </c>
      <c r="G60" s="111" t="s">
        <v>429</v>
      </c>
      <c r="H60" s="83">
        <f t="shared" si="3"/>
        <v>3804830.17</v>
      </c>
    </row>
    <row r="61" spans="1:9" ht="15.75" x14ac:dyDescent="0.3">
      <c r="A61" s="106">
        <v>37</v>
      </c>
      <c r="B61" s="119" t="s">
        <v>170</v>
      </c>
      <c r="C61" s="113">
        <f>C58+C59+C60</f>
        <v>577447.69999999972</v>
      </c>
      <c r="D61" s="113">
        <v>0</v>
      </c>
      <c r="E61" s="82">
        <f t="shared" si="0"/>
        <v>577447.69999999972</v>
      </c>
      <c r="F61" s="113">
        <f>F58+F59+F60</f>
        <v>26207595.829999998</v>
      </c>
      <c r="G61" s="113">
        <v>0</v>
      </c>
      <c r="H61" s="83">
        <f t="shared" si="1"/>
        <v>26207595.829999998</v>
      </c>
    </row>
    <row r="62" spans="1:9" x14ac:dyDescent="0.25">
      <c r="A62" s="106"/>
      <c r="B62" s="127"/>
      <c r="C62" s="111"/>
      <c r="D62" s="111"/>
      <c r="E62" s="111"/>
      <c r="F62" s="111"/>
      <c r="G62" s="111"/>
      <c r="H62" s="124"/>
    </row>
    <row r="63" spans="1:9" ht="15.75" x14ac:dyDescent="0.3">
      <c r="A63" s="106">
        <v>38</v>
      </c>
      <c r="B63" s="128" t="s">
        <v>171</v>
      </c>
      <c r="C63" s="113">
        <f>C56-C61</f>
        <v>-1908427.6199999959</v>
      </c>
      <c r="D63" s="113">
        <f>D56-D61</f>
        <v>12578651.35</v>
      </c>
      <c r="E63" s="82">
        <f t="shared" si="0"/>
        <v>10670223.730000004</v>
      </c>
      <c r="F63" s="113">
        <f>F56-F61</f>
        <v>-28167221.61999999</v>
      </c>
      <c r="G63" s="113">
        <f>G56-G61</f>
        <v>11138935.119999999</v>
      </c>
      <c r="H63" s="83">
        <f t="shared" si="1"/>
        <v>-17028286.499999993</v>
      </c>
    </row>
    <row r="64" spans="1:9" ht="15.75" x14ac:dyDescent="0.3">
      <c r="A64" s="102">
        <v>39</v>
      </c>
      <c r="B64" s="110" t="s">
        <v>172</v>
      </c>
      <c r="C64" s="111">
        <v>0</v>
      </c>
      <c r="D64" s="111">
        <v>0</v>
      </c>
      <c r="E64" s="82">
        <f t="shared" si="0"/>
        <v>0</v>
      </c>
      <c r="F64" s="111">
        <v>-1096075</v>
      </c>
      <c r="G64" s="111">
        <v>0</v>
      </c>
      <c r="H64" s="83">
        <f t="shared" si="1"/>
        <v>-1096075</v>
      </c>
    </row>
    <row r="65" spans="1:8" ht="15.75" x14ac:dyDescent="0.3">
      <c r="A65" s="106">
        <v>40</v>
      </c>
      <c r="B65" s="119" t="s">
        <v>173</v>
      </c>
      <c r="C65" s="113">
        <f>C63-C64</f>
        <v>-1908427.6199999959</v>
      </c>
      <c r="D65" s="113">
        <f>D63-D64</f>
        <v>12578651.35</v>
      </c>
      <c r="E65" s="82">
        <f t="shared" si="0"/>
        <v>10670223.730000004</v>
      </c>
      <c r="F65" s="113">
        <f>F63-F64</f>
        <v>-27071146.61999999</v>
      </c>
      <c r="G65" s="113">
        <f>G63-G64</f>
        <v>11138935.119999999</v>
      </c>
      <c r="H65" s="83">
        <f t="shared" si="1"/>
        <v>-15932211.499999991</v>
      </c>
    </row>
    <row r="66" spans="1:8" ht="15.75" x14ac:dyDescent="0.3">
      <c r="A66" s="102">
        <v>41</v>
      </c>
      <c r="B66" s="110" t="s">
        <v>174</v>
      </c>
      <c r="C66" s="111">
        <v>0</v>
      </c>
      <c r="D66" s="111">
        <v>0</v>
      </c>
      <c r="E66" s="82">
        <f t="shared" si="0"/>
        <v>0</v>
      </c>
      <c r="F66" s="111">
        <v>0</v>
      </c>
      <c r="G66" s="111">
        <v>0</v>
      </c>
      <c r="H66" s="83">
        <f t="shared" si="1"/>
        <v>0</v>
      </c>
    </row>
    <row r="67" spans="1:8" ht="16.5" thickBot="1" x14ac:dyDescent="0.35">
      <c r="A67" s="129">
        <v>42</v>
      </c>
      <c r="B67" s="130" t="s">
        <v>175</v>
      </c>
      <c r="C67" s="131">
        <f>C65+C66</f>
        <v>-1908427.6199999959</v>
      </c>
      <c r="D67" s="131">
        <f>D65+D66</f>
        <v>12578651.35</v>
      </c>
      <c r="E67" s="92">
        <f t="shared" si="0"/>
        <v>10670223.730000004</v>
      </c>
      <c r="F67" s="131">
        <f>F65+F66</f>
        <v>-27071146.61999999</v>
      </c>
      <c r="G67" s="131">
        <f>G65+G66</f>
        <v>11138935.119999999</v>
      </c>
      <c r="H67" s="93">
        <f t="shared" si="1"/>
        <v>-15932211.499999991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54"/>
  <sheetViews>
    <sheetView zoomScaleNormal="100" workbookViewId="0">
      <selection activeCell="D14" sqref="D14"/>
    </sheetView>
  </sheetViews>
  <sheetFormatPr defaultRowHeight="15" x14ac:dyDescent="0.25"/>
  <cols>
    <col min="1" max="1" width="9.5703125" bestFit="1" customWidth="1"/>
    <col min="2" max="2" width="72.28515625" customWidth="1"/>
    <col min="3" max="3" width="14.140625" style="57" customWidth="1"/>
    <col min="4" max="4" width="14.5703125" style="57" customWidth="1"/>
    <col min="5" max="5" width="15.28515625" style="57" customWidth="1"/>
    <col min="6" max="6" width="14.140625" style="57" customWidth="1"/>
    <col min="7" max="7" width="14.5703125" style="57" customWidth="1"/>
    <col min="8" max="8" width="14.140625" style="57" customWidth="1"/>
    <col min="9" max="9" width="14.85546875" style="57" customWidth="1"/>
    <col min="10" max="10" width="9.140625" style="57"/>
  </cols>
  <sheetData>
    <row r="1" spans="1:10" x14ac:dyDescent="0.25">
      <c r="A1" s="21" t="s">
        <v>31</v>
      </c>
      <c r="B1" s="21" t="str">
        <f>'1. key ratios'!B1</f>
        <v>სს ტერაბანკი</v>
      </c>
      <c r="C1"/>
      <c r="D1"/>
      <c r="E1"/>
      <c r="F1"/>
      <c r="G1"/>
      <c r="H1"/>
      <c r="I1"/>
      <c r="J1"/>
    </row>
    <row r="2" spans="1:10" x14ac:dyDescent="0.25">
      <c r="A2" s="21" t="s">
        <v>33</v>
      </c>
      <c r="B2" s="69">
        <f>'1. key ratios'!B2</f>
        <v>43008</v>
      </c>
      <c r="C2"/>
      <c r="D2"/>
      <c r="E2"/>
      <c r="F2"/>
      <c r="G2"/>
      <c r="H2"/>
      <c r="I2"/>
      <c r="J2"/>
    </row>
    <row r="3" spans="1:10" x14ac:dyDescent="0.25">
      <c r="A3" s="21"/>
      <c r="C3"/>
      <c r="D3"/>
      <c r="E3"/>
      <c r="F3" s="132"/>
      <c r="G3"/>
      <c r="H3"/>
      <c r="I3"/>
      <c r="J3"/>
    </row>
    <row r="4" spans="1:10" ht="16.5" thickBot="1" x14ac:dyDescent="0.35">
      <c r="A4" s="21" t="s">
        <v>176</v>
      </c>
      <c r="B4" s="21"/>
      <c r="C4" s="133"/>
      <c r="D4" s="133"/>
      <c r="E4" s="133"/>
      <c r="F4" s="134"/>
      <c r="G4" s="134"/>
      <c r="H4" s="135" t="s">
        <v>74</v>
      </c>
      <c r="I4"/>
      <c r="J4"/>
    </row>
    <row r="5" spans="1:10" ht="15.75" x14ac:dyDescent="0.3">
      <c r="A5" s="410" t="s">
        <v>35</v>
      </c>
      <c r="B5" s="412" t="s">
        <v>177</v>
      </c>
      <c r="C5" s="414" t="s">
        <v>75</v>
      </c>
      <c r="D5" s="414"/>
      <c r="E5" s="414"/>
      <c r="F5" s="414" t="s">
        <v>76</v>
      </c>
      <c r="G5" s="414"/>
      <c r="H5" s="415"/>
      <c r="I5"/>
      <c r="J5"/>
    </row>
    <row r="6" spans="1:10" x14ac:dyDescent="0.25">
      <c r="A6" s="411"/>
      <c r="B6" s="413"/>
      <c r="C6" s="78" t="s">
        <v>78</v>
      </c>
      <c r="D6" s="78" t="s">
        <v>79</v>
      </c>
      <c r="E6" s="78" t="s">
        <v>80</v>
      </c>
      <c r="F6" s="78" t="s">
        <v>78</v>
      </c>
      <c r="G6" s="78" t="s">
        <v>79</v>
      </c>
      <c r="H6" s="79" t="s">
        <v>80</v>
      </c>
      <c r="I6"/>
      <c r="J6"/>
    </row>
    <row r="7" spans="1:10" s="20" customFormat="1" ht="15.75" x14ac:dyDescent="0.3">
      <c r="A7" s="136">
        <v>1</v>
      </c>
      <c r="B7" s="137" t="s">
        <v>178</v>
      </c>
      <c r="C7" s="81">
        <f>SUM(C8:C11)</f>
        <v>39959829.109999985</v>
      </c>
      <c r="D7" s="81">
        <f>SUM(D8:D11)</f>
        <v>14591636.180000002</v>
      </c>
      <c r="E7" s="82">
        <f>C7+D7</f>
        <v>54551465.289999984</v>
      </c>
      <c r="F7" s="81"/>
      <c r="G7" s="81"/>
      <c r="H7" s="83">
        <f t="shared" ref="H7:H53" si="0">F7+G7</f>
        <v>0</v>
      </c>
      <c r="I7" s="138"/>
      <c r="J7" s="138"/>
    </row>
    <row r="8" spans="1:10" s="20" customFormat="1" ht="15.75" x14ac:dyDescent="0.3">
      <c r="A8" s="136">
        <v>1.1000000000000001</v>
      </c>
      <c r="B8" s="139" t="s">
        <v>179</v>
      </c>
      <c r="C8" s="81">
        <v>31191594.579999998</v>
      </c>
      <c r="D8" s="81">
        <v>8802524.25</v>
      </c>
      <c r="E8" s="82">
        <f t="shared" ref="E8:E53" si="1">C8+D8</f>
        <v>39994118.829999998</v>
      </c>
      <c r="F8" s="81"/>
      <c r="G8" s="81"/>
      <c r="H8" s="83">
        <f t="shared" si="0"/>
        <v>0</v>
      </c>
      <c r="I8" s="138"/>
      <c r="J8" s="138"/>
    </row>
    <row r="9" spans="1:10" s="20" customFormat="1" ht="15.75" x14ac:dyDescent="0.3">
      <c r="A9" s="136">
        <v>1.2</v>
      </c>
      <c r="B9" s="139" t="s">
        <v>180</v>
      </c>
      <c r="C9" s="81">
        <v>0</v>
      </c>
      <c r="D9" s="81">
        <v>0</v>
      </c>
      <c r="E9" s="82">
        <f t="shared" si="1"/>
        <v>0</v>
      </c>
      <c r="F9" s="81"/>
      <c r="G9" s="81"/>
      <c r="H9" s="83">
        <f t="shared" si="0"/>
        <v>0</v>
      </c>
      <c r="I9" s="138"/>
      <c r="J9" s="138"/>
    </row>
    <row r="10" spans="1:10" s="20" customFormat="1" ht="15.75" x14ac:dyDescent="0.3">
      <c r="A10" s="136">
        <v>1.3</v>
      </c>
      <c r="B10" s="139" t="s">
        <v>181</v>
      </c>
      <c r="C10" s="81">
        <v>8768234.5299999844</v>
      </c>
      <c r="D10" s="81">
        <v>5789111.9300000016</v>
      </c>
      <c r="E10" s="82">
        <f t="shared" si="1"/>
        <v>14557346.459999986</v>
      </c>
      <c r="F10" s="81"/>
      <c r="G10" s="81"/>
      <c r="H10" s="83">
        <f t="shared" si="0"/>
        <v>0</v>
      </c>
      <c r="I10" s="138"/>
      <c r="J10" s="138"/>
    </row>
    <row r="11" spans="1:10" s="20" customFormat="1" ht="15.75" x14ac:dyDescent="0.3">
      <c r="A11" s="136">
        <v>1.4</v>
      </c>
      <c r="B11" s="139" t="s">
        <v>182</v>
      </c>
      <c r="C11" s="81">
        <v>0</v>
      </c>
      <c r="D11" s="81">
        <v>0</v>
      </c>
      <c r="E11" s="82">
        <f t="shared" si="1"/>
        <v>0</v>
      </c>
      <c r="F11" s="81"/>
      <c r="G11" s="81"/>
      <c r="H11" s="83">
        <f t="shared" si="0"/>
        <v>0</v>
      </c>
      <c r="I11" s="138"/>
      <c r="J11" s="138"/>
    </row>
    <row r="12" spans="1:10" s="20" customFormat="1" ht="29.25" customHeight="1" x14ac:dyDescent="0.3">
      <c r="A12" s="136">
        <v>2</v>
      </c>
      <c r="B12" s="137" t="s">
        <v>183</v>
      </c>
      <c r="C12" s="81">
        <v>0</v>
      </c>
      <c r="D12" s="81">
        <v>2105195</v>
      </c>
      <c r="E12" s="82">
        <f t="shared" si="1"/>
        <v>2105195</v>
      </c>
      <c r="F12" s="81"/>
      <c r="G12" s="81"/>
      <c r="H12" s="83">
        <f t="shared" si="0"/>
        <v>0</v>
      </c>
      <c r="I12" s="138"/>
      <c r="J12" s="138"/>
    </row>
    <row r="13" spans="1:10" s="20" customFormat="1" ht="25.5" x14ac:dyDescent="0.3">
      <c r="A13" s="136">
        <v>3</v>
      </c>
      <c r="B13" s="137" t="s">
        <v>184</v>
      </c>
      <c r="C13" s="81">
        <v>30613000</v>
      </c>
      <c r="D13" s="81">
        <v>0</v>
      </c>
      <c r="E13" s="82">
        <f t="shared" si="1"/>
        <v>30613000</v>
      </c>
      <c r="F13" s="81"/>
      <c r="G13" s="81"/>
      <c r="H13" s="83">
        <f t="shared" si="0"/>
        <v>0</v>
      </c>
      <c r="I13" s="138"/>
      <c r="J13" s="138"/>
    </row>
    <row r="14" spans="1:10" s="20" customFormat="1" ht="15.75" x14ac:dyDescent="0.3">
      <c r="A14" s="136">
        <v>3.1</v>
      </c>
      <c r="B14" s="139" t="s">
        <v>185</v>
      </c>
      <c r="C14" s="81">
        <f>C13</f>
        <v>30613000</v>
      </c>
      <c r="D14" s="81">
        <f>D13</f>
        <v>0</v>
      </c>
      <c r="E14" s="82">
        <f t="shared" si="1"/>
        <v>30613000</v>
      </c>
      <c r="F14" s="81"/>
      <c r="G14" s="81"/>
      <c r="H14" s="83">
        <f t="shared" si="0"/>
        <v>0</v>
      </c>
      <c r="I14" s="138"/>
      <c r="J14" s="138"/>
    </row>
    <row r="15" spans="1:10" s="20" customFormat="1" ht="15.75" x14ac:dyDescent="0.3">
      <c r="A15" s="136">
        <v>3.2</v>
      </c>
      <c r="B15" s="139" t="s">
        <v>186</v>
      </c>
      <c r="C15" s="81"/>
      <c r="D15" s="81"/>
      <c r="E15" s="82">
        <f t="shared" si="1"/>
        <v>0</v>
      </c>
      <c r="F15" s="81"/>
      <c r="G15" s="81"/>
      <c r="H15" s="83">
        <f t="shared" si="0"/>
        <v>0</v>
      </c>
      <c r="I15" s="138"/>
      <c r="J15" s="138"/>
    </row>
    <row r="16" spans="1:10" s="20" customFormat="1" ht="15.75" x14ac:dyDescent="0.3">
      <c r="A16" s="136">
        <v>4</v>
      </c>
      <c r="B16" s="137" t="s">
        <v>187</v>
      </c>
      <c r="C16" s="81">
        <v>131988650.90999991</v>
      </c>
      <c r="D16" s="81">
        <v>226213691.66999984</v>
      </c>
      <c r="E16" s="82">
        <f t="shared" si="1"/>
        <v>358202342.57999974</v>
      </c>
      <c r="F16" s="81"/>
      <c r="G16" s="81"/>
      <c r="H16" s="83">
        <f t="shared" si="0"/>
        <v>0</v>
      </c>
      <c r="J16" s="138"/>
    </row>
    <row r="17" spans="1:10" s="20" customFormat="1" ht="15.75" x14ac:dyDescent="0.3">
      <c r="A17" s="136">
        <v>4.0999999999999996</v>
      </c>
      <c r="B17" s="139" t="s">
        <v>188</v>
      </c>
      <c r="C17" s="81">
        <v>131988650.90999991</v>
      </c>
      <c r="D17" s="81">
        <v>226213691.66999984</v>
      </c>
      <c r="E17" s="82">
        <f t="shared" si="1"/>
        <v>358202342.57999974</v>
      </c>
      <c r="F17" s="81"/>
      <c r="G17" s="81"/>
      <c r="H17" s="83">
        <f t="shared" si="0"/>
        <v>0</v>
      </c>
      <c r="J17" s="138"/>
    </row>
    <row r="18" spans="1:10" s="20" customFormat="1" ht="15.75" x14ac:dyDescent="0.3">
      <c r="A18" s="136">
        <v>4.2</v>
      </c>
      <c r="B18" s="139" t="s">
        <v>189</v>
      </c>
      <c r="C18" s="81">
        <v>0</v>
      </c>
      <c r="D18" s="81">
        <v>0</v>
      </c>
      <c r="E18" s="82">
        <f t="shared" si="1"/>
        <v>0</v>
      </c>
      <c r="F18" s="81"/>
      <c r="G18" s="81"/>
      <c r="H18" s="83">
        <f t="shared" si="0"/>
        <v>0</v>
      </c>
      <c r="I18" s="138"/>
      <c r="J18" s="138"/>
    </row>
    <row r="19" spans="1:10" s="20" customFormat="1" ht="25.5" x14ac:dyDescent="0.3">
      <c r="A19" s="136">
        <v>5</v>
      </c>
      <c r="B19" s="137" t="s">
        <v>190</v>
      </c>
      <c r="C19" s="81">
        <v>434477826.3500002</v>
      </c>
      <c r="D19" s="81">
        <v>581158040.71999979</v>
      </c>
      <c r="E19" s="82">
        <f t="shared" si="1"/>
        <v>1015635867.0699999</v>
      </c>
      <c r="F19" s="81"/>
      <c r="G19" s="81"/>
      <c r="H19" s="83">
        <f t="shared" si="0"/>
        <v>0</v>
      </c>
      <c r="I19" s="138"/>
      <c r="J19" s="138"/>
    </row>
    <row r="20" spans="1:10" s="20" customFormat="1" ht="15.75" x14ac:dyDescent="0.3">
      <c r="A20" s="136">
        <v>5.0999999999999996</v>
      </c>
      <c r="B20" s="139" t="s">
        <v>191</v>
      </c>
      <c r="C20" s="81">
        <v>19774011.179999992</v>
      </c>
      <c r="D20" s="81">
        <v>31617878.529999997</v>
      </c>
      <c r="E20" s="82">
        <f t="shared" si="1"/>
        <v>51391889.709999993</v>
      </c>
      <c r="F20" s="81"/>
      <c r="G20" s="81"/>
      <c r="H20" s="83">
        <f t="shared" si="0"/>
        <v>0</v>
      </c>
      <c r="I20" s="138"/>
      <c r="J20" s="138"/>
    </row>
    <row r="21" spans="1:10" s="20" customFormat="1" ht="15.75" x14ac:dyDescent="0.3">
      <c r="A21" s="136">
        <v>5.2</v>
      </c>
      <c r="B21" s="139" t="s">
        <v>192</v>
      </c>
      <c r="C21" s="81">
        <v>56475788.240000017</v>
      </c>
      <c r="D21" s="81">
        <v>51164202.840000004</v>
      </c>
      <c r="E21" s="82">
        <f t="shared" si="1"/>
        <v>107639991.08000001</v>
      </c>
      <c r="F21" s="81"/>
      <c r="G21" s="81"/>
      <c r="H21" s="83">
        <f t="shared" si="0"/>
        <v>0</v>
      </c>
      <c r="I21" s="138"/>
      <c r="J21" s="138"/>
    </row>
    <row r="22" spans="1:10" s="20" customFormat="1" ht="15.75" x14ac:dyDescent="0.3">
      <c r="A22" s="136">
        <v>5.3</v>
      </c>
      <c r="B22" s="139" t="s">
        <v>193</v>
      </c>
      <c r="C22" s="81">
        <v>291353570.56000018</v>
      </c>
      <c r="D22" s="81">
        <v>473774248.60999978</v>
      </c>
      <c r="E22" s="82">
        <f t="shared" si="1"/>
        <v>765127819.16999996</v>
      </c>
      <c r="F22" s="81"/>
      <c r="G22" s="81"/>
      <c r="H22" s="83">
        <f t="shared" si="0"/>
        <v>0</v>
      </c>
      <c r="I22" s="138"/>
      <c r="J22" s="138"/>
    </row>
    <row r="23" spans="1:10" s="20" customFormat="1" ht="15.75" x14ac:dyDescent="0.3">
      <c r="A23" s="136" t="s">
        <v>194</v>
      </c>
      <c r="B23" s="140" t="s">
        <v>195</v>
      </c>
      <c r="C23" s="81">
        <v>173853084.43000013</v>
      </c>
      <c r="D23" s="81">
        <v>242703209.09999979</v>
      </c>
      <c r="E23" s="82">
        <f t="shared" si="1"/>
        <v>416556293.52999991</v>
      </c>
      <c r="F23" s="81"/>
      <c r="G23" s="81"/>
      <c r="H23" s="83">
        <f t="shared" si="0"/>
        <v>0</v>
      </c>
      <c r="I23" s="138"/>
      <c r="J23" s="138"/>
    </row>
    <row r="24" spans="1:10" s="20" customFormat="1" ht="15.75" x14ac:dyDescent="0.3">
      <c r="A24" s="136" t="s">
        <v>196</v>
      </c>
      <c r="B24" s="140" t="s">
        <v>197</v>
      </c>
      <c r="C24" s="81">
        <v>70565703.920000017</v>
      </c>
      <c r="D24" s="81">
        <v>193214589.21000007</v>
      </c>
      <c r="E24" s="82">
        <f t="shared" si="1"/>
        <v>263780293.13000008</v>
      </c>
      <c r="F24" s="81"/>
      <c r="G24" s="81"/>
      <c r="H24" s="83">
        <f t="shared" si="0"/>
        <v>0</v>
      </c>
      <c r="I24" s="138"/>
      <c r="J24" s="138"/>
    </row>
    <row r="25" spans="1:10" s="20" customFormat="1" ht="15.75" x14ac:dyDescent="0.3">
      <c r="A25" s="136" t="s">
        <v>198</v>
      </c>
      <c r="B25" s="141" t="s">
        <v>199</v>
      </c>
      <c r="C25" s="81">
        <v>19403946.66</v>
      </c>
      <c r="D25" s="81">
        <v>9939658.5899999961</v>
      </c>
      <c r="E25" s="82">
        <f t="shared" si="1"/>
        <v>29343605.249999996</v>
      </c>
      <c r="F25" s="81"/>
      <c r="G25" s="81"/>
      <c r="H25" s="83">
        <f t="shared" si="0"/>
        <v>0</v>
      </c>
      <c r="I25" s="138"/>
      <c r="J25" s="138"/>
    </row>
    <row r="26" spans="1:10" s="20" customFormat="1" ht="15.75" x14ac:dyDescent="0.3">
      <c r="A26" s="136" t="s">
        <v>200</v>
      </c>
      <c r="B26" s="140" t="s">
        <v>201</v>
      </c>
      <c r="C26" s="81">
        <v>17785499.079999983</v>
      </c>
      <c r="D26" s="81">
        <v>25234144.18</v>
      </c>
      <c r="E26" s="82">
        <f t="shared" si="1"/>
        <v>43019643.259999983</v>
      </c>
      <c r="F26" s="81"/>
      <c r="G26" s="81"/>
      <c r="H26" s="83">
        <f t="shared" si="0"/>
        <v>0</v>
      </c>
      <c r="I26" s="138"/>
      <c r="J26" s="138"/>
    </row>
    <row r="27" spans="1:10" s="20" customFormat="1" ht="15.75" x14ac:dyDescent="0.3">
      <c r="A27" s="136" t="s">
        <v>202</v>
      </c>
      <c r="B27" s="140" t="s">
        <v>203</v>
      </c>
      <c r="C27" s="81">
        <v>9745336.4699999988</v>
      </c>
      <c r="D27" s="81">
        <v>2682647.5299999998</v>
      </c>
      <c r="E27" s="82">
        <f t="shared" si="1"/>
        <v>12427983.999999998</v>
      </c>
      <c r="F27" s="81"/>
      <c r="G27" s="81"/>
      <c r="H27" s="83">
        <f t="shared" si="0"/>
        <v>0</v>
      </c>
      <c r="I27" s="138"/>
      <c r="J27" s="138"/>
    </row>
    <row r="28" spans="1:10" s="20" customFormat="1" ht="15.75" x14ac:dyDescent="0.3">
      <c r="A28" s="136">
        <v>5.4</v>
      </c>
      <c r="B28" s="139" t="s">
        <v>204</v>
      </c>
      <c r="C28" s="81">
        <v>20748747.339999996</v>
      </c>
      <c r="D28" s="81">
        <v>10774949.139999995</v>
      </c>
      <c r="E28" s="82">
        <f t="shared" si="1"/>
        <v>31523696.479999989</v>
      </c>
      <c r="F28" s="81"/>
      <c r="G28" s="81"/>
      <c r="H28" s="83">
        <f t="shared" si="0"/>
        <v>0</v>
      </c>
      <c r="I28" s="138"/>
      <c r="J28" s="138"/>
    </row>
    <row r="29" spans="1:10" s="20" customFormat="1" ht="15.75" x14ac:dyDescent="0.3">
      <c r="A29" s="136">
        <v>5.5</v>
      </c>
      <c r="B29" s="139" t="s">
        <v>205</v>
      </c>
      <c r="C29" s="81">
        <v>0</v>
      </c>
      <c r="D29" s="81">
        <v>0</v>
      </c>
      <c r="E29" s="82">
        <f t="shared" si="1"/>
        <v>0</v>
      </c>
      <c r="F29" s="81"/>
      <c r="G29" s="81"/>
      <c r="H29" s="83">
        <f t="shared" si="0"/>
        <v>0</v>
      </c>
      <c r="I29" s="138"/>
      <c r="J29" s="138"/>
    </row>
    <row r="30" spans="1:10" s="20" customFormat="1" ht="15.75" x14ac:dyDescent="0.3">
      <c r="A30" s="136">
        <v>5.6</v>
      </c>
      <c r="B30" s="139" t="s">
        <v>206</v>
      </c>
      <c r="C30" s="81">
        <v>0</v>
      </c>
      <c r="D30" s="81">
        <v>0</v>
      </c>
      <c r="E30" s="82">
        <f t="shared" si="1"/>
        <v>0</v>
      </c>
      <c r="F30" s="81"/>
      <c r="G30" s="81"/>
      <c r="H30" s="83">
        <f t="shared" si="0"/>
        <v>0</v>
      </c>
      <c r="I30" s="138"/>
      <c r="J30" s="138"/>
    </row>
    <row r="31" spans="1:10" s="20" customFormat="1" ht="15.75" x14ac:dyDescent="0.3">
      <c r="A31" s="136">
        <v>5.7</v>
      </c>
      <c r="B31" s="139" t="s">
        <v>207</v>
      </c>
      <c r="C31" s="81">
        <v>46125709.029999986</v>
      </c>
      <c r="D31" s="81">
        <v>13826761.600000003</v>
      </c>
      <c r="E31" s="82">
        <f t="shared" si="1"/>
        <v>59952470.629999988</v>
      </c>
      <c r="F31" s="81"/>
      <c r="G31" s="81"/>
      <c r="H31" s="83">
        <f t="shared" si="0"/>
        <v>0</v>
      </c>
      <c r="I31" s="138"/>
      <c r="J31" s="138"/>
    </row>
    <row r="32" spans="1:10" s="20" customFormat="1" ht="15.75" x14ac:dyDescent="0.3">
      <c r="A32" s="136">
        <v>6</v>
      </c>
      <c r="B32" s="137" t="s">
        <v>208</v>
      </c>
      <c r="C32" s="81">
        <f>SUM(C33:C39)</f>
        <v>17506418.399999999</v>
      </c>
      <c r="D32" s="81">
        <f>SUM(D33:D39)</f>
        <v>17693544.800000001</v>
      </c>
      <c r="E32" s="82">
        <f t="shared" si="1"/>
        <v>35199963.200000003</v>
      </c>
      <c r="F32" s="81"/>
      <c r="G32" s="81"/>
      <c r="H32" s="83">
        <f t="shared" si="0"/>
        <v>0</v>
      </c>
      <c r="I32" s="138"/>
      <c r="J32" s="138"/>
    </row>
    <row r="33" spans="1:10" s="20" customFormat="1" ht="25.5" x14ac:dyDescent="0.3">
      <c r="A33" s="136">
        <v>6.1</v>
      </c>
      <c r="B33" s="139" t="s">
        <v>209</v>
      </c>
      <c r="C33" s="81">
        <v>17506418.399999999</v>
      </c>
      <c r="D33" s="81">
        <v>0</v>
      </c>
      <c r="E33" s="82">
        <f t="shared" si="1"/>
        <v>17506418.399999999</v>
      </c>
      <c r="F33" s="81"/>
      <c r="G33" s="81"/>
      <c r="H33" s="83">
        <f t="shared" si="0"/>
        <v>0</v>
      </c>
      <c r="I33" s="138"/>
      <c r="J33" s="138"/>
    </row>
    <row r="34" spans="1:10" s="20" customFormat="1" ht="25.5" x14ac:dyDescent="0.3">
      <c r="A34" s="136">
        <v>6.2</v>
      </c>
      <c r="B34" s="139" t="s">
        <v>210</v>
      </c>
      <c r="C34" s="81">
        <v>0</v>
      </c>
      <c r="D34" s="81">
        <v>17693544.800000001</v>
      </c>
      <c r="E34" s="82">
        <f t="shared" si="1"/>
        <v>17693544.800000001</v>
      </c>
      <c r="F34" s="81"/>
      <c r="G34" s="81"/>
      <c r="H34" s="83">
        <f t="shared" si="0"/>
        <v>0</v>
      </c>
      <c r="I34" s="138"/>
      <c r="J34" s="138"/>
    </row>
    <row r="35" spans="1:10" s="20" customFormat="1" ht="25.5" x14ac:dyDescent="0.3">
      <c r="A35" s="136">
        <v>6.3</v>
      </c>
      <c r="B35" s="139" t="s">
        <v>211</v>
      </c>
      <c r="C35" s="81">
        <v>0</v>
      </c>
      <c r="D35" s="81">
        <v>0</v>
      </c>
      <c r="E35" s="82">
        <f t="shared" si="1"/>
        <v>0</v>
      </c>
      <c r="F35" s="81"/>
      <c r="G35" s="81"/>
      <c r="H35" s="83">
        <f t="shared" si="0"/>
        <v>0</v>
      </c>
      <c r="I35" s="138"/>
      <c r="J35" s="138"/>
    </row>
    <row r="36" spans="1:10" s="20" customFormat="1" ht="15.75" x14ac:dyDescent="0.3">
      <c r="A36" s="136">
        <v>6.4</v>
      </c>
      <c r="B36" s="139" t="s">
        <v>212</v>
      </c>
      <c r="C36" s="81"/>
      <c r="D36" s="81"/>
      <c r="E36" s="82">
        <f t="shared" si="1"/>
        <v>0</v>
      </c>
      <c r="F36" s="81"/>
      <c r="G36" s="81"/>
      <c r="H36" s="83">
        <f t="shared" si="0"/>
        <v>0</v>
      </c>
      <c r="I36" s="138"/>
      <c r="J36" s="138"/>
    </row>
    <row r="37" spans="1:10" s="20" customFormat="1" ht="15.75" x14ac:dyDescent="0.3">
      <c r="A37" s="136">
        <v>6.5</v>
      </c>
      <c r="B37" s="139" t="s">
        <v>213</v>
      </c>
      <c r="C37" s="81"/>
      <c r="D37" s="81"/>
      <c r="E37" s="82">
        <f t="shared" si="1"/>
        <v>0</v>
      </c>
      <c r="F37" s="81"/>
      <c r="G37" s="81"/>
      <c r="H37" s="83">
        <f t="shared" si="0"/>
        <v>0</v>
      </c>
      <c r="I37" s="138"/>
      <c r="J37" s="138"/>
    </row>
    <row r="38" spans="1:10" s="20" customFormat="1" ht="25.5" x14ac:dyDescent="0.3">
      <c r="A38" s="136">
        <v>6.6</v>
      </c>
      <c r="B38" s="139" t="s">
        <v>214</v>
      </c>
      <c r="C38" s="81"/>
      <c r="D38" s="81"/>
      <c r="E38" s="82">
        <f t="shared" si="1"/>
        <v>0</v>
      </c>
      <c r="F38" s="81"/>
      <c r="G38" s="81"/>
      <c r="H38" s="83">
        <f t="shared" si="0"/>
        <v>0</v>
      </c>
      <c r="I38" s="138"/>
      <c r="J38" s="138"/>
    </row>
    <row r="39" spans="1:10" s="20" customFormat="1" ht="25.5" x14ac:dyDescent="0.3">
      <c r="A39" s="136">
        <v>6.7</v>
      </c>
      <c r="B39" s="139" t="s">
        <v>215</v>
      </c>
      <c r="C39" s="81"/>
      <c r="D39" s="81"/>
      <c r="E39" s="82">
        <f t="shared" si="1"/>
        <v>0</v>
      </c>
      <c r="F39" s="81"/>
      <c r="G39" s="81"/>
      <c r="H39" s="83">
        <f t="shared" si="0"/>
        <v>0</v>
      </c>
      <c r="I39" s="138"/>
      <c r="J39" s="138"/>
    </row>
    <row r="40" spans="1:10" s="20" customFormat="1" ht="15.75" x14ac:dyDescent="0.3">
      <c r="A40" s="136">
        <v>7</v>
      </c>
      <c r="B40" s="137" t="s">
        <v>216</v>
      </c>
      <c r="C40" s="81"/>
      <c r="D40" s="81"/>
      <c r="E40" s="82">
        <f>C40+D40</f>
        <v>0</v>
      </c>
      <c r="F40" s="81"/>
      <c r="G40" s="81"/>
      <c r="H40" s="83">
        <f t="shared" si="0"/>
        <v>0</v>
      </c>
      <c r="I40" s="138"/>
      <c r="J40" s="138"/>
    </row>
    <row r="41" spans="1:10" s="20" customFormat="1" ht="25.5" x14ac:dyDescent="0.3">
      <c r="A41" s="136">
        <v>7.1</v>
      </c>
      <c r="B41" s="139" t="s">
        <v>217</v>
      </c>
      <c r="C41" s="81">
        <v>458355.81999999989</v>
      </c>
      <c r="D41" s="81">
        <v>34381.839999999997</v>
      </c>
      <c r="E41" s="82">
        <f t="shared" si="1"/>
        <v>492737.65999999992</v>
      </c>
      <c r="F41" s="81"/>
      <c r="G41" s="81"/>
      <c r="H41" s="83">
        <f t="shared" si="0"/>
        <v>0</v>
      </c>
      <c r="I41" s="138"/>
      <c r="J41" s="138"/>
    </row>
    <row r="42" spans="1:10" s="20" customFormat="1" ht="25.5" x14ac:dyDescent="0.3">
      <c r="A42" s="136">
        <v>7.2</v>
      </c>
      <c r="B42" s="139" t="s">
        <v>218</v>
      </c>
      <c r="C42" s="81">
        <v>9586821.8699999899</v>
      </c>
      <c r="D42" s="81">
        <v>7971952.2799999975</v>
      </c>
      <c r="E42" s="82">
        <f t="shared" si="1"/>
        <v>17558774.149999987</v>
      </c>
      <c r="F42" s="81"/>
      <c r="G42" s="81"/>
      <c r="H42" s="83">
        <f t="shared" si="0"/>
        <v>0</v>
      </c>
      <c r="I42" s="142"/>
      <c r="J42" s="138"/>
    </row>
    <row r="43" spans="1:10" s="20" customFormat="1" ht="25.5" x14ac:dyDescent="0.3">
      <c r="A43" s="136">
        <v>7.3</v>
      </c>
      <c r="B43" s="139" t="s">
        <v>219</v>
      </c>
      <c r="C43" s="81">
        <v>5588643.0100000054</v>
      </c>
      <c r="D43" s="81">
        <v>6511106.0199999986</v>
      </c>
      <c r="E43" s="82">
        <f t="shared" si="1"/>
        <v>12099749.030000005</v>
      </c>
      <c r="F43" s="81"/>
      <c r="G43" s="81"/>
      <c r="H43" s="83">
        <f t="shared" si="0"/>
        <v>0</v>
      </c>
      <c r="I43" s="138"/>
      <c r="J43" s="138"/>
    </row>
    <row r="44" spans="1:10" s="20" customFormat="1" ht="25.5" x14ac:dyDescent="0.3">
      <c r="A44" s="136">
        <v>7.4</v>
      </c>
      <c r="B44" s="139" t="s">
        <v>220</v>
      </c>
      <c r="C44" s="81">
        <v>44859614.759999976</v>
      </c>
      <c r="D44" s="81">
        <v>53725630.330000028</v>
      </c>
      <c r="E44" s="82">
        <f t="shared" si="1"/>
        <v>98585245.090000004</v>
      </c>
      <c r="F44" s="81"/>
      <c r="G44" s="81"/>
      <c r="H44" s="83">
        <f t="shared" si="0"/>
        <v>0</v>
      </c>
      <c r="I44" s="142"/>
      <c r="J44" s="138"/>
    </row>
    <row r="45" spans="1:10" s="20" customFormat="1" ht="15.75" x14ac:dyDescent="0.3">
      <c r="A45" s="136">
        <v>8</v>
      </c>
      <c r="B45" s="137" t="s">
        <v>221</v>
      </c>
      <c r="C45" s="81"/>
      <c r="D45" s="81"/>
      <c r="E45" s="82">
        <f t="shared" si="1"/>
        <v>0</v>
      </c>
      <c r="F45" s="81"/>
      <c r="G45" s="81"/>
      <c r="H45" s="83">
        <f t="shared" si="0"/>
        <v>0</v>
      </c>
      <c r="I45" s="138"/>
      <c r="J45" s="138"/>
    </row>
    <row r="46" spans="1:10" s="20" customFormat="1" ht="15.75" x14ac:dyDescent="0.3">
      <c r="A46" s="136">
        <v>8.1</v>
      </c>
      <c r="B46" s="139" t="s">
        <v>222</v>
      </c>
      <c r="C46" s="81"/>
      <c r="D46" s="81"/>
      <c r="E46" s="82">
        <f t="shared" si="1"/>
        <v>0</v>
      </c>
      <c r="F46" s="81"/>
      <c r="G46" s="81"/>
      <c r="H46" s="83">
        <f t="shared" si="0"/>
        <v>0</v>
      </c>
      <c r="I46" s="138"/>
      <c r="J46" s="138"/>
    </row>
    <row r="47" spans="1:10" s="20" customFormat="1" ht="15.75" x14ac:dyDescent="0.3">
      <c r="A47" s="136">
        <v>8.1999999999999993</v>
      </c>
      <c r="B47" s="139" t="s">
        <v>223</v>
      </c>
      <c r="C47" s="81"/>
      <c r="D47" s="81"/>
      <c r="E47" s="82">
        <f t="shared" si="1"/>
        <v>0</v>
      </c>
      <c r="F47" s="81"/>
      <c r="G47" s="81"/>
      <c r="H47" s="83">
        <f t="shared" si="0"/>
        <v>0</v>
      </c>
      <c r="I47" s="138"/>
      <c r="J47" s="138"/>
    </row>
    <row r="48" spans="1:10" s="20" customFormat="1" ht="15.75" x14ac:dyDescent="0.3">
      <c r="A48" s="136">
        <v>8.3000000000000007</v>
      </c>
      <c r="B48" s="139" t="s">
        <v>224</v>
      </c>
      <c r="C48" s="81"/>
      <c r="D48" s="81"/>
      <c r="E48" s="82">
        <f t="shared" si="1"/>
        <v>0</v>
      </c>
      <c r="F48" s="81"/>
      <c r="G48" s="81"/>
      <c r="H48" s="83">
        <f t="shared" si="0"/>
        <v>0</v>
      </c>
      <c r="I48" s="138"/>
      <c r="J48" s="138"/>
    </row>
    <row r="49" spans="1:10" s="20" customFormat="1" ht="15.75" x14ac:dyDescent="0.3">
      <c r="A49" s="136">
        <v>8.4</v>
      </c>
      <c r="B49" s="139" t="s">
        <v>225</v>
      </c>
      <c r="C49" s="81"/>
      <c r="D49" s="81"/>
      <c r="E49" s="82">
        <f t="shared" si="1"/>
        <v>0</v>
      </c>
      <c r="F49" s="81"/>
      <c r="G49" s="81"/>
      <c r="H49" s="83">
        <f t="shared" si="0"/>
        <v>0</v>
      </c>
      <c r="I49" s="138"/>
      <c r="J49" s="138"/>
    </row>
    <row r="50" spans="1:10" s="20" customFormat="1" ht="15.75" x14ac:dyDescent="0.3">
      <c r="A50" s="136">
        <v>8.5</v>
      </c>
      <c r="B50" s="139" t="s">
        <v>226</v>
      </c>
      <c r="C50" s="81"/>
      <c r="D50" s="81"/>
      <c r="E50" s="82">
        <f t="shared" si="1"/>
        <v>0</v>
      </c>
      <c r="F50" s="81"/>
      <c r="G50" s="81"/>
      <c r="H50" s="83">
        <f t="shared" si="0"/>
        <v>0</v>
      </c>
      <c r="I50" s="138"/>
      <c r="J50" s="138"/>
    </row>
    <row r="51" spans="1:10" s="20" customFormat="1" ht="15.75" x14ac:dyDescent="0.3">
      <c r="A51" s="136">
        <v>8.6</v>
      </c>
      <c r="B51" s="139" t="s">
        <v>227</v>
      </c>
      <c r="C51" s="81"/>
      <c r="D51" s="81"/>
      <c r="E51" s="82">
        <f t="shared" si="1"/>
        <v>0</v>
      </c>
      <c r="F51" s="81"/>
      <c r="G51" s="81"/>
      <c r="H51" s="83">
        <f t="shared" si="0"/>
        <v>0</v>
      </c>
      <c r="I51" s="138"/>
      <c r="J51" s="138"/>
    </row>
    <row r="52" spans="1:10" s="20" customFormat="1" ht="15.75" x14ac:dyDescent="0.3">
      <c r="A52" s="136">
        <v>8.6999999999999993</v>
      </c>
      <c r="B52" s="139" t="s">
        <v>228</v>
      </c>
      <c r="C52" s="81"/>
      <c r="D52" s="81"/>
      <c r="E52" s="82">
        <f t="shared" si="1"/>
        <v>0</v>
      </c>
      <c r="F52" s="81"/>
      <c r="G52" s="81"/>
      <c r="H52" s="83">
        <f t="shared" si="0"/>
        <v>0</v>
      </c>
      <c r="I52" s="138"/>
      <c r="J52" s="138"/>
    </row>
    <row r="53" spans="1:10" s="20" customFormat="1" ht="26.25" thickBot="1" x14ac:dyDescent="0.35">
      <c r="A53" s="143">
        <v>9</v>
      </c>
      <c r="B53" s="144" t="s">
        <v>229</v>
      </c>
      <c r="C53" s="145"/>
      <c r="D53" s="145"/>
      <c r="E53" s="92">
        <f t="shared" si="1"/>
        <v>0</v>
      </c>
      <c r="F53" s="145"/>
      <c r="G53" s="145"/>
      <c r="H53" s="93">
        <f t="shared" si="0"/>
        <v>0</v>
      </c>
      <c r="I53" s="138"/>
      <c r="J53" s="138"/>
    </row>
    <row r="54" spans="1:10" ht="39" x14ac:dyDescent="0.25">
      <c r="B54" s="67" t="s">
        <v>230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C20" sqref="C20"/>
    </sheetView>
  </sheetViews>
  <sheetFormatPr defaultColWidth="9.140625" defaultRowHeight="12.75" x14ac:dyDescent="0.2"/>
  <cols>
    <col min="1" max="1" width="9.5703125" style="21" bestFit="1" customWidth="1"/>
    <col min="2" max="2" width="93.5703125" style="21" customWidth="1"/>
    <col min="3" max="4" width="12.7109375" style="21" customWidth="1"/>
    <col min="5" max="11" width="9.7109375" style="115" customWidth="1"/>
    <col min="12" max="16384" width="9.140625" style="115"/>
  </cols>
  <sheetData>
    <row r="1" spans="1:8" ht="15" x14ac:dyDescent="0.3">
      <c r="A1" s="22" t="s">
        <v>31</v>
      </c>
      <c r="B1" s="21" t="str">
        <f>'1. key ratios'!B1</f>
        <v>სს ტერაბანკი</v>
      </c>
      <c r="C1" s="23"/>
    </row>
    <row r="2" spans="1:8" ht="15" x14ac:dyDescent="0.3">
      <c r="A2" s="22" t="s">
        <v>33</v>
      </c>
      <c r="B2" s="69">
        <f>'1. key ratios'!B2</f>
        <v>43008</v>
      </c>
      <c r="C2" s="25"/>
      <c r="D2" s="26"/>
      <c r="E2" s="146"/>
      <c r="F2" s="146"/>
      <c r="G2" s="146"/>
      <c r="H2" s="146"/>
    </row>
    <row r="3" spans="1:8" ht="15" x14ac:dyDescent="0.3">
      <c r="A3" s="22"/>
      <c r="B3" s="23"/>
      <c r="C3" s="25"/>
      <c r="D3" s="26"/>
      <c r="E3" s="146"/>
      <c r="F3" s="146"/>
      <c r="G3" s="146"/>
      <c r="H3" s="146"/>
    </row>
    <row r="4" spans="1:8" ht="15" customHeight="1" thickBot="1" x14ac:dyDescent="0.35">
      <c r="A4" s="147" t="s">
        <v>231</v>
      </c>
      <c r="B4" s="148" t="s">
        <v>16</v>
      </c>
      <c r="C4" s="147"/>
      <c r="D4" s="149" t="s">
        <v>74</v>
      </c>
    </row>
    <row r="5" spans="1:8" ht="15" customHeight="1" x14ac:dyDescent="0.2">
      <c r="A5" s="150" t="s">
        <v>35</v>
      </c>
      <c r="B5" s="151"/>
      <c r="C5" s="152" t="s">
        <v>36</v>
      </c>
      <c r="D5" s="153" t="s">
        <v>37</v>
      </c>
    </row>
    <row r="6" spans="1:8" ht="15" customHeight="1" x14ac:dyDescent="0.2">
      <c r="A6" s="154">
        <v>1</v>
      </c>
      <c r="B6" s="155" t="s">
        <v>232</v>
      </c>
      <c r="C6" s="156">
        <f>C7+C9+C10+C11</f>
        <v>756207878.13118804</v>
      </c>
      <c r="D6" s="156">
        <f>D7+D9+D10+D11</f>
        <v>711222333.25550759</v>
      </c>
    </row>
    <row r="7" spans="1:8" ht="15" customHeight="1" x14ac:dyDescent="0.2">
      <c r="A7" s="154">
        <v>1.1000000000000001</v>
      </c>
      <c r="B7" s="157" t="s">
        <v>233</v>
      </c>
      <c r="C7" s="158">
        <v>539909536.43782043</v>
      </c>
      <c r="D7" s="159">
        <v>506542791.25123346</v>
      </c>
    </row>
    <row r="8" spans="1:8" ht="25.5" x14ac:dyDescent="0.2">
      <c r="A8" s="154" t="s">
        <v>234</v>
      </c>
      <c r="B8" s="160" t="s">
        <v>235</v>
      </c>
      <c r="C8" s="161">
        <v>0</v>
      </c>
      <c r="D8" s="162">
        <v>2538</v>
      </c>
    </row>
    <row r="9" spans="1:8" ht="15" customHeight="1" x14ac:dyDescent="0.2">
      <c r="A9" s="154">
        <v>1.2</v>
      </c>
      <c r="B9" s="157" t="s">
        <v>236</v>
      </c>
      <c r="C9" s="158">
        <v>16577035.602342492</v>
      </c>
      <c r="D9" s="159">
        <v>13384131.430499999</v>
      </c>
    </row>
    <row r="10" spans="1:8" ht="15" customHeight="1" x14ac:dyDescent="0.2">
      <c r="A10" s="154">
        <v>1.3</v>
      </c>
      <c r="B10" s="157" t="s">
        <v>237</v>
      </c>
      <c r="C10" s="161">
        <v>199367435.19502503</v>
      </c>
      <c r="D10" s="162">
        <v>190948244.18977422</v>
      </c>
    </row>
    <row r="11" spans="1:8" ht="15" customHeight="1" x14ac:dyDescent="0.2">
      <c r="A11" s="154">
        <v>1.4</v>
      </c>
      <c r="B11" s="163" t="s">
        <v>26</v>
      </c>
      <c r="C11" s="161">
        <v>353870.89600000001</v>
      </c>
      <c r="D11" s="162">
        <v>347166.38400000002</v>
      </c>
    </row>
    <row r="12" spans="1:8" ht="15" customHeight="1" x14ac:dyDescent="0.2">
      <c r="A12" s="154">
        <v>2</v>
      </c>
      <c r="B12" s="155" t="s">
        <v>238</v>
      </c>
      <c r="C12" s="158">
        <v>18915616.850000013</v>
      </c>
      <c r="D12" s="159">
        <v>17568663.120000046</v>
      </c>
    </row>
    <row r="13" spans="1:8" ht="15" customHeight="1" x14ac:dyDescent="0.2">
      <c r="A13" s="154">
        <v>3</v>
      </c>
      <c r="B13" s="155" t="s">
        <v>239</v>
      </c>
      <c r="C13" s="161">
        <v>45604372.038095236</v>
      </c>
      <c r="D13" s="162">
        <v>45604372.038095236</v>
      </c>
    </row>
    <row r="14" spans="1:8" ht="15" customHeight="1" thickBot="1" x14ac:dyDescent="0.25">
      <c r="A14" s="164">
        <v>4</v>
      </c>
      <c r="B14" s="165" t="s">
        <v>240</v>
      </c>
      <c r="C14" s="166">
        <f>C6+C12+C13</f>
        <v>820727867.01928329</v>
      </c>
      <c r="D14" s="166">
        <f>D6+D12+D13</f>
        <v>774395368.41360283</v>
      </c>
    </row>
    <row r="15" spans="1:8" ht="15" customHeight="1" x14ac:dyDescent="0.2">
      <c r="A15" s="167"/>
      <c r="B15" s="168"/>
      <c r="C15" s="169"/>
      <c r="D15" s="169"/>
    </row>
    <row r="16" spans="1:8" x14ac:dyDescent="0.2">
      <c r="B16" s="170"/>
    </row>
    <row r="17" spans="2:2" x14ac:dyDescent="0.2">
      <c r="B17" s="171"/>
    </row>
    <row r="18" spans="2:2" x14ac:dyDescent="0.2">
      <c r="B18" s="171"/>
    </row>
    <row r="19" spans="2:2" x14ac:dyDescent="0.2">
      <c r="B19" s="171"/>
    </row>
    <row r="20" spans="2:2" x14ac:dyDescent="0.2">
      <c r="B20" s="171"/>
    </row>
    <row r="21" spans="2:2" x14ac:dyDescent="0.2">
      <c r="B21" s="171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C30"/>
  <sheetViews>
    <sheetView zoomScaleNormal="10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/>
    </sheetView>
  </sheetViews>
  <sheetFormatPr defaultRowHeight="15" x14ac:dyDescent="0.25"/>
  <cols>
    <col min="1" max="1" width="9.5703125" style="21" bestFit="1" customWidth="1"/>
    <col min="2" max="2" width="89.28515625" style="21" customWidth="1"/>
    <col min="3" max="3" width="9.140625" style="21"/>
  </cols>
  <sheetData>
    <row r="1" spans="1:3" x14ac:dyDescent="0.25">
      <c r="A1" s="21" t="s">
        <v>31</v>
      </c>
      <c r="B1" s="21" t="str">
        <f>'1. key ratios'!B1</f>
        <v>სს ტერაბანკი</v>
      </c>
    </row>
    <row r="2" spans="1:3" x14ac:dyDescent="0.25">
      <c r="A2" s="21" t="s">
        <v>33</v>
      </c>
      <c r="B2" s="69">
        <f>'1. key ratios'!B2</f>
        <v>43008</v>
      </c>
    </row>
    <row r="4" spans="1:3" ht="16.5" customHeight="1" thickBot="1" x14ac:dyDescent="0.35">
      <c r="A4" s="172" t="s">
        <v>241</v>
      </c>
      <c r="B4" s="173" t="s">
        <v>17</v>
      </c>
      <c r="C4" s="174"/>
    </row>
    <row r="5" spans="1:3" ht="15.75" x14ac:dyDescent="0.3">
      <c r="A5" s="175"/>
      <c r="B5" s="416" t="s">
        <v>242</v>
      </c>
      <c r="C5" s="417"/>
    </row>
    <row r="6" spans="1:3" x14ac:dyDescent="0.25">
      <c r="A6" s="176">
        <v>1</v>
      </c>
      <c r="B6" s="177" t="s">
        <v>243</v>
      </c>
      <c r="C6" s="178"/>
    </row>
    <row r="7" spans="1:3" x14ac:dyDescent="0.25">
      <c r="A7" s="176">
        <v>2</v>
      </c>
      <c r="B7" s="177" t="s">
        <v>244</v>
      </c>
      <c r="C7" s="178"/>
    </row>
    <row r="8" spans="1:3" x14ac:dyDescent="0.25">
      <c r="A8" s="176">
        <v>3</v>
      </c>
      <c r="B8" s="177" t="s">
        <v>245</v>
      </c>
      <c r="C8" s="178"/>
    </row>
    <row r="9" spans="1:3" x14ac:dyDescent="0.25">
      <c r="A9" s="176">
        <v>4</v>
      </c>
      <c r="B9" s="177" t="s">
        <v>246</v>
      </c>
      <c r="C9" s="178"/>
    </row>
    <row r="10" spans="1:3" x14ac:dyDescent="0.25">
      <c r="A10" s="176"/>
      <c r="B10" s="418"/>
      <c r="C10" s="419"/>
    </row>
    <row r="11" spans="1:3" ht="15.75" x14ac:dyDescent="0.3">
      <c r="A11" s="176"/>
      <c r="B11" s="420" t="s">
        <v>247</v>
      </c>
      <c r="C11" s="421"/>
    </row>
    <row r="12" spans="1:3" ht="15.75" x14ac:dyDescent="0.3">
      <c r="A12" s="176">
        <v>1</v>
      </c>
      <c r="B12" s="179" t="s">
        <v>6</v>
      </c>
      <c r="C12" s="180"/>
    </row>
    <row r="13" spans="1:3" ht="15.75" x14ac:dyDescent="0.3">
      <c r="A13" s="176">
        <v>2</v>
      </c>
      <c r="B13" s="179" t="s">
        <v>248</v>
      </c>
      <c r="C13" s="180"/>
    </row>
    <row r="14" spans="1:3" ht="15.75" x14ac:dyDescent="0.3">
      <c r="A14" s="176">
        <v>3</v>
      </c>
      <c r="B14" s="179" t="s">
        <v>249</v>
      </c>
      <c r="C14" s="180"/>
    </row>
    <row r="15" spans="1:3" ht="15.75" x14ac:dyDescent="0.3">
      <c r="A15" s="176">
        <v>4</v>
      </c>
      <c r="B15" s="179" t="s">
        <v>250</v>
      </c>
      <c r="C15" s="180"/>
    </row>
    <row r="16" spans="1:3" ht="15.75" x14ac:dyDescent="0.3">
      <c r="A16" s="176">
        <v>5</v>
      </c>
      <c r="B16" s="179" t="s">
        <v>251</v>
      </c>
      <c r="C16" s="180"/>
    </row>
    <row r="17" spans="1:3" ht="15.75" customHeight="1" x14ac:dyDescent="0.3">
      <c r="A17" s="176"/>
      <c r="B17" s="179"/>
      <c r="C17" s="181"/>
    </row>
    <row r="18" spans="1:3" ht="30" customHeight="1" x14ac:dyDescent="0.25">
      <c r="A18" s="176"/>
      <c r="B18" s="422" t="s">
        <v>252</v>
      </c>
      <c r="C18" s="423"/>
    </row>
    <row r="19" spans="1:3" x14ac:dyDescent="0.25">
      <c r="A19" s="176">
        <v>1</v>
      </c>
      <c r="B19" s="177" t="s">
        <v>4</v>
      </c>
      <c r="C19" s="182">
        <v>0.45</v>
      </c>
    </row>
    <row r="20" spans="1:3" x14ac:dyDescent="0.25">
      <c r="A20" s="176">
        <v>2</v>
      </c>
      <c r="B20" s="177" t="s">
        <v>253</v>
      </c>
      <c r="C20" s="182">
        <v>0.2</v>
      </c>
    </row>
    <row r="21" spans="1:3" x14ac:dyDescent="0.25">
      <c r="A21" s="176">
        <v>3</v>
      </c>
      <c r="B21" s="177" t="s">
        <v>254</v>
      </c>
      <c r="C21" s="182">
        <v>0.15</v>
      </c>
    </row>
    <row r="22" spans="1:3" x14ac:dyDescent="0.25">
      <c r="A22" s="176">
        <v>4</v>
      </c>
      <c r="B22" s="177" t="s">
        <v>255</v>
      </c>
      <c r="C22" s="182">
        <v>0.15</v>
      </c>
    </row>
    <row r="23" spans="1:3" x14ac:dyDescent="0.25">
      <c r="A23" s="176">
        <v>5</v>
      </c>
      <c r="B23" s="177" t="s">
        <v>256</v>
      </c>
      <c r="C23" s="182">
        <v>0.05</v>
      </c>
    </row>
    <row r="24" spans="1:3" ht="15.75" customHeight="1" x14ac:dyDescent="0.25">
      <c r="A24" s="176"/>
      <c r="B24" s="177"/>
      <c r="C24" s="178"/>
    </row>
    <row r="25" spans="1:3" ht="29.25" customHeight="1" x14ac:dyDescent="0.25">
      <c r="A25" s="176"/>
      <c r="B25" s="422" t="s">
        <v>257</v>
      </c>
      <c r="C25" s="423"/>
    </row>
    <row r="26" spans="1:3" x14ac:dyDescent="0.25">
      <c r="A26" s="176">
        <v>1</v>
      </c>
      <c r="B26" s="177" t="s">
        <v>4</v>
      </c>
      <c r="C26" s="182">
        <v>0.45</v>
      </c>
    </row>
    <row r="27" spans="1:3" x14ac:dyDescent="0.25">
      <c r="A27" s="176">
        <v>2</v>
      </c>
      <c r="B27" s="177" t="s">
        <v>253</v>
      </c>
      <c r="C27" s="182">
        <v>0.2</v>
      </c>
    </row>
    <row r="28" spans="1:3" x14ac:dyDescent="0.25">
      <c r="A28" s="176">
        <v>3</v>
      </c>
      <c r="B28" s="177" t="s">
        <v>254</v>
      </c>
      <c r="C28" s="182">
        <v>0.15</v>
      </c>
    </row>
    <row r="29" spans="1:3" x14ac:dyDescent="0.25">
      <c r="A29" s="176">
        <v>4</v>
      </c>
      <c r="B29" s="177" t="s">
        <v>255</v>
      </c>
      <c r="C29" s="182">
        <v>0.15</v>
      </c>
    </row>
    <row r="30" spans="1:3" ht="16.5" thickBot="1" x14ac:dyDescent="0.35">
      <c r="A30" s="183"/>
      <c r="B30" s="184"/>
      <c r="C30" s="185"/>
    </row>
  </sheetData>
  <mergeCells count="5">
    <mergeCell ref="B5:C5"/>
    <mergeCell ref="B10:C10"/>
    <mergeCell ref="B11:C11"/>
    <mergeCell ref="B18:C18"/>
    <mergeCell ref="B25:C25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7"/>
  <sheetViews>
    <sheetView topLeftCell="A5" zoomScaleNormal="100" workbookViewId="0">
      <selection activeCell="C8" sqref="C8:G20"/>
    </sheetView>
  </sheetViews>
  <sheetFormatPr defaultRowHeight="15" x14ac:dyDescent="0.25"/>
  <cols>
    <col min="1" max="1" width="9.5703125" style="21" bestFit="1" customWidth="1"/>
    <col min="2" max="2" width="47.5703125" style="21" customWidth="1"/>
    <col min="3" max="3" width="28" style="21" customWidth="1"/>
    <col min="4" max="4" width="22.42578125" style="21" customWidth="1"/>
    <col min="5" max="5" width="18.85546875" style="21" customWidth="1"/>
    <col min="6" max="6" width="25.42578125" style="21" customWidth="1"/>
    <col min="7" max="7" width="21.28515625" customWidth="1"/>
    <col min="8" max="8" width="14.140625" bestFit="1" customWidth="1"/>
    <col min="9" max="9" width="15.42578125" bestFit="1" customWidth="1"/>
    <col min="11" max="11" width="14.7109375" bestFit="1" customWidth="1"/>
    <col min="12" max="12" width="14.140625" bestFit="1" customWidth="1"/>
    <col min="13" max="13" width="14.7109375" bestFit="1" customWidth="1"/>
  </cols>
  <sheetData>
    <row r="1" spans="1:7" ht="15.75" x14ac:dyDescent="0.3">
      <c r="A1" s="22" t="s">
        <v>31</v>
      </c>
      <c r="B1" s="21" t="str">
        <f>'1. key ratios'!B1</f>
        <v>სს ტერაბანკი</v>
      </c>
    </row>
    <row r="2" spans="1:7" s="186" customFormat="1" ht="15.75" customHeight="1" x14ac:dyDescent="0.3">
      <c r="A2" s="186" t="s">
        <v>33</v>
      </c>
      <c r="B2" s="69">
        <f>'1. key ratios'!B2</f>
        <v>43008</v>
      </c>
    </row>
    <row r="3" spans="1:7" s="186" customFormat="1" ht="15.75" customHeight="1" x14ac:dyDescent="0.3"/>
    <row r="4" spans="1:7" s="186" customFormat="1" ht="15.75" customHeight="1" thickBot="1" x14ac:dyDescent="0.35">
      <c r="A4" s="186" t="s">
        <v>258</v>
      </c>
      <c r="B4" s="187" t="s">
        <v>18</v>
      </c>
      <c r="C4" s="188"/>
      <c r="D4" s="188"/>
      <c r="E4" s="188"/>
      <c r="F4" s="188"/>
      <c r="G4" s="189" t="s">
        <v>74</v>
      </c>
    </row>
    <row r="5" spans="1:7" s="194" customFormat="1" ht="17.45" customHeight="1" x14ac:dyDescent="0.25">
      <c r="A5" s="190"/>
      <c r="B5" s="191"/>
      <c r="C5" s="192" t="s">
        <v>259</v>
      </c>
      <c r="D5" s="192" t="s">
        <v>260</v>
      </c>
      <c r="E5" s="192" t="s">
        <v>261</v>
      </c>
      <c r="F5" s="192" t="s">
        <v>262</v>
      </c>
      <c r="G5" s="193" t="s">
        <v>263</v>
      </c>
    </row>
    <row r="6" spans="1:7" s="196" customFormat="1" ht="14.45" customHeight="1" x14ac:dyDescent="0.25">
      <c r="A6" s="195"/>
      <c r="B6" s="424" t="s">
        <v>264</v>
      </c>
      <c r="C6" s="424" t="s">
        <v>265</v>
      </c>
      <c r="D6" s="425" t="s">
        <v>266</v>
      </c>
      <c r="E6" s="426"/>
      <c r="F6" s="426"/>
      <c r="G6" s="427" t="s">
        <v>267</v>
      </c>
    </row>
    <row r="7" spans="1:7" s="196" customFormat="1" ht="99.6" customHeight="1" x14ac:dyDescent="0.25">
      <c r="A7" s="195"/>
      <c r="B7" s="424"/>
      <c r="C7" s="424"/>
      <c r="D7" s="197" t="s">
        <v>268</v>
      </c>
      <c r="E7" s="197" t="s">
        <v>269</v>
      </c>
      <c r="F7" s="198" t="s">
        <v>270</v>
      </c>
      <c r="G7" s="428"/>
    </row>
    <row r="8" spans="1:7" x14ac:dyDescent="0.25">
      <c r="A8" s="195"/>
      <c r="B8" s="199" t="s">
        <v>81</v>
      </c>
      <c r="C8" s="200">
        <f>'2. RC'!E7</f>
        <v>42174380.890000001</v>
      </c>
      <c r="D8" s="200"/>
      <c r="E8" s="200">
        <f>C8-D8</f>
        <v>42174380.890000001</v>
      </c>
      <c r="F8" s="200">
        <v>12227.68</v>
      </c>
      <c r="G8" s="201">
        <f>E8+F8</f>
        <v>42186608.57</v>
      </c>
    </row>
    <row r="9" spans="1:7" x14ac:dyDescent="0.25">
      <c r="A9" s="195"/>
      <c r="B9" s="199" t="s">
        <v>82</v>
      </c>
      <c r="C9" s="200">
        <f>'2. RC'!E8</f>
        <v>92041895.809999987</v>
      </c>
      <c r="D9" s="200"/>
      <c r="E9" s="200">
        <f t="shared" ref="E9:E20" si="0">C9-D9</f>
        <v>92041895.809999987</v>
      </c>
      <c r="F9" s="200">
        <v>0</v>
      </c>
      <c r="G9" s="201">
        <f>F9+E9</f>
        <v>92041895.809999987</v>
      </c>
    </row>
    <row r="10" spans="1:7" x14ac:dyDescent="0.25">
      <c r="A10" s="195"/>
      <c r="B10" s="199" t="s">
        <v>271</v>
      </c>
      <c r="C10" s="200">
        <f>'2. RC'!E9</f>
        <v>21631275.040000003</v>
      </c>
      <c r="D10" s="200"/>
      <c r="E10" s="200">
        <f t="shared" si="0"/>
        <v>21631275.040000003</v>
      </c>
      <c r="F10" s="200">
        <v>0</v>
      </c>
      <c r="G10" s="201">
        <f t="shared" ref="G10:G20" si="1">E10+F10</f>
        <v>21631275.040000003</v>
      </c>
    </row>
    <row r="11" spans="1:7" ht="25.5" x14ac:dyDescent="0.25">
      <c r="A11" s="195"/>
      <c r="B11" s="199" t="s">
        <v>84</v>
      </c>
      <c r="C11" s="200">
        <f>'2. RC'!E10</f>
        <v>0</v>
      </c>
      <c r="D11" s="200"/>
      <c r="E11" s="200">
        <f t="shared" si="0"/>
        <v>0</v>
      </c>
      <c r="F11" s="200">
        <v>0</v>
      </c>
      <c r="G11" s="201">
        <f t="shared" si="1"/>
        <v>0</v>
      </c>
    </row>
    <row r="12" spans="1:7" x14ac:dyDescent="0.25">
      <c r="A12" s="195"/>
      <c r="B12" s="199" t="s">
        <v>85</v>
      </c>
      <c r="C12" s="200">
        <f>'2. RC'!E11</f>
        <v>45131199.82</v>
      </c>
      <c r="D12" s="200"/>
      <c r="E12" s="200">
        <f t="shared" si="0"/>
        <v>45131199.82</v>
      </c>
      <c r="F12" s="200">
        <v>0</v>
      </c>
      <c r="G12" s="201">
        <f t="shared" si="1"/>
        <v>45131199.82</v>
      </c>
    </row>
    <row r="13" spans="1:7" x14ac:dyDescent="0.25">
      <c r="A13" s="195"/>
      <c r="B13" s="199" t="s">
        <v>86</v>
      </c>
      <c r="C13" s="200">
        <f>'2. RC'!E12</f>
        <v>516846072.05000043</v>
      </c>
      <c r="D13" s="200"/>
      <c r="E13" s="200">
        <f t="shared" si="0"/>
        <v>516846072.05000043</v>
      </c>
      <c r="F13" s="200">
        <v>305900198.87</v>
      </c>
      <c r="G13" s="201">
        <f t="shared" si="1"/>
        <v>822746270.92000043</v>
      </c>
    </row>
    <row r="14" spans="1:7" x14ac:dyDescent="0.25">
      <c r="A14" s="195"/>
      <c r="B14" s="202" t="s">
        <v>87</v>
      </c>
      <c r="C14" s="203">
        <f>'2. RC'!E13</f>
        <v>-40549548.940000303</v>
      </c>
      <c r="D14" s="203"/>
      <c r="E14" s="203">
        <f t="shared" si="0"/>
        <v>-40549548.940000303</v>
      </c>
      <c r="F14" s="203">
        <v>-23739361.329999685</v>
      </c>
      <c r="G14" s="204">
        <f t="shared" si="1"/>
        <v>-64288910.269999988</v>
      </c>
    </row>
    <row r="15" spans="1:7" x14ac:dyDescent="0.25">
      <c r="A15" s="195"/>
      <c r="B15" s="199" t="s">
        <v>272</v>
      </c>
      <c r="C15" s="200">
        <f>'2. RC'!E14</f>
        <v>476296523.11000013</v>
      </c>
      <c r="D15" s="200"/>
      <c r="E15" s="200">
        <f t="shared" si="0"/>
        <v>476296523.11000013</v>
      </c>
      <c r="F15" s="200">
        <f>F13+F14</f>
        <v>282160837.54000032</v>
      </c>
      <c r="G15" s="201">
        <f t="shared" si="1"/>
        <v>758457360.65000045</v>
      </c>
    </row>
    <row r="16" spans="1:7" ht="25.5" x14ac:dyDescent="0.25">
      <c r="A16" s="195"/>
      <c r="B16" s="199" t="s">
        <v>89</v>
      </c>
      <c r="C16" s="200">
        <f>'2. RC'!E15</f>
        <v>4719268.41</v>
      </c>
      <c r="D16" s="200"/>
      <c r="E16" s="200">
        <f t="shared" si="0"/>
        <v>4719268.41</v>
      </c>
      <c r="F16" s="200">
        <v>2340875.67</v>
      </c>
      <c r="G16" s="201">
        <f t="shared" si="1"/>
        <v>7060144.0800000001</v>
      </c>
    </row>
    <row r="17" spans="1:7" x14ac:dyDescent="0.25">
      <c r="A17" s="195"/>
      <c r="B17" s="199" t="s">
        <v>90</v>
      </c>
      <c r="C17" s="200">
        <f>'2. RC'!E16</f>
        <v>10287806.91</v>
      </c>
      <c r="D17" s="200"/>
      <c r="E17" s="200">
        <f t="shared" si="0"/>
        <v>10287806.91</v>
      </c>
      <c r="F17" s="200">
        <v>0</v>
      </c>
      <c r="G17" s="201">
        <f t="shared" si="1"/>
        <v>10287806.91</v>
      </c>
    </row>
    <row r="18" spans="1:7" x14ac:dyDescent="0.25">
      <c r="A18" s="195"/>
      <c r="B18" s="199" t="s">
        <v>91</v>
      </c>
      <c r="C18" s="200">
        <f>'2. RC'!E17</f>
        <v>0</v>
      </c>
      <c r="D18" s="200"/>
      <c r="E18" s="200">
        <f t="shared" si="0"/>
        <v>0</v>
      </c>
      <c r="F18" s="200"/>
      <c r="G18" s="201">
        <f t="shared" si="1"/>
        <v>0</v>
      </c>
    </row>
    <row r="19" spans="1:7" ht="25.5" x14ac:dyDescent="0.25">
      <c r="A19" s="195"/>
      <c r="B19" s="199" t="s">
        <v>92</v>
      </c>
      <c r="C19" s="200">
        <f>'2. RC'!E18</f>
        <v>45493407.189999998</v>
      </c>
      <c r="D19" s="200">
        <f>'9. Capital'!C15</f>
        <v>28920509</v>
      </c>
      <c r="E19" s="200">
        <f t="shared" si="0"/>
        <v>16572898.189999998</v>
      </c>
      <c r="F19" s="200">
        <v>0</v>
      </c>
      <c r="G19" s="201">
        <f t="shared" si="1"/>
        <v>16572898.189999998</v>
      </c>
    </row>
    <row r="20" spans="1:7" x14ac:dyDescent="0.25">
      <c r="A20" s="195"/>
      <c r="B20" s="199" t="s">
        <v>93</v>
      </c>
      <c r="C20" s="200">
        <f>'2. RC'!E19</f>
        <v>3721363.0400000047</v>
      </c>
      <c r="D20" s="200"/>
      <c r="E20" s="200">
        <f t="shared" si="0"/>
        <v>3721363.0400000047</v>
      </c>
      <c r="F20" s="200">
        <v>574105.09999999404</v>
      </c>
      <c r="G20" s="201">
        <f t="shared" si="1"/>
        <v>4295468.1399999987</v>
      </c>
    </row>
    <row r="21" spans="1:7" ht="51.75" thickBot="1" x14ac:dyDescent="0.3">
      <c r="A21" s="205"/>
      <c r="B21" s="206" t="s">
        <v>273</v>
      </c>
      <c r="C21" s="207">
        <f>SUM(C8:C12)+SUM(C15:C20)</f>
        <v>741497120.22000015</v>
      </c>
      <c r="D21" s="207">
        <f>SUM(D8:D12)+SUM(D15:D20)</f>
        <v>28920509</v>
      </c>
      <c r="E21" s="207">
        <f>SUM(E8:E12)+SUM(E15:E20)</f>
        <v>712576611.22000015</v>
      </c>
      <c r="F21" s="207">
        <f>SUM(F8:F12)+SUM(F15:F20)</f>
        <v>285088045.99000031</v>
      </c>
      <c r="G21" s="208">
        <f>SUM(G8:G12)+SUM(G15:G20)</f>
        <v>997664657.2100004</v>
      </c>
    </row>
    <row r="22" spans="1:7" s="21" customFormat="1" x14ac:dyDescent="0.25">
      <c r="B22" s="209"/>
      <c r="G22"/>
    </row>
    <row r="23" spans="1:7" s="21" customFormat="1" x14ac:dyDescent="0.25">
      <c r="B23" s="209"/>
      <c r="G23"/>
    </row>
    <row r="24" spans="1:7" s="21" customFormat="1" x14ac:dyDescent="0.25">
      <c r="B24" s="209"/>
      <c r="G24"/>
    </row>
    <row r="25" spans="1:7" s="21" customFormat="1" x14ac:dyDescent="0.25">
      <c r="B25" s="209"/>
      <c r="G25"/>
    </row>
    <row r="26" spans="1:7" s="21" customFormat="1" x14ac:dyDescent="0.25">
      <c r="B26" s="209"/>
      <c r="G26"/>
    </row>
    <row r="27" spans="1:7" s="21" customFormat="1" x14ac:dyDescent="0.25">
      <c r="B27" s="209"/>
      <c r="G2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scale="50" orientation="portrait" horizontalDpi="4294967295" verticalDpi="4294967295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7"/>
  <sheetViews>
    <sheetView zoomScaleNormal="10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C9" sqref="C9:C12"/>
    </sheetView>
  </sheetViews>
  <sheetFormatPr defaultRowHeight="15" outlineLevelRow="1" x14ac:dyDescent="0.25"/>
  <cols>
    <col min="1" max="1" width="9.5703125" style="21" bestFit="1" customWidth="1"/>
    <col min="2" max="2" width="114.28515625" style="21" customWidth="1"/>
    <col min="3" max="3" width="18.85546875" customWidth="1"/>
    <col min="4" max="4" width="24" customWidth="1"/>
    <col min="5" max="5" width="15.42578125" bestFit="1" customWidth="1"/>
    <col min="6" max="6" width="12" bestFit="1" customWidth="1"/>
    <col min="7" max="7" width="12.5703125" bestFit="1" customWidth="1"/>
  </cols>
  <sheetData>
    <row r="1" spans="1:7" ht="15.75" x14ac:dyDescent="0.3">
      <c r="A1" s="22" t="s">
        <v>31</v>
      </c>
      <c r="B1" s="21" t="str">
        <f>'1. key ratios'!B1</f>
        <v>სს ტერაბანკი</v>
      </c>
    </row>
    <row r="2" spans="1:7" s="186" customFormat="1" ht="15.75" customHeight="1" x14ac:dyDescent="0.3">
      <c r="A2" s="186" t="s">
        <v>33</v>
      </c>
      <c r="B2" s="69">
        <f>'1. key ratios'!B2</f>
        <v>43008</v>
      </c>
      <c r="C2"/>
      <c r="D2"/>
    </row>
    <row r="3" spans="1:7" s="186" customFormat="1" ht="15.75" customHeight="1" x14ac:dyDescent="0.3">
      <c r="C3"/>
      <c r="D3"/>
    </row>
    <row r="4" spans="1:7" s="186" customFormat="1" ht="26.25" thickBot="1" x14ac:dyDescent="0.35">
      <c r="A4" s="186" t="s">
        <v>274</v>
      </c>
      <c r="B4" s="210" t="s">
        <v>19</v>
      </c>
      <c r="C4" s="189" t="s">
        <v>74</v>
      </c>
      <c r="D4"/>
    </row>
    <row r="5" spans="1:7" ht="26.25" x14ac:dyDescent="0.25">
      <c r="A5" s="211">
        <v>1</v>
      </c>
      <c r="B5" s="212" t="s">
        <v>267</v>
      </c>
      <c r="C5" s="213">
        <f>'7. LI1'!G21</f>
        <v>997664657.2100004</v>
      </c>
    </row>
    <row r="6" spans="1:7" s="15" customFormat="1" x14ac:dyDescent="0.25">
      <c r="A6" s="214">
        <v>2.1</v>
      </c>
      <c r="B6" s="215" t="s">
        <v>275</v>
      </c>
      <c r="C6" s="216">
        <v>54546489.279999994</v>
      </c>
    </row>
    <row r="7" spans="1:7" s="220" customFormat="1" ht="25.5" outlineLevel="1" x14ac:dyDescent="0.25">
      <c r="A7" s="217">
        <v>2.2000000000000002</v>
      </c>
      <c r="B7" s="218" t="s">
        <v>276</v>
      </c>
      <c r="C7" s="219">
        <v>17693544.800000001</v>
      </c>
    </row>
    <row r="8" spans="1:7" s="220" customFormat="1" ht="26.25" x14ac:dyDescent="0.25">
      <c r="A8" s="217">
        <v>3</v>
      </c>
      <c r="B8" s="221" t="s">
        <v>277</v>
      </c>
      <c r="C8" s="222">
        <f>SUM(C5:C7)</f>
        <v>1069904691.2900003</v>
      </c>
    </row>
    <row r="9" spans="1:7" s="15" customFormat="1" x14ac:dyDescent="0.25">
      <c r="A9" s="214">
        <v>4</v>
      </c>
      <c r="B9" s="223" t="s">
        <v>278</v>
      </c>
      <c r="C9" s="219">
        <v>13308761.040000062</v>
      </c>
    </row>
    <row r="10" spans="1:7" s="220" customFormat="1" ht="25.5" outlineLevel="1" x14ac:dyDescent="0.25">
      <c r="A10" s="217">
        <v>5.0999999999999996</v>
      </c>
      <c r="B10" s="218" t="s">
        <v>279</v>
      </c>
      <c r="C10" s="224">
        <v>-26426448.483999997</v>
      </c>
    </row>
    <row r="11" spans="1:7" s="220" customFormat="1" ht="25.5" outlineLevel="1" x14ac:dyDescent="0.25">
      <c r="A11" s="217">
        <v>5.2</v>
      </c>
      <c r="B11" s="218" t="s">
        <v>280</v>
      </c>
      <c r="C11" s="224">
        <f>-(C7-'15. CCR'!N21)</f>
        <v>-17339673.903999999</v>
      </c>
    </row>
    <row r="12" spans="1:7" s="220" customFormat="1" x14ac:dyDescent="0.25">
      <c r="A12" s="217">
        <v>6</v>
      </c>
      <c r="B12" s="225" t="s">
        <v>281</v>
      </c>
      <c r="C12" s="224">
        <v>-24152482.933300018</v>
      </c>
    </row>
    <row r="13" spans="1:7" s="220" customFormat="1" ht="15.75" thickBot="1" x14ac:dyDescent="0.3">
      <c r="A13" s="226">
        <v>7</v>
      </c>
      <c r="B13" s="227" t="s">
        <v>282</v>
      </c>
      <c r="C13" s="228">
        <f>SUM(C8:C12)</f>
        <v>1015294847.0087004</v>
      </c>
    </row>
    <row r="14" spans="1:7" x14ac:dyDescent="0.25">
      <c r="C14" s="229"/>
    </row>
    <row r="15" spans="1:7" s="21" customFormat="1" x14ac:dyDescent="0.25">
      <c r="B15" s="230"/>
      <c r="C15"/>
      <c r="D15"/>
      <c r="E15"/>
      <c r="F15"/>
      <c r="G15"/>
    </row>
    <row r="16" spans="1:7" s="21" customFormat="1" x14ac:dyDescent="0.25">
      <c r="B16" s="209"/>
      <c r="C16"/>
      <c r="D16"/>
      <c r="E16"/>
      <c r="F16"/>
      <c r="G16"/>
    </row>
    <row r="17" spans="2:7" s="21" customFormat="1" x14ac:dyDescent="0.25">
      <c r="B17" s="230"/>
      <c r="C17" s="231"/>
      <c r="D17"/>
      <c r="E17"/>
      <c r="F17"/>
      <c r="G17"/>
    </row>
    <row r="18" spans="2:7" s="21" customFormat="1" x14ac:dyDescent="0.25">
      <c r="B18" s="230"/>
      <c r="C18"/>
      <c r="D18"/>
      <c r="E18"/>
      <c r="F18"/>
      <c r="G18"/>
    </row>
    <row r="19" spans="2:7" s="21" customFormat="1" x14ac:dyDescent="0.25">
      <c r="B19" s="230"/>
      <c r="C19"/>
      <c r="D19"/>
      <c r="E19"/>
      <c r="F19"/>
      <c r="G19"/>
    </row>
    <row r="20" spans="2:7" s="21" customFormat="1" x14ac:dyDescent="0.25">
      <c r="B20" s="230"/>
      <c r="C20"/>
      <c r="D20"/>
      <c r="E20"/>
      <c r="F20"/>
      <c r="G20"/>
    </row>
    <row r="21" spans="2:7" s="21" customFormat="1" x14ac:dyDescent="0.25">
      <c r="B21" s="230"/>
      <c r="C21"/>
      <c r="D21"/>
      <c r="E21"/>
      <c r="F21"/>
      <c r="G21"/>
    </row>
    <row r="22" spans="2:7" s="21" customFormat="1" x14ac:dyDescent="0.25">
      <c r="B22" s="209"/>
      <c r="C22"/>
      <c r="D22"/>
      <c r="E22"/>
      <c r="F22"/>
      <c r="G22"/>
    </row>
    <row r="23" spans="2:7" s="21" customFormat="1" x14ac:dyDescent="0.25">
      <c r="B23" s="209"/>
      <c r="C23"/>
      <c r="D23"/>
      <c r="E23"/>
      <c r="F23"/>
      <c r="G23"/>
    </row>
    <row r="24" spans="2:7" s="21" customFormat="1" x14ac:dyDescent="0.25">
      <c r="B24" s="209"/>
      <c r="C24"/>
      <c r="D24"/>
      <c r="E24"/>
      <c r="F24"/>
      <c r="G24"/>
    </row>
    <row r="25" spans="2:7" s="21" customFormat="1" x14ac:dyDescent="0.25">
      <c r="B25" s="209"/>
      <c r="C25"/>
      <c r="D25"/>
      <c r="E25"/>
      <c r="F25"/>
      <c r="G25"/>
    </row>
    <row r="26" spans="2:7" s="21" customFormat="1" x14ac:dyDescent="0.25">
      <c r="B26" s="209"/>
      <c r="C26"/>
      <c r="D26"/>
      <c r="E26"/>
      <c r="F26"/>
      <c r="G26"/>
    </row>
    <row r="27" spans="2:7" s="21" customFormat="1" x14ac:dyDescent="0.25">
      <c r="B27" s="209"/>
      <c r="C27"/>
      <c r="D27"/>
      <c r="E27"/>
      <c r="F27"/>
      <c r="G27"/>
    </row>
  </sheetData>
  <pageMargins left="0.7" right="0.7" top="0.75" bottom="0.75" header="0.3" footer="0.3"/>
  <pageSetup paperSize="9" scale="61" orientation="portrait" horizontalDpi="4294967295" verticalDpi="4294967295" r:id="rId1"/>
  <colBreaks count="1" manualBreakCount="1">
    <brk id="3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7joS02q0RbzsT1xpw8B47oQWKhsHDJ6hwETySA4darU=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yffYOhQl8WJ1pk4Bbt9Irbtzq3eNKz+wUYLPCNM6S00=</DigestValue>
    </Reference>
  </SignedInfo>
  <SignatureValue>uQS0BdrUKGwGgtILnDZQKyoXxuOm1zfunwr4lzxVzXLz2LFNq/3tK2iHdWVbcidBywPXqmfZXjjF
dkGaNAktAr/wZr49UemtWKm04FVcQ08esKR5TXY06dzf8hunT/wlDqibw9h5fs28gaGDHC4subDk
355094YKXmJzfaWo/oh+BrG5uBh8utgBOgvCsCrNoKgiEHa/uaDqOM/AUjODRcyoKKwV0rHcGOi7
BnRhVj3Ae6W/7aRnUi0ZOGkNwa8MYY8/AZVu8F6DptMWzScDNtL7tAPKFvY/O3Lw4w1zz0YTN7wh
X2OgIFgbNu4aS5dlIG2UHcw2XVR8Zp/XBkcvFQ==</SignatureValue>
  <KeyInfo>
    <X509Data>
      <X509Certificate>MIIGNzCCBR+gAwIBAgIKFOwd1gACAAAdDjANBgkqhkiG9w0BAQsFADBKMRIwEAYKCZImiZPyLGQBGRYCZ2UxEzARBgoJkiaJk/IsZAEZFgNuYmcxHzAdBgNVBAMTFk5CRyBDbGFzcyAyIElOVCBTdWIgQ0EwHhcNMTcwMjIwMDkxMDM1WhcNMTkwMjIwMDkxMDM1WjA1MRUwEwYDVQQKEwxKU0MgVGVyYWJhbmsxHDAaBgNVBAMTE0JLUyAtIE5vZGFyIFRzb21haWEwggEiMA0GCSqGSIb3DQEBAQUAA4IBDwAwggEKAoIBAQDvANHy3vhXVAS42iWzUd87bspQP3C1ClIjyeaKqcwI+ce+9FmJy8VR5ooKTpFl0YA9LNkwPMPhAZdZkA0ptvnTwzo4w0RHfm4y6Zo7nmULHhI1A+szJtOl8lIQm5X2ooZWP9+E7yDOHIM666or4j0ZPCI+CrxSdXJ1pKvvnz59mYpRxyOWTam5lvmadHzfr7wf+bavG+wAn8wXQcPNbQqF9tKhMPg7IbyOLNZJckvyceirzObfapVLt/dvb8TGWNkVTzplHd3pP/HonrPEc75tNjc04aRLkIn2D235VGzhDowc+UgqrcE34Z2CJWo1tV4MzYDlvJt74+plDa7dXZhbAgMBAAGjggMyMIIDLjA8BgkrBgEEAYI3FQcELzAtBiUrBgEEAYI3FQjmsmCDjfVEhoGZCYO4oUqDvoRxBIPEkTOEg4hdAgFkAgEdMB0GA1UdJQQWMBQGCCsGAQUFBwMCBggrBgEFBQcDBDALBgNVHQ8EBAMCB4AwJwYJKwYBBAGCNxUKBBowGDAKBggrBgEFBQcDAjAKBggrBgEFBQcDBDAdBgNVHQ4EFgQU9bhi35keRA2n9WFrF+Gf69lviJM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if/NQOcFKqRp8OGmVsEUPx00KqMoTx71Mfq/8MsfPaf9Uo6cwDaVsmZnzvC/XalY8GQDRJVGQiheoflsT63N7Kjd4EtSb2TAQvKPWOB5LnjNlpa7zScncek1HKLPZ1NfRPzpS8Y1y8IETKotPvTMxUdTZIxbklTO2A6+8MVjAfLpG2myVFZnxQ5MRTVh66/UJ/h0eW6/2LAlwYIORnbQBfsiWzG4Zx9WJTtW/WjVfmyV/dDxirAm4SczG4niZzq3OYK+oJUwwAE3oFSNjKY6uYea7+uRb+kpvcQpXdTZ6qC6BEI5cWJlfrlyCeRgNg42pWEu3k1DK5UvVYvLIt9w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kZSJ1viR/i94opPqxm8XCqyutMGlV4Pfw19/pMBJ4IE=</DigestValue>
      </Reference>
      <Reference URI="/xl/comments1.xml?ContentType=application/vnd.openxmlformats-officedocument.spreadsheetml.comments+xml">
        <DigestMethod Algorithm="http://www.w3.org/2001/04/xmlenc#sha256"/>
        <DigestValue>G6dN/z2PfVg+eq3pV23rejD4JzrZTQcW85GqBw21Qbc=</DigestValue>
      </Reference>
      <Reference URI="/xl/drawings/drawing1.xml?ContentType=application/vnd.openxmlformats-officedocument.drawing+xml">
        <DigestMethod Algorithm="http://www.w3.org/2001/04/xmlenc#sha256"/>
        <DigestValue>kywbfkNn/06bMo3OSI7TLq1cZHgauKR3svsufboKoqc=</DigestValue>
      </Reference>
      <Reference URI="/xl/drawings/vmlDrawing1.vml?ContentType=application/vnd.openxmlformats-officedocument.vmlDrawing">
        <DigestMethod Algorithm="http://www.w3.org/2001/04/xmlenc#sha256"/>
        <DigestValue>79AxCn59+x40qYmI+chmYJ17LoLPThSWoWKvkWwhZjc=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+WUUVn/CYnhGTQhVfhxvlcJjuhfOpOv35g/NJrefr4A=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sharedStrings.xml?ContentType=application/vnd.openxmlformats-officedocument.spreadsheetml.sharedStrings+xml">
        <DigestMethod Algorithm="http://www.w3.org/2001/04/xmlenc#sha256"/>
        <DigestValue>ol+myepWsCafLNvscHk87F4MKQEhzz3NqqRY4Zs7FTc=</DigestValue>
      </Reference>
      <Reference URI="/xl/styles.xml?ContentType=application/vnd.openxmlformats-officedocument.spreadsheetml.styles+xml">
        <DigestMethod Algorithm="http://www.w3.org/2001/04/xmlenc#sha256"/>
        <DigestValue>odnTFi7KcusTeq3yKMvuLX2rDO0oy5bYPJFz1kS49fU=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StFwzB9b2NNXzWi1Dr2dIb8gx+gqZL63sf9dFzDzDrU=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UMq6ZC162hCOgmgSenumRi6bDbGEsfFKNfGR2Ga/qxk=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EFIaf4J/ENiU/OMca23HBASnLR3mSaIYd0NbqLDke3E=</DigestValue>
      </Reference>
      <Reference URI="/xl/worksheets/sheet10.xml?ContentType=application/vnd.openxmlformats-officedocument.spreadsheetml.worksheet+xml">
        <DigestMethod Algorithm="http://www.w3.org/2001/04/xmlenc#sha256"/>
        <DigestValue>pFiC/2BDzov2eycvWViJfSf2XlCp++8r1Zwb6lu6y6I=</DigestValue>
      </Reference>
      <Reference URI="/xl/worksheets/sheet11.xml?ContentType=application/vnd.openxmlformats-officedocument.spreadsheetml.worksheet+xml">
        <DigestMethod Algorithm="http://www.w3.org/2001/04/xmlenc#sha256"/>
        <DigestValue>oTXM7ypaalcdprdkNnr3EB4Y0XhrFcOiPze8fqUC9QU=</DigestValue>
      </Reference>
      <Reference URI="/xl/worksheets/sheet12.xml?ContentType=application/vnd.openxmlformats-officedocument.spreadsheetml.worksheet+xml">
        <DigestMethod Algorithm="http://www.w3.org/2001/04/xmlenc#sha256"/>
        <DigestValue>l/mfBX+Vraty41NtnKjtXGFETz3XWdJzZGbQJ1Ls+qI=</DigestValue>
      </Reference>
      <Reference URI="/xl/worksheets/sheet13.xml?ContentType=application/vnd.openxmlformats-officedocument.spreadsheetml.worksheet+xml">
        <DigestMethod Algorithm="http://www.w3.org/2001/04/xmlenc#sha256"/>
        <DigestValue>dDXNgGsbVHTRDbZizcOMU7zYI8nk7wMGvooOTf9AQuM=</DigestValue>
      </Reference>
      <Reference URI="/xl/worksheets/sheet14.xml?ContentType=application/vnd.openxmlformats-officedocument.spreadsheetml.worksheet+xml">
        <DigestMethod Algorithm="http://www.w3.org/2001/04/xmlenc#sha256"/>
        <DigestValue>a3T7KEMuhJPswnnJ184cacOaytcaImpCEqKlYkRwdYo=</DigestValue>
      </Reference>
      <Reference URI="/xl/worksheets/sheet15.xml?ContentType=application/vnd.openxmlformats-officedocument.spreadsheetml.worksheet+xml">
        <DigestMethod Algorithm="http://www.w3.org/2001/04/xmlenc#sha256"/>
        <DigestValue>i9FQVYqgpqzl1G6cLoa0xCwjZyXnbWR70tUnoJiWJXo=</DigestValue>
      </Reference>
      <Reference URI="/xl/worksheets/sheet16.xml?ContentType=application/vnd.openxmlformats-officedocument.spreadsheetml.worksheet+xml">
        <DigestMethod Algorithm="http://www.w3.org/2001/04/xmlenc#sha256"/>
        <DigestValue>7jYEaWr+JS75J4+H3VF/oCRALx3YRgsFpX6I2UZ6EtE=</DigestValue>
      </Reference>
      <Reference URI="/xl/worksheets/sheet2.xml?ContentType=application/vnd.openxmlformats-officedocument.spreadsheetml.worksheet+xml">
        <DigestMethod Algorithm="http://www.w3.org/2001/04/xmlenc#sha256"/>
        <DigestValue>bB67tBANU6lnQzcZe+Xkiy2MgTTTnqGiGge9d4Rjh/E=</DigestValue>
      </Reference>
      <Reference URI="/xl/worksheets/sheet3.xml?ContentType=application/vnd.openxmlformats-officedocument.spreadsheetml.worksheet+xml">
        <DigestMethod Algorithm="http://www.w3.org/2001/04/xmlenc#sha256"/>
        <DigestValue>A9BjB/bHROBWLGsW0Xp0hfpkvBOw5JhpyZTU8oD7wlI=</DigestValue>
      </Reference>
      <Reference URI="/xl/worksheets/sheet4.xml?ContentType=application/vnd.openxmlformats-officedocument.spreadsheetml.worksheet+xml">
        <DigestMethod Algorithm="http://www.w3.org/2001/04/xmlenc#sha256"/>
        <DigestValue>qglsYrdbV7jq2ZdjamaIA7aQhkJjIRU/47IGIqTM1FQ=</DigestValue>
      </Reference>
      <Reference URI="/xl/worksheets/sheet5.xml?ContentType=application/vnd.openxmlformats-officedocument.spreadsheetml.worksheet+xml">
        <DigestMethod Algorithm="http://www.w3.org/2001/04/xmlenc#sha256"/>
        <DigestValue>adPn/C/iq1nNQWqfjd2FN1kpQn2vhGrflXte7aHhzLI=</DigestValue>
      </Reference>
      <Reference URI="/xl/worksheets/sheet6.xml?ContentType=application/vnd.openxmlformats-officedocument.spreadsheetml.worksheet+xml">
        <DigestMethod Algorithm="http://www.w3.org/2001/04/xmlenc#sha256"/>
        <DigestValue>qVRGFu19fAvrglsHfj5K3IX2PWOAr+s+lgWkvW/r54g=</DigestValue>
      </Reference>
      <Reference URI="/xl/worksheets/sheet7.xml?ContentType=application/vnd.openxmlformats-officedocument.spreadsheetml.worksheet+xml">
        <DigestMethod Algorithm="http://www.w3.org/2001/04/xmlenc#sha256"/>
        <DigestValue>vzpoFLLrR+qUgDEMclx8EydUcy7p3PkIDvdmDA+csGI=</DigestValue>
      </Reference>
      <Reference URI="/xl/worksheets/sheet8.xml?ContentType=application/vnd.openxmlformats-officedocument.spreadsheetml.worksheet+xml">
        <DigestMethod Algorithm="http://www.w3.org/2001/04/xmlenc#sha256"/>
        <DigestValue>WXEnSYnR7Is1N5K/hALpGTDD1leMNLjojwedPCHTLGw=</DigestValue>
      </Reference>
      <Reference URI="/xl/worksheets/sheet9.xml?ContentType=application/vnd.openxmlformats-officedocument.spreadsheetml.worksheet+xml">
        <DigestMethod Algorithm="http://www.w3.org/2001/04/xmlenc#sha256"/>
        <DigestValue>RlidY4Fxx703TwhX4L4OSfmS5oWvV9tdZEe1XOBfS3U=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2017-10-23T16:36:26Z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2017-10-23T16:36:26Z</xd:SigningTime>
          <xd:SigningCertificate>
            <xd:Cert>
              <xd:CertDigest>
                <DigestMethod Algorithm="http://www.w3.org/2001/04/xmlenc#sha256"/>
                <DigestValue>vOshF+mNDaRtODaBAUCQVJ6GEfeSXtXARMM3ee/XoNc=</DigestValue>
              </xd:CertDigest>
              <xd:IssuerSerial>
                <X509IssuerName>CN=NBG Class 2 INT Sub CA, DC=nbg, DC=ge</X509IssuerName>
                <X509SerialNumber>98802911164669064387854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jdRBjs0Maccbj20BGrBoFB5BIxR11rZHP6PNd+Tiqkk=</DigestValue>
    </Reference>
    <Reference Type="http://www.w3.org/2000/09/xmldsig#Object" URI="#idOfficeObject">
      <DigestMethod Algorithm="http://www.w3.org/2001/04/xmlenc#sha256"/>
      <DigestValue>mxA8WTpUHgzd4HsNSmwElz/W4+v7IXB4Ics2ZP+sp98=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uV/cJGCkUSt9h52tgnqKTaLM7OeVmqbWC49hlf445Xs=</DigestValue>
    </Reference>
  </SignedInfo>
  <SignatureValue>uHRiv81NbguYK4YcmticLY8YvfYCNQKHIuSZNyEj6+H2tuPvVlX2pSwMwIlUWc6D/IdScIh+1AJ7
whaOugjtIOvgXsHycE2/iIqGQJiJH1Ect9yuBViyaNgLTIwtUHdu508iop4CctpMe7YmqN50suAW
5W1SpmDAL1a9a+YJZmIpb+8N5qOmmGmF/hLQ4Crv2oq4LIh/repFBTCX1j168L1rSwYBPFvCa6Ky
cdwd/tCxSodt98301xDxu1rUnWkq8SDkMHmh/GL4b5B44VmLHV7rsB7x28noTSwYIERf30LjLpVu
UVkqc/z+k3AokM1h71rgjFAfhQite4jQPNN30w==</SignatureValue>
  <KeyInfo>
    <X509Data>
      <X509Certificate>MIIGNzCCBR+gAwIBAgIKFOrxTAACAAAdDTANBgkqhkiG9w0BAQsFADBKMRIwEAYKCZImiZPyLGQBGRYCZ2UxEzARBgoJkiaJk/IsZAEZFgNuYmcxHzAdBgNVBAMTFk5CRyBDbGFzcyAyIElOVCBTdWIgQ0EwHhcNMTcwMjIwMDkwOTE4WhcNMTkwMjIwMDkwOTE4WjA1MRUwEwYDVQQKEwxKU0MgVGVyYWJhbmsxHDAaBgNVBAMTE0JLUyAtIFNvcGhpZSBKdWdlbGkwggEiMA0GCSqGSIb3DQEBAQUAA4IBDwAwggEKAoIBAQDrruSc+xlnlZgsoy5/eWuF5qtikjhkYMlDazt+E8Ky3S+1bjUdvQYDMHSvp66ioaAXPjoNAllesaOPdelaiIeN0w8hixYELkOEn7KuYphxdoO3zSpRbHQOgk8jdGBWKuqzqcfkNYCkE1N14hjE0b7Yl6moAPThSXRwMQYMrJMvOqRfUY7HUGOWJED5W8/xVy65uQ7EnhD9bYufx9CG/cmd+vqfVDRPtsdr0LMpa9xXcVBRjtDyChTvCqASOMRVwFoWaxDoWmWr6o9vthHjKENbBAEy8saePBvRKyIbyF8vT8x3tquUA2mr/DDgAHuwUu5XQqvDieKyKbNzfMSPXD89AgMBAAGjggMyMIIDLjA8BgkrBgEEAYI3FQcELzAtBiUrBgEEAYI3FQjmsmCDjfVEhoGZCYO4oUqDvoRxBIPEkTOEg4hdAgFkAgEdMB0GA1UdJQQWMBQGCCsGAQUFBwMCBggrBgEFBQcDBDALBgNVHQ8EBAMCB4AwJwYJKwYBBAGCNxUKBBowGDAKBggrBgEFBQcDAjAKBggrBgEFBQcDBDAdBgNVHQ4EFgQUIAMauxzp9iaJHOv5jwm9Ta7Q6G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4IKL6f7CEXxMDdsRDDRtKbfmEtYtjAVpVowTr/OoUKuLFE+DHVUxTcu3Z+7u/Ln1epifas0l/674oPjwHvSnqb/eJw7LM1Thh6pnCZRmTOVR69K6PFDAlhCYl9N5WoJQw5hHpqVCihG8EHE3isoh1PUWy2mqEkSXtOcars3iF2BWKRfPPtLUiZoYnuXnN8cfdaqYORlx//MkKXq0jjT1e22i0cgotGBcgHeJdohmdb1JTL/VfSkJU7xeYKKYlG13ZkY2cGFtNhulnsugOJhQ0yuxBUlpEUPJ1QVaGvH5n6ruZJkkIF/ESIYg9dQWtLmIOoPfHrN9pnZtO8fTcfD0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kZSJ1viR/i94opPqxm8XCqyutMGlV4Pfw19/pMBJ4IE=</DigestValue>
      </Reference>
      <Reference URI="/xl/comments1.xml?ContentType=application/vnd.openxmlformats-officedocument.spreadsheetml.comments+xml">
        <DigestMethod Algorithm="http://www.w3.org/2001/04/xmlenc#sha256"/>
        <DigestValue>G6dN/z2PfVg+eq3pV23rejD4JzrZTQcW85GqBw21Qbc=</DigestValue>
      </Reference>
      <Reference URI="/xl/drawings/drawing1.xml?ContentType=application/vnd.openxmlformats-officedocument.drawing+xml">
        <DigestMethod Algorithm="http://www.w3.org/2001/04/xmlenc#sha256"/>
        <DigestValue>kywbfkNn/06bMo3OSI7TLq1cZHgauKR3svsufboKoqc=</DigestValue>
      </Reference>
      <Reference URI="/xl/drawings/vmlDrawing1.vml?ContentType=application/vnd.openxmlformats-officedocument.vmlDrawing">
        <DigestMethod Algorithm="http://www.w3.org/2001/04/xmlenc#sha256"/>
        <DigestValue>79AxCn59+x40qYmI+chmYJ17LoLPThSWoWKvkWwhZjc=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+WUUVn/CYnhGTQhVfhxvlcJjuhfOpOv35g/NJrefr4A=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dlOuQkz2OSyDd6kjVnt32pILRHh6Aegh/ckeH2a880Y=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/6lmUqkS9RN9NnrbWczJJs8S3x/DpqyCNJdeA4UG3R4=</DigestValue>
      </Reference>
      <Reference URI="/xl/sharedStrings.xml?ContentType=application/vnd.openxmlformats-officedocument.spreadsheetml.sharedStrings+xml">
        <DigestMethod Algorithm="http://www.w3.org/2001/04/xmlenc#sha256"/>
        <DigestValue>ol+myepWsCafLNvscHk87F4MKQEhzz3NqqRY4Zs7FTc=</DigestValue>
      </Reference>
      <Reference URI="/xl/styles.xml?ContentType=application/vnd.openxmlformats-officedocument.spreadsheetml.styles+xml">
        <DigestMethod Algorithm="http://www.w3.org/2001/04/xmlenc#sha256"/>
        <DigestValue>odnTFi7KcusTeq3yKMvuLX2rDO0oy5bYPJFz1kS49fU=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StFwzB9b2NNXzWi1Dr2dIb8gx+gqZL63sf9dFzDzDrU=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UMq6ZC162hCOgmgSenumRi6bDbGEsfFKNfGR2Ga/qxk=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EFIaf4J/ENiU/OMca23HBASnLR3mSaIYd0NbqLDke3E=</DigestValue>
      </Reference>
      <Reference URI="/xl/worksheets/sheet10.xml?ContentType=application/vnd.openxmlformats-officedocument.spreadsheetml.worksheet+xml">
        <DigestMethod Algorithm="http://www.w3.org/2001/04/xmlenc#sha256"/>
        <DigestValue>pFiC/2BDzov2eycvWViJfSf2XlCp++8r1Zwb6lu6y6I=</DigestValue>
      </Reference>
      <Reference URI="/xl/worksheets/sheet11.xml?ContentType=application/vnd.openxmlformats-officedocument.spreadsheetml.worksheet+xml">
        <DigestMethod Algorithm="http://www.w3.org/2001/04/xmlenc#sha256"/>
        <DigestValue>oTXM7ypaalcdprdkNnr3EB4Y0XhrFcOiPze8fqUC9QU=</DigestValue>
      </Reference>
      <Reference URI="/xl/worksheets/sheet12.xml?ContentType=application/vnd.openxmlformats-officedocument.spreadsheetml.worksheet+xml">
        <DigestMethod Algorithm="http://www.w3.org/2001/04/xmlenc#sha256"/>
        <DigestValue>l/mfBX+Vraty41NtnKjtXGFETz3XWdJzZGbQJ1Ls+qI=</DigestValue>
      </Reference>
      <Reference URI="/xl/worksheets/sheet13.xml?ContentType=application/vnd.openxmlformats-officedocument.spreadsheetml.worksheet+xml">
        <DigestMethod Algorithm="http://www.w3.org/2001/04/xmlenc#sha256"/>
        <DigestValue>dDXNgGsbVHTRDbZizcOMU7zYI8nk7wMGvooOTf9AQuM=</DigestValue>
      </Reference>
      <Reference URI="/xl/worksheets/sheet14.xml?ContentType=application/vnd.openxmlformats-officedocument.spreadsheetml.worksheet+xml">
        <DigestMethod Algorithm="http://www.w3.org/2001/04/xmlenc#sha256"/>
        <DigestValue>a3T7KEMuhJPswnnJ184cacOaytcaImpCEqKlYkRwdYo=</DigestValue>
      </Reference>
      <Reference URI="/xl/worksheets/sheet15.xml?ContentType=application/vnd.openxmlformats-officedocument.spreadsheetml.worksheet+xml">
        <DigestMethod Algorithm="http://www.w3.org/2001/04/xmlenc#sha256"/>
        <DigestValue>i9FQVYqgpqzl1G6cLoa0xCwjZyXnbWR70tUnoJiWJXo=</DigestValue>
      </Reference>
      <Reference URI="/xl/worksheets/sheet16.xml?ContentType=application/vnd.openxmlformats-officedocument.spreadsheetml.worksheet+xml">
        <DigestMethod Algorithm="http://www.w3.org/2001/04/xmlenc#sha256"/>
        <DigestValue>7jYEaWr+JS75J4+H3VF/oCRALx3YRgsFpX6I2UZ6EtE=</DigestValue>
      </Reference>
      <Reference URI="/xl/worksheets/sheet2.xml?ContentType=application/vnd.openxmlformats-officedocument.spreadsheetml.worksheet+xml">
        <DigestMethod Algorithm="http://www.w3.org/2001/04/xmlenc#sha256"/>
        <DigestValue>bB67tBANU6lnQzcZe+Xkiy2MgTTTnqGiGge9d4Rjh/E=</DigestValue>
      </Reference>
      <Reference URI="/xl/worksheets/sheet3.xml?ContentType=application/vnd.openxmlformats-officedocument.spreadsheetml.worksheet+xml">
        <DigestMethod Algorithm="http://www.w3.org/2001/04/xmlenc#sha256"/>
        <DigestValue>A9BjB/bHROBWLGsW0Xp0hfpkvBOw5JhpyZTU8oD7wlI=</DigestValue>
      </Reference>
      <Reference URI="/xl/worksheets/sheet4.xml?ContentType=application/vnd.openxmlformats-officedocument.spreadsheetml.worksheet+xml">
        <DigestMethod Algorithm="http://www.w3.org/2001/04/xmlenc#sha256"/>
        <DigestValue>qglsYrdbV7jq2ZdjamaIA7aQhkJjIRU/47IGIqTM1FQ=</DigestValue>
      </Reference>
      <Reference URI="/xl/worksheets/sheet5.xml?ContentType=application/vnd.openxmlformats-officedocument.spreadsheetml.worksheet+xml">
        <DigestMethod Algorithm="http://www.w3.org/2001/04/xmlenc#sha256"/>
        <DigestValue>adPn/C/iq1nNQWqfjd2FN1kpQn2vhGrflXte7aHhzLI=</DigestValue>
      </Reference>
      <Reference URI="/xl/worksheets/sheet6.xml?ContentType=application/vnd.openxmlformats-officedocument.spreadsheetml.worksheet+xml">
        <DigestMethod Algorithm="http://www.w3.org/2001/04/xmlenc#sha256"/>
        <DigestValue>qVRGFu19fAvrglsHfj5K3IX2PWOAr+s+lgWkvW/r54g=</DigestValue>
      </Reference>
      <Reference URI="/xl/worksheets/sheet7.xml?ContentType=application/vnd.openxmlformats-officedocument.spreadsheetml.worksheet+xml">
        <DigestMethod Algorithm="http://www.w3.org/2001/04/xmlenc#sha256"/>
        <DigestValue>vzpoFLLrR+qUgDEMclx8EydUcy7p3PkIDvdmDA+csGI=</DigestValue>
      </Reference>
      <Reference URI="/xl/worksheets/sheet8.xml?ContentType=application/vnd.openxmlformats-officedocument.spreadsheetml.worksheet+xml">
        <DigestMethod Algorithm="http://www.w3.org/2001/04/xmlenc#sha256"/>
        <DigestValue>WXEnSYnR7Is1N5K/hALpGTDD1leMNLjojwedPCHTLGw=</DigestValue>
      </Reference>
      <Reference URI="/xl/worksheets/sheet9.xml?ContentType=application/vnd.openxmlformats-officedocument.spreadsheetml.worksheet+xml">
        <DigestMethod Algorithm="http://www.w3.org/2001/04/xmlenc#sha256"/>
        <DigestValue>RlidY4Fxx703TwhX4L4OSfmS5oWvV9tdZEe1XOBfS3U=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2017-10-23T16:37:23Z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2017-10-23T16:37:23Z</xd:SigningTime>
          <xd:SigningCertificate>
            <xd:Cert>
              <xd:CertDigest>
                <DigestMethod Algorithm="http://www.w3.org/2001/04/xmlenc#sha256"/>
                <DigestValue>2nwRnRWjHYr3TrJ15fkEDsOzhfJpc4o3rqGGSyuaH3s=</DigestValue>
              </xd:CertDigest>
              <xd:IssuerSerial>
                <X509IssuerName>CN=NBG Class 2 INT Sub CA, DC=nbg, DC=ge</X509IssuerName>
                <X509SerialNumber>98781255042910899936525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  <vt:lpstr>Date</vt:lpstr>
      <vt:lpstr>'13. CRME'!Print_Area</vt:lpstr>
      <vt:lpstr>'2. RC'!Print_Area</vt:lpstr>
      <vt:lpstr>'7. LI1'!Print_Area</vt:lpstr>
      <vt:lpstr>'8. LI2'!Print_Area</vt:lpstr>
      <vt:lpstr>'9. Capital'!Print_Area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Tsomaia</dc:creator>
  <cp:lastModifiedBy>Nodar Tsomaia</cp:lastModifiedBy>
  <dcterms:created xsi:type="dcterms:W3CDTF">2017-10-23T14:13:42Z</dcterms:created>
  <dcterms:modified xsi:type="dcterms:W3CDTF">2017-10-23T16:06:52Z</dcterms:modified>
</cp:coreProperties>
</file>