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FinanceDep\NBG\Monthly Reports\2017\06\Reports\Signed\"/>
    </mc:Choice>
  </mc:AlternateContent>
  <bookViews>
    <workbookView xWindow="0" yWindow="0" windowWidth="28800" windowHeight="8535" tabRatio="1000" activeTab="15"/>
  </bookViews>
  <sheets>
    <sheet name="Info" sheetId="2" r:id="rId1"/>
    <sheet name="1. key ratios" sheetId="3" r:id="rId2"/>
    <sheet name="2. RC" sheetId="4" r:id="rId3"/>
    <sheet name="3. PL" sheetId="5" r:id="rId4"/>
    <sheet name="4. Off-Balance" sheetId="6" r:id="rId5"/>
    <sheet name="5. RWA" sheetId="7" r:id="rId6"/>
    <sheet name="6. Administrators-shareholders" sheetId="8" r:id="rId7"/>
    <sheet name="7. LI1" sheetId="9" r:id="rId8"/>
    <sheet name="8. LI2" sheetId="10" r:id="rId9"/>
    <sheet name="9. Capital" sheetId="11" r:id="rId10"/>
    <sheet name="10. CC2" sheetId="12" r:id="rId11"/>
    <sheet name="11. CRWA" sheetId="13" r:id="rId12"/>
    <sheet name="12. CRM" sheetId="14" r:id="rId13"/>
    <sheet name="13. CRME" sheetId="15" r:id="rId14"/>
    <sheet name="14. CICR" sheetId="16" r:id="rId15"/>
    <sheet name="15. CCR" sheetId="1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1">#REF!</definedName>
    <definedName name="ACC_BALACC" localSheetId="12">#REF!</definedName>
    <definedName name="ACC_BALACC" localSheetId="13">#REF!</definedName>
    <definedName name="ACC_BALACC" localSheetId="14">#REF!</definedName>
    <definedName name="ACC_BALACC">#REF!</definedName>
    <definedName name="ACC_CRS" localSheetId="11">#REF!</definedName>
    <definedName name="ACC_CRS" localSheetId="12">#REF!</definedName>
    <definedName name="ACC_CRS" localSheetId="13">#REF!</definedName>
    <definedName name="ACC_CRS" localSheetId="14">#REF!</definedName>
    <definedName name="ACC_CRS" localSheetId="4">#REF!</definedName>
    <definedName name="ACC_CRS">#REF!</definedName>
    <definedName name="ACC_DBS" localSheetId="11">#REF!</definedName>
    <definedName name="ACC_DBS" localSheetId="12">#REF!</definedName>
    <definedName name="ACC_DBS" localSheetId="13">#REF!</definedName>
    <definedName name="ACC_DBS" localSheetId="14">#REF!</definedName>
    <definedName name="ACC_DBS" localSheetId="4">#REF!</definedName>
    <definedName name="ACC_DBS">#REF!</definedName>
    <definedName name="ACC_ISO" localSheetId="11">#REF!</definedName>
    <definedName name="ACC_ISO" localSheetId="12">#REF!</definedName>
    <definedName name="ACC_ISO" localSheetId="13">#REF!</definedName>
    <definedName name="ACC_ISO" localSheetId="14">#REF!</definedName>
    <definedName name="ACC_ISO" localSheetId="4">#REF!</definedName>
    <definedName name="ACC_ISO">#REF!</definedName>
    <definedName name="ACC_SALDO" localSheetId="11">#REF!</definedName>
    <definedName name="ACC_SALDO" localSheetId="12">#REF!</definedName>
    <definedName name="ACC_SALDO" localSheetId="13">#REF!</definedName>
    <definedName name="ACC_SALDO" localSheetId="14">#REF!</definedName>
    <definedName name="ACC_SALDO" localSheetId="4">#REF!</definedName>
    <definedName name="ACC_SALDO">#REF!</definedName>
    <definedName name="BS_BALACC" localSheetId="11">#REF!</definedName>
    <definedName name="BS_BALACC" localSheetId="12">#REF!</definedName>
    <definedName name="BS_BALACC" localSheetId="13">#REF!</definedName>
    <definedName name="BS_BALACC" localSheetId="14">#REF!</definedName>
    <definedName name="BS_BALACC" localSheetId="4">#REF!</definedName>
    <definedName name="BS_BALACC">#REF!</definedName>
    <definedName name="BS_BALANCE" localSheetId="11">#REF!</definedName>
    <definedName name="BS_BALANCE" localSheetId="12">#REF!</definedName>
    <definedName name="BS_BALANCE" localSheetId="13">#REF!</definedName>
    <definedName name="BS_BALANCE" localSheetId="14">#REF!</definedName>
    <definedName name="BS_BALANCE" localSheetId="4">#REF!</definedName>
    <definedName name="BS_BALANCE">#REF!</definedName>
    <definedName name="BS_CR" localSheetId="11">#REF!</definedName>
    <definedName name="BS_CR" localSheetId="12">#REF!</definedName>
    <definedName name="BS_CR" localSheetId="13">#REF!</definedName>
    <definedName name="BS_CR" localSheetId="14">#REF!</definedName>
    <definedName name="BS_CR" localSheetId="4">#REF!</definedName>
    <definedName name="BS_CR">#REF!</definedName>
    <definedName name="BS_CR_EQU" localSheetId="11">#REF!</definedName>
    <definedName name="BS_CR_EQU" localSheetId="12">#REF!</definedName>
    <definedName name="BS_CR_EQU" localSheetId="13">#REF!</definedName>
    <definedName name="BS_CR_EQU" localSheetId="14">#REF!</definedName>
    <definedName name="BS_CR_EQU" localSheetId="4">#REF!</definedName>
    <definedName name="BS_CR_EQU">#REF!</definedName>
    <definedName name="BS_DB" localSheetId="11">#REF!</definedName>
    <definedName name="BS_DB" localSheetId="12">#REF!</definedName>
    <definedName name="BS_DB" localSheetId="13">#REF!</definedName>
    <definedName name="BS_DB" localSheetId="14">#REF!</definedName>
    <definedName name="BS_DB" localSheetId="4">#REF!</definedName>
    <definedName name="BS_DB">#REF!</definedName>
    <definedName name="BS_DB_EQU" localSheetId="11">#REF!</definedName>
    <definedName name="BS_DB_EQU" localSheetId="12">#REF!</definedName>
    <definedName name="BS_DB_EQU" localSheetId="13">#REF!</definedName>
    <definedName name="BS_DB_EQU" localSheetId="14">#REF!</definedName>
    <definedName name="BS_DB_EQU" localSheetId="4">#REF!</definedName>
    <definedName name="BS_DB_EQU">#REF!</definedName>
    <definedName name="BS_DT" localSheetId="11">#REF!</definedName>
    <definedName name="BS_DT" localSheetId="12">#REF!</definedName>
    <definedName name="BS_DT" localSheetId="13">#REF!</definedName>
    <definedName name="BS_DT" localSheetId="14">#REF!</definedName>
    <definedName name="BS_DT" localSheetId="4">#REF!</definedName>
    <definedName name="BS_DT">#REF!</definedName>
    <definedName name="BS_ISO" localSheetId="11">#REF!</definedName>
    <definedName name="BS_ISO" localSheetId="12">#REF!</definedName>
    <definedName name="BS_ISO" localSheetId="13">#REF!</definedName>
    <definedName name="BS_ISO" localSheetId="14">#REF!</definedName>
    <definedName name="BS_ISO" localSheetId="4">#REF!</definedName>
    <definedName name="BS_ISO">#REF!</definedName>
    <definedName name="CurrentDate" localSheetId="11">#REF!</definedName>
    <definedName name="CurrentDate" localSheetId="12">#REF!</definedName>
    <definedName name="CurrentDate" localSheetId="13">#REF!</definedName>
    <definedName name="CurrentDate" localSheetId="14">#REF!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6" l="1"/>
  <c r="E53" i="6"/>
  <c r="H52" i="6"/>
  <c r="E52" i="6"/>
  <c r="H51" i="6"/>
  <c r="E51" i="6"/>
  <c r="H50" i="6"/>
  <c r="E50" i="6"/>
  <c r="H49" i="6"/>
  <c r="E49" i="6"/>
  <c r="H48" i="6"/>
  <c r="E48" i="6"/>
  <c r="H47" i="6"/>
  <c r="E47" i="6"/>
  <c r="H46" i="6"/>
  <c r="E46" i="6"/>
  <c r="H45" i="6"/>
  <c r="E45" i="6"/>
  <c r="H44" i="6"/>
  <c r="E44" i="6"/>
  <c r="H43" i="6"/>
  <c r="E43" i="6"/>
  <c r="H42" i="6"/>
  <c r="D40" i="6"/>
  <c r="E42" i="6"/>
  <c r="H41" i="6"/>
  <c r="E41" i="6"/>
  <c r="G40" i="6"/>
  <c r="C40" i="6"/>
  <c r="H39" i="6"/>
  <c r="E39" i="6"/>
  <c r="H38" i="6"/>
  <c r="E38" i="6"/>
  <c r="H37" i="6"/>
  <c r="E37" i="6"/>
  <c r="H36" i="6"/>
  <c r="E36" i="6"/>
  <c r="H35" i="6"/>
  <c r="E35" i="6"/>
  <c r="H34" i="6"/>
  <c r="D32" i="6"/>
  <c r="E34" i="6"/>
  <c r="H33" i="6"/>
  <c r="E33" i="6"/>
  <c r="G32" i="6"/>
  <c r="C32" i="6"/>
  <c r="E32" i="6" s="1"/>
  <c r="H31" i="6"/>
  <c r="E31" i="6"/>
  <c r="H30" i="6"/>
  <c r="E30" i="6"/>
  <c r="H29" i="6"/>
  <c r="E29" i="6"/>
  <c r="H28" i="6"/>
  <c r="E28" i="6"/>
  <c r="H27" i="6"/>
  <c r="E27" i="6"/>
  <c r="H26" i="6"/>
  <c r="E26" i="6"/>
  <c r="H25" i="6"/>
  <c r="E25" i="6"/>
  <c r="H24" i="6"/>
  <c r="E24" i="6"/>
  <c r="H23" i="6"/>
  <c r="E23" i="6"/>
  <c r="H22" i="6"/>
  <c r="E22" i="6"/>
  <c r="H21" i="6"/>
  <c r="E21" i="6"/>
  <c r="H20" i="6"/>
  <c r="E20" i="6"/>
  <c r="H19" i="6"/>
  <c r="E19" i="6"/>
  <c r="H18" i="6"/>
  <c r="G16" i="6"/>
  <c r="E18" i="6"/>
  <c r="H17" i="6"/>
  <c r="E17" i="6"/>
  <c r="F16" i="6"/>
  <c r="H16" i="6" s="1"/>
  <c r="E16" i="6"/>
  <c r="H15" i="6"/>
  <c r="E15" i="6"/>
  <c r="F14" i="6"/>
  <c r="H14" i="6" s="1"/>
  <c r="H13" i="6"/>
  <c r="G14" i="6"/>
  <c r="D14" i="6"/>
  <c r="C14" i="6"/>
  <c r="H12" i="6"/>
  <c r="E12" i="6"/>
  <c r="H11" i="6"/>
  <c r="E11" i="6"/>
  <c r="H10" i="6"/>
  <c r="E10" i="6"/>
  <c r="H9" i="6"/>
  <c r="D7" i="6"/>
  <c r="E9" i="6"/>
  <c r="H8" i="6"/>
  <c r="E8" i="6"/>
  <c r="G7" i="6"/>
  <c r="E40" i="6" l="1"/>
  <c r="E14" i="6"/>
  <c r="C7" i="6"/>
  <c r="E7" i="6" s="1"/>
  <c r="E13" i="6"/>
  <c r="F7" i="6"/>
  <c r="H7" i="6" s="1"/>
  <c r="F32" i="6"/>
  <c r="H32" i="6" s="1"/>
  <c r="F40" i="6"/>
  <c r="H40" i="6" s="1"/>
  <c r="H22" i="15"/>
  <c r="E19" i="17" l="1"/>
  <c r="E18" i="17"/>
  <c r="E17" i="17"/>
  <c r="E16" i="17"/>
  <c r="E15" i="17"/>
  <c r="C14" i="17"/>
  <c r="E12" i="17"/>
  <c r="E11" i="17"/>
  <c r="E10" i="17"/>
  <c r="E9" i="17"/>
  <c r="E8" i="17"/>
  <c r="C7" i="17"/>
  <c r="C21" i="17" s="1"/>
  <c r="B2" i="17"/>
  <c r="B1" i="17"/>
  <c r="D15" i="16"/>
  <c r="C15" i="16"/>
  <c r="B2" i="16"/>
  <c r="B1" i="16"/>
  <c r="E22" i="15"/>
  <c r="F13" i="15"/>
  <c r="F12" i="15"/>
  <c r="F11" i="15"/>
  <c r="F10" i="15"/>
  <c r="F9" i="15"/>
  <c r="F8" i="15"/>
  <c r="F22" i="15" s="1"/>
  <c r="D22" i="15"/>
  <c r="B2" i="15"/>
  <c r="B1" i="15"/>
  <c r="S21" i="14"/>
  <c r="R21" i="14"/>
  <c r="Q21" i="14"/>
  <c r="P21" i="14"/>
  <c r="O21" i="14"/>
  <c r="N21" i="14"/>
  <c r="M21" i="14"/>
  <c r="J21" i="14"/>
  <c r="F21" i="14"/>
  <c r="V20" i="14"/>
  <c r="V19" i="14"/>
  <c r="V18" i="14"/>
  <c r="V17" i="14"/>
  <c r="V16" i="14"/>
  <c r="V15" i="14"/>
  <c r="V14" i="14"/>
  <c r="U21" i="14"/>
  <c r="V12" i="14"/>
  <c r="V11" i="14"/>
  <c r="V10" i="14"/>
  <c r="V9" i="14"/>
  <c r="V8" i="14"/>
  <c r="T21" i="14"/>
  <c r="L21" i="14"/>
  <c r="K21" i="14"/>
  <c r="I21" i="14"/>
  <c r="H21" i="14"/>
  <c r="G21" i="14"/>
  <c r="V7" i="14"/>
  <c r="C21" i="14"/>
  <c r="B2" i="14"/>
  <c r="B1" i="14"/>
  <c r="R22" i="13"/>
  <c r="P22" i="13"/>
  <c r="H22" i="13"/>
  <c r="F22" i="13"/>
  <c r="D22" i="13"/>
  <c r="S20" i="13"/>
  <c r="H20" i="15" s="1"/>
  <c r="S19" i="13"/>
  <c r="H19" i="15" s="1"/>
  <c r="S18" i="13"/>
  <c r="H18" i="15" s="1"/>
  <c r="S17" i="13"/>
  <c r="H17" i="15" s="1"/>
  <c r="S16" i="13"/>
  <c r="H16" i="15" s="1"/>
  <c r="L22" i="13"/>
  <c r="N22" i="13"/>
  <c r="J22" i="13"/>
  <c r="S14" i="13"/>
  <c r="S13" i="13"/>
  <c r="G13" i="15" s="1"/>
  <c r="H13" i="15" s="1"/>
  <c r="S12" i="13"/>
  <c r="G12" i="15" s="1"/>
  <c r="H12" i="15" s="1"/>
  <c r="S11" i="13"/>
  <c r="G11" i="15" s="1"/>
  <c r="H11" i="15" s="1"/>
  <c r="S9" i="13"/>
  <c r="G9" i="15" s="1"/>
  <c r="H9" i="15" s="1"/>
  <c r="K22" i="13"/>
  <c r="C22" i="13"/>
  <c r="B2" i="13"/>
  <c r="B1" i="13"/>
  <c r="C21" i="12"/>
  <c r="B2" i="12"/>
  <c r="B1" i="12"/>
  <c r="C47" i="11"/>
  <c r="C43" i="11"/>
  <c r="C52" i="11" s="1"/>
  <c r="C35" i="11"/>
  <c r="C31" i="11"/>
  <c r="C30" i="11" s="1"/>
  <c r="C12" i="11"/>
  <c r="C6" i="11"/>
  <c r="C28" i="11" s="1"/>
  <c r="B2" i="11"/>
  <c r="B1" i="11"/>
  <c r="B2" i="10"/>
  <c r="B1" i="10"/>
  <c r="D19" i="9"/>
  <c r="D21" i="9" s="1"/>
  <c r="B2" i="9"/>
  <c r="B1" i="9"/>
  <c r="B2" i="8"/>
  <c r="B1" i="8"/>
  <c r="D6" i="7"/>
  <c r="D14" i="7" s="1"/>
  <c r="C6" i="7"/>
  <c r="C13" i="12" s="1"/>
  <c r="B2" i="7"/>
  <c r="B1" i="7"/>
  <c r="H66" i="5"/>
  <c r="H64" i="5"/>
  <c r="H60" i="5"/>
  <c r="E60" i="5"/>
  <c r="H59" i="5"/>
  <c r="E59" i="5"/>
  <c r="H58" i="5"/>
  <c r="H52" i="5"/>
  <c r="E52" i="5"/>
  <c r="H51" i="5"/>
  <c r="E51" i="5"/>
  <c r="H50" i="5"/>
  <c r="H49" i="5"/>
  <c r="E49" i="5"/>
  <c r="H48" i="5"/>
  <c r="H47" i="5"/>
  <c r="E47" i="5"/>
  <c r="D53" i="5"/>
  <c r="H44" i="5"/>
  <c r="E44" i="5"/>
  <c r="H43" i="5"/>
  <c r="E43" i="5"/>
  <c r="H42" i="5"/>
  <c r="E42" i="5"/>
  <c r="H41" i="5"/>
  <c r="H40" i="5"/>
  <c r="E40" i="5"/>
  <c r="H39" i="5"/>
  <c r="H38" i="5"/>
  <c r="E38" i="5"/>
  <c r="H37" i="5"/>
  <c r="E37" i="5"/>
  <c r="H36" i="5"/>
  <c r="E36" i="5"/>
  <c r="D34" i="5"/>
  <c r="D45" i="5" s="1"/>
  <c r="D54" i="5" s="1"/>
  <c r="G34" i="5"/>
  <c r="G45" i="5" s="1"/>
  <c r="H35" i="5"/>
  <c r="H34" i="5"/>
  <c r="F34" i="5"/>
  <c r="F45" i="5" s="1"/>
  <c r="H29" i="5"/>
  <c r="D30" i="5"/>
  <c r="H28" i="5"/>
  <c r="E28" i="5"/>
  <c r="H27" i="5"/>
  <c r="E27" i="5"/>
  <c r="H26" i="5"/>
  <c r="E26" i="5"/>
  <c r="H25" i="5"/>
  <c r="E25" i="5"/>
  <c r="E24" i="5"/>
  <c r="H21" i="5"/>
  <c r="E21" i="5"/>
  <c r="H20" i="5"/>
  <c r="E20" i="5"/>
  <c r="H19" i="5"/>
  <c r="E19" i="5"/>
  <c r="H18" i="5"/>
  <c r="E18" i="5"/>
  <c r="E17" i="5"/>
  <c r="H16" i="5"/>
  <c r="E16" i="5"/>
  <c r="E15" i="5"/>
  <c r="H14" i="5"/>
  <c r="E14" i="5"/>
  <c r="E13" i="5"/>
  <c r="H12" i="5"/>
  <c r="E12" i="5"/>
  <c r="H11" i="5"/>
  <c r="E11" i="5"/>
  <c r="H10" i="5"/>
  <c r="E10" i="5"/>
  <c r="D9" i="5"/>
  <c r="G9" i="5"/>
  <c r="G22" i="5" s="1"/>
  <c r="F9" i="5"/>
  <c r="C9" i="5"/>
  <c r="E9" i="5" s="1"/>
  <c r="H8" i="5"/>
  <c r="E8" i="5"/>
  <c r="D22" i="5"/>
  <c r="C22" i="5"/>
  <c r="E22" i="5" s="1"/>
  <c r="B2" i="5"/>
  <c r="B1" i="5"/>
  <c r="H40" i="4"/>
  <c r="E40" i="4"/>
  <c r="H39" i="4"/>
  <c r="E39" i="4"/>
  <c r="C42" i="12" s="1"/>
  <c r="H38" i="4"/>
  <c r="E38" i="4"/>
  <c r="C41" i="12" s="1"/>
  <c r="H37" i="4"/>
  <c r="E37" i="4"/>
  <c r="C40" i="12" s="1"/>
  <c r="H36" i="4"/>
  <c r="E36" i="4"/>
  <c r="C39" i="12" s="1"/>
  <c r="H35" i="4"/>
  <c r="E35" i="4"/>
  <c r="C38" i="12" s="1"/>
  <c r="H34" i="4"/>
  <c r="E34" i="4"/>
  <c r="C37" i="12" s="1"/>
  <c r="H33" i="4"/>
  <c r="E33" i="4"/>
  <c r="C36" i="12" s="1"/>
  <c r="E30" i="4"/>
  <c r="C33" i="12" s="1"/>
  <c r="H29" i="4"/>
  <c r="E29" i="4"/>
  <c r="C31" i="12" s="1"/>
  <c r="E28" i="4"/>
  <c r="C30" i="12" s="1"/>
  <c r="H27" i="4"/>
  <c r="E27" i="4"/>
  <c r="C29" i="12" s="1"/>
  <c r="H26" i="4"/>
  <c r="E26" i="4"/>
  <c r="C28" i="12" s="1"/>
  <c r="H25" i="4"/>
  <c r="E25" i="4"/>
  <c r="C27" i="12" s="1"/>
  <c r="H24" i="4"/>
  <c r="E24" i="4"/>
  <c r="C26" i="12" s="1"/>
  <c r="H23" i="4"/>
  <c r="E23" i="4"/>
  <c r="D31" i="4"/>
  <c r="D41" i="4" s="1"/>
  <c r="G31" i="4"/>
  <c r="G41" i="4" s="1"/>
  <c r="F31" i="4"/>
  <c r="E19" i="4"/>
  <c r="H18" i="4"/>
  <c r="E18" i="4"/>
  <c r="H17" i="4"/>
  <c r="E17" i="4"/>
  <c r="H16" i="4"/>
  <c r="E16" i="4"/>
  <c r="E15" i="4"/>
  <c r="E13" i="4"/>
  <c r="H12" i="4"/>
  <c r="F14" i="4"/>
  <c r="E12" i="4"/>
  <c r="D14" i="4"/>
  <c r="E11" i="4"/>
  <c r="H10" i="4"/>
  <c r="E10" i="4"/>
  <c r="H9" i="4"/>
  <c r="E9" i="4"/>
  <c r="H8" i="4"/>
  <c r="E8" i="4"/>
  <c r="D20" i="4"/>
  <c r="F20" i="4"/>
  <c r="B2" i="4"/>
  <c r="B1" i="4"/>
  <c r="C32" i="3"/>
  <c r="G17" i="3"/>
  <c r="C17" i="3"/>
  <c r="G16" i="3"/>
  <c r="D16" i="3"/>
  <c r="C16" i="3"/>
  <c r="F17" i="3"/>
  <c r="E18" i="3"/>
  <c r="G18" i="3"/>
  <c r="D18" i="3"/>
  <c r="C18" i="3"/>
  <c r="E17" i="3"/>
  <c r="D17" i="3"/>
  <c r="E16" i="3"/>
  <c r="F18" i="3" l="1"/>
  <c r="F16" i="3"/>
  <c r="C20" i="4"/>
  <c r="E20" i="4" s="1"/>
  <c r="E7" i="4"/>
  <c r="C11" i="9"/>
  <c r="C9" i="12"/>
  <c r="C10" i="12"/>
  <c r="C12" i="9"/>
  <c r="C14" i="4"/>
  <c r="E14" i="4" s="1"/>
  <c r="C15" i="9" s="1"/>
  <c r="G14" i="4"/>
  <c r="H13" i="4"/>
  <c r="C31" i="4"/>
  <c r="E22" i="4"/>
  <c r="C24" i="12" s="1"/>
  <c r="H28" i="4"/>
  <c r="H9" i="5"/>
  <c r="H13" i="5"/>
  <c r="C33" i="3"/>
  <c r="H15" i="4"/>
  <c r="C17" i="9"/>
  <c r="C17" i="12"/>
  <c r="C18" i="12"/>
  <c r="C18" i="9"/>
  <c r="H19" i="4"/>
  <c r="C43" i="12"/>
  <c r="C7" i="12"/>
  <c r="C9" i="9"/>
  <c r="C8" i="12"/>
  <c r="C10" i="9"/>
  <c r="H11" i="4"/>
  <c r="C11" i="12"/>
  <c r="C13" i="9"/>
  <c r="C12" i="12"/>
  <c r="C14" i="9"/>
  <c r="C31" i="3"/>
  <c r="F41" i="4"/>
  <c r="H41" i="4" s="1"/>
  <c r="H31" i="4"/>
  <c r="C25" i="12"/>
  <c r="C35" i="12" s="1"/>
  <c r="C38" i="3"/>
  <c r="H30" i="4"/>
  <c r="D31" i="5"/>
  <c r="D56" i="5" s="1"/>
  <c r="D63" i="5" s="1"/>
  <c r="D65" i="5" s="1"/>
  <c r="D67" i="5" s="1"/>
  <c r="H45" i="5"/>
  <c r="G20" i="4"/>
  <c r="H20" i="4" s="1"/>
  <c r="H14" i="4"/>
  <c r="C16" i="12"/>
  <c r="C16" i="9"/>
  <c r="C20" i="12"/>
  <c r="C19" i="9"/>
  <c r="C22" i="12"/>
  <c r="C20" i="9"/>
  <c r="F53" i="5"/>
  <c r="F54" i="5" s="1"/>
  <c r="F61" i="5"/>
  <c r="H61" i="5" s="1"/>
  <c r="H7" i="4"/>
  <c r="H22" i="4"/>
  <c r="F22" i="5"/>
  <c r="E35" i="5"/>
  <c r="C34" i="5"/>
  <c r="C53" i="5"/>
  <c r="E53" i="5" s="1"/>
  <c r="G53" i="5"/>
  <c r="G54" i="5" s="1"/>
  <c r="H17" i="5"/>
  <c r="H24" i="5"/>
  <c r="F30" i="5"/>
  <c r="E41" i="5"/>
  <c r="E50" i="5"/>
  <c r="E64" i="5"/>
  <c r="E66" i="5"/>
  <c r="C41" i="11"/>
  <c r="H15" i="5"/>
  <c r="C30" i="5"/>
  <c r="E30" i="5" s="1"/>
  <c r="G30" i="5"/>
  <c r="G31" i="5" s="1"/>
  <c r="G56" i="5" s="1"/>
  <c r="G63" i="5" s="1"/>
  <c r="G65" i="5" s="1"/>
  <c r="G67" i="5" s="1"/>
  <c r="E29" i="5"/>
  <c r="E39" i="5"/>
  <c r="E48" i="5"/>
  <c r="C61" i="5"/>
  <c r="E61" i="5" s="1"/>
  <c r="E58" i="5"/>
  <c r="C11" i="10"/>
  <c r="G22" i="13"/>
  <c r="O22" i="13"/>
  <c r="S10" i="13"/>
  <c r="G10" i="15" s="1"/>
  <c r="H10" i="15" s="1"/>
  <c r="I22" i="13"/>
  <c r="Q22" i="13"/>
  <c r="F15" i="9"/>
  <c r="F21" i="9" s="1"/>
  <c r="S8" i="13"/>
  <c r="S15" i="13"/>
  <c r="H15" i="15" s="1"/>
  <c r="S21" i="13"/>
  <c r="H21" i="15" s="1"/>
  <c r="E7" i="17"/>
  <c r="E14" i="17"/>
  <c r="C14" i="7"/>
  <c r="E22" i="13"/>
  <c r="M22" i="13"/>
  <c r="D21" i="14"/>
  <c r="E21" i="14"/>
  <c r="C22" i="15"/>
  <c r="H54" i="5" l="1"/>
  <c r="V13" i="14"/>
  <c r="E20" i="9"/>
  <c r="G20" i="9" s="1"/>
  <c r="E16" i="9"/>
  <c r="G16" i="9" s="1"/>
  <c r="E10" i="9"/>
  <c r="G10" i="9" s="1"/>
  <c r="E17" i="9"/>
  <c r="G17" i="9" s="1"/>
  <c r="C41" i="4"/>
  <c r="E41" i="4" s="1"/>
  <c r="E31" i="4"/>
  <c r="C37" i="3" s="1"/>
  <c r="E12" i="9"/>
  <c r="G12" i="9" s="1"/>
  <c r="C8" i="9"/>
  <c r="C6" i="12"/>
  <c r="G8" i="15"/>
  <c r="S22" i="13"/>
  <c r="H30" i="5"/>
  <c r="E34" i="5"/>
  <c r="C45" i="5"/>
  <c r="E14" i="9"/>
  <c r="G14" i="9" s="1"/>
  <c r="E13" i="9"/>
  <c r="E18" i="9"/>
  <c r="G18" i="9" s="1"/>
  <c r="E21" i="17"/>
  <c r="H53" i="5"/>
  <c r="E19" i="9"/>
  <c r="G19" i="9" s="1"/>
  <c r="C15" i="12"/>
  <c r="E9" i="9"/>
  <c r="G9" i="9" s="1"/>
  <c r="C31" i="5"/>
  <c r="F31" i="5"/>
  <c r="H22" i="5"/>
  <c r="E15" i="9"/>
  <c r="G15" i="9" s="1"/>
  <c r="E11" i="9"/>
  <c r="G11" i="9" s="1"/>
  <c r="V21" i="14" l="1"/>
  <c r="H14" i="15"/>
  <c r="E45" i="5"/>
  <c r="C54" i="5"/>
  <c r="E54" i="5" s="1"/>
  <c r="H8" i="15"/>
  <c r="F56" i="5"/>
  <c r="H31" i="5"/>
  <c r="C23" i="12"/>
  <c r="C56" i="5"/>
  <c r="E31" i="5"/>
  <c r="G13" i="9"/>
  <c r="C21" i="9"/>
  <c r="E8" i="9"/>
  <c r="E21" i="9" l="1"/>
  <c r="G8" i="9"/>
  <c r="G21" i="9" s="1"/>
  <c r="C5" i="10" s="1"/>
  <c r="H56" i="5"/>
  <c r="F63" i="5"/>
  <c r="C63" i="5"/>
  <c r="E56" i="5"/>
  <c r="G22" i="15"/>
  <c r="C65" i="5" l="1"/>
  <c r="E63" i="5"/>
  <c r="F65" i="5"/>
  <c r="H63" i="5"/>
  <c r="C8" i="10"/>
  <c r="F67" i="5" l="1"/>
  <c r="H67" i="5" s="1"/>
  <c r="H65" i="5"/>
  <c r="C13" i="10"/>
  <c r="C67" i="5"/>
  <c r="E67" i="5" s="1"/>
  <c r="E65" i="5"/>
</calcChain>
</file>

<file path=xl/comments1.xml><?xml version="1.0" encoding="utf-8"?>
<comments xmlns="http://schemas.openxmlformats.org/spreadsheetml/2006/main">
  <authors>
    <author>Author</author>
  </authors>
  <commentList>
    <comment ref="D12" authorId="0" shapeId="0">
      <text>
        <r>
          <rPr>
            <b/>
            <sz val="9"/>
            <color indexed="81"/>
            <rFont val="Tahoma"/>
            <family val="2"/>
          </rPr>
          <t>Author:</t>
        </r>
        <r>
          <rPr>
            <sz val="9"/>
            <color indexed="81"/>
            <rFont val="Tahoma"/>
            <family val="2"/>
          </rPr>
          <t xml:space="preserve">
MIN(Stand.Clasiif.Loan's Reserve; RWA*1.25%)</t>
        </r>
      </text>
    </comment>
  </commentList>
</comments>
</file>

<file path=xl/sharedStrings.xml><?xml version="1.0" encoding="utf-8"?>
<sst xmlns="http://schemas.openxmlformats.org/spreadsheetml/2006/main" count="654" uniqueCount="432">
  <si>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</si>
  <si>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</si>
  <si>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</si>
  <si>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</si>
  <si>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</si>
  <si>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</si>
  <si>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</si>
  <si>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</si>
  <si>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</si>
  <si>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</si>
  <si>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</si>
  <si>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</si>
  <si>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</si>
  <si>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</si>
  <si>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</si>
  <si>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</si>
  <si>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</si>
  <si>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</si>
  <si>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</si>
  <si>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</si>
  <si>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</si>
  <si>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</si>
  <si>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</si>
  <si>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</si>
  <si>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</si>
  <si>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სავალუტო კურსის ცვლილებით გამოწვეული საკრედიტო რისკის მიხედვით შეწონილი რისკის პოზიციები</t>
  </si>
  <si>
    <t>კონტრაგენტთან დაკავშირებული საკრედიტო რისკის მიხედვით შეწონილი რისკის პოზიციები</t>
  </si>
  <si>
    <t>ძირითადი მონაცემები სესხებზე</t>
  </si>
  <si>
    <t>სესხების ხარისხი</t>
  </si>
  <si>
    <t>ინფორმაცია სესხებზე ყოველთვიური გადახდების შემოსავალთან შეფარდების კოეფიციენტის შესახებ</t>
  </si>
  <si>
    <t>ინფორმაცია სესხის მომსახურების კოეფიციენტის შესახებ</t>
  </si>
  <si>
    <t>ბანკი:</t>
  </si>
  <si>
    <t>სს ტერაბანკი</t>
  </si>
  <si>
    <t>თარიღი:</t>
  </si>
  <si>
    <t>ცხრილი 1</t>
  </si>
  <si>
    <t>N</t>
  </si>
  <si>
    <t>T</t>
  </si>
  <si>
    <t>T-1</t>
  </si>
  <si>
    <t>T-2</t>
  </si>
  <si>
    <t>T-3</t>
  </si>
  <si>
    <t>T-4</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</si>
  <si>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</si>
  <si>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</si>
  <si>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</si>
  <si>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</si>
  <si>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</si>
  <si>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</si>
  <si>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</si>
  <si>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კაპიტალის კოეფიციენტები</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</si>
  <si>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</si>
  <si>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</si>
  <si>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</si>
  <si>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ბაზელ I-ზე დაფუძნებული ჩარჩოს მიხედვით</t>
  </si>
  <si>
    <t>პირველადი კაპიტალის კოეფიციენტი ( ≥ 6.4 %)</t>
  </si>
  <si>
    <t>საზედამხედველო კაპიტალის კოეფიციენტი ( ≥ 9.6 %)</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</si>
  <si>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</si>
  <si>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</si>
  <si>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</si>
  <si>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</si>
  <si>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</si>
  <si>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</si>
  <si>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</si>
  <si>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</si>
  <si>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</si>
  <si>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</si>
  <si>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</si>
  <si>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</si>
  <si>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</si>
  <si>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</si>
  <si>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</si>
  <si>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</si>
  <si>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</si>
  <si>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</si>
  <si>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</si>
  <si>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</si>
  <si>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</si>
  <si>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</si>
  <si>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</si>
  <si>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</si>
  <si>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</si>
  <si>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</si>
  <si>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</si>
  <si>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</si>
  <si>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</si>
  <si>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</si>
  <si>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</si>
  <si>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</si>
  <si>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</si>
  <si>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</si>
  <si>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</si>
  <si>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</si>
  <si>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</si>
  <si>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</si>
  <si>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</si>
  <si>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</si>
  <si>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</si>
  <si>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</si>
  <si>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</si>
  <si>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</si>
  <si>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</si>
  <si>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</si>
  <si>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</si>
  <si>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</si>
  <si>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</si>
  <si>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</si>
  <si>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</si>
  <si>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</si>
  <si>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</si>
  <si>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</si>
  <si>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</si>
  <si>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</si>
  <si>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</si>
  <si>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</si>
  <si>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</si>
  <si>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</si>
  <si>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</si>
  <si>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</si>
  <si>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</si>
  <si>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</si>
  <si>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</si>
  <si>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</si>
  <si>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</si>
  <si>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</si>
  <si>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</si>
  <si>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</si>
  <si>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</si>
  <si>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</si>
  <si>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</si>
  <si>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</si>
  <si>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</si>
  <si>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</si>
  <si>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</si>
  <si>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</si>
  <si>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</si>
  <si>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</si>
  <si>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</si>
  <si>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</si>
  <si>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</si>
  <si>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</si>
  <si>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</si>
  <si>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</si>
  <si>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</si>
  <si>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</si>
  <si>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</si>
  <si>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</si>
  <si>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</si>
  <si>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</si>
  <si>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</si>
  <si>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</si>
  <si>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</si>
  <si>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</si>
  <si>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</si>
  <si>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</si>
  <si>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</si>
  <si>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</si>
  <si>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</si>
  <si>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</si>
  <si>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</si>
  <si>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</si>
  <si>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</si>
  <si>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</si>
  <si>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</si>
  <si>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</si>
  <si>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</si>
  <si>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</si>
  <si>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</si>
  <si>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</si>
  <si>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</si>
  <si>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</si>
  <si>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</si>
  <si>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</si>
  <si>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</si>
  <si>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</si>
  <si>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</si>
  <si>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</si>
  <si>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</si>
  <si>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</si>
  <si>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</si>
  <si>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</si>
  <si>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</si>
  <si>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</si>
  <si>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</si>
  <si>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</si>
  <si>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</si>
  <si>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</si>
  <si>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</si>
  <si>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</si>
  <si>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</si>
  <si>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</si>
  <si>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</si>
  <si>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</si>
  <si>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</si>
  <si>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</si>
  <si>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</si>
  <si>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</si>
  <si>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</si>
  <si>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</si>
  <si>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</si>
  <si>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</si>
  <si>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</si>
  <si>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</si>
  <si>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</si>
  <si>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</si>
  <si>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</si>
  <si>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</si>
  <si>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</si>
  <si>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</si>
  <si>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</si>
  <si>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</si>
  <si>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</si>
  <si>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</si>
  <si>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</si>
  <si>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</si>
  <si>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</si>
  <si>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</si>
  <si>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</si>
  <si>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</si>
  <si>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</si>
  <si>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</si>
  <si>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</si>
  <si>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</si>
  <si>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</si>
  <si>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</si>
  <si>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</si>
  <si>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</si>
  <si>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</si>
  <si>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</si>
  <si>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</si>
  <si>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</si>
  <si>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</si>
  <si>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</si>
  <si>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</si>
  <si>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</si>
  <si>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სავალუტო კურსის ცვლილებით გამოწვეული საკრედიტო რისკი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</si>
  <si>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</si>
  <si>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</si>
  <si>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</si>
  <si>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</si>
  <si>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</si>
  <si>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</si>
  <si>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მოჰამედ ბუტი ალჰამედი (მოადგილე)</t>
  </si>
  <si>
    <t>სემი ედვარდ ადამ ხალილ (წევრი)</t>
  </si>
  <si>
    <t>დირექტორთა საბჭოს შემადგენლობა</t>
  </si>
  <si>
    <t>სოფიო ჯუღელი</t>
  </si>
  <si>
    <t>თეიმურაზ აბულაძე</t>
  </si>
  <si>
    <t>ვახტანგ ხუციშვილი</t>
  </si>
  <si>
    <t>ზურაბ აზარაშვილი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</si>
  <si>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</si>
  <si>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</si>
  <si>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</si>
  <si>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</si>
  <si>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</si>
  <si>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</si>
  <si>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</si>
  <si>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</si>
  <si>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</si>
  <si>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</si>
  <si>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d</t>
  </si>
  <si>
    <t>e = c + d</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</si>
  <si>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</si>
  <si>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</si>
  <si>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</si>
  <si>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</si>
  <si>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</si>
  <si>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</si>
  <si>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უცხოური ვალუტით გამოწვეული საკრედიტო რისკის შეწონვას დაქვემდებარებული საბალანსო ელემენტები</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</si>
  <si>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</si>
  <si>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</si>
  <si>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</si>
  <si>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</si>
  <si>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</si>
  <si>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</si>
  <si>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</si>
  <si>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</si>
  <si>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</si>
  <si>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</si>
  <si>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</si>
  <si>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</si>
  <si>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</si>
  <si>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</si>
  <si>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</si>
  <si>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</si>
  <si>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</si>
  <si>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</si>
  <si>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</si>
  <si>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</si>
  <si>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</si>
  <si>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</si>
  <si>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</si>
  <si>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</si>
  <si>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</si>
  <si>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</si>
  <si>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</si>
  <si>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</si>
  <si>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</si>
  <si>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</si>
  <si>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</si>
  <si>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</si>
  <si>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</si>
  <si>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</si>
  <si>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</si>
  <si>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</si>
  <si>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</si>
  <si>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</si>
  <si>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</si>
  <si>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</si>
  <si>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</si>
  <si>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</si>
  <si>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</si>
  <si>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</si>
  <si>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</si>
  <si>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</si>
  <si>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</si>
  <si>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</si>
  <si>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</si>
  <si>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</si>
  <si>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</si>
  <si>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</si>
  <si>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</si>
  <si>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</si>
  <si>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</si>
  <si>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</si>
  <si>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</si>
  <si>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</si>
  <si>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</si>
  <si>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ცხრილი 9 (Capital), N39</t>
  </si>
  <si>
    <t>6.2.1</t>
  </si>
  <si>
    <t>რისკის მიხედვით შეწონილი აქტივების 1.25%</t>
  </si>
  <si>
    <t>6.2.2</t>
  </si>
  <si>
    <t>სტანდარტულად კლასიფიცირებული სესხების რეზერვი</t>
  </si>
  <si>
    <t>მათ შორის მნიშვნელოვანი ინვესტიციები, რომლებიც შეზღუდულად აღიარდება</t>
  </si>
  <si>
    <t>მათ შორის არამატერიალური აქტივები</t>
  </si>
  <si>
    <t>ცხრილი 9 (Capital), N10</t>
  </si>
  <si>
    <t xml:space="preserve">სტანდარტულად კლასიფიცირებული ბალანსგარეშე მუხლებზე არსებული რეზერვები </t>
  </si>
  <si>
    <t>მათ შორის მეორად საზედამხედველო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</si>
  <si>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</si>
  <si>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</si>
  <si>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</si>
  <si>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</si>
  <si>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</si>
  <si>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</si>
  <si>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</si>
  <si>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</si>
  <si>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</si>
  <si>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</si>
  <si>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</si>
  <si>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</si>
  <si>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</si>
  <si>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</si>
  <si>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</si>
  <si>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</si>
  <si>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</si>
  <si>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</si>
  <si>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</si>
  <si>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</si>
  <si>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</si>
  <si>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</si>
  <si>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</si>
  <si>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</si>
  <si>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</si>
  <si>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</si>
  <si>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</si>
  <si>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</si>
  <si>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</si>
  <si>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</si>
  <si>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</si>
  <si>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</si>
  <si>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</si>
  <si>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</si>
  <si>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</si>
  <si>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</si>
  <si>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</si>
  <si>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</si>
  <si>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</si>
  <si>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</si>
  <si>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</si>
  <si>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</si>
  <si>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</si>
  <si>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</si>
  <si>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</si>
  <si>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</si>
  <si>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</si>
  <si>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</si>
  <si>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</si>
  <si>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</si>
  <si>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</si>
  <si>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</si>
  <si>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</si>
  <si>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</si>
  <si>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</si>
  <si>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</si>
  <si>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</si>
  <si>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</si>
  <si>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</si>
  <si>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</si>
  <si>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</si>
  <si>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</si>
  <si>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</si>
  <si>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</si>
  <si>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</si>
  <si>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</si>
  <si>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</si>
  <si>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</si>
  <si>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</si>
  <si>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</si>
  <si>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</si>
  <si>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</si>
  <si>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რისკის პოზიციები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</si>
  <si>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</si>
  <si>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სხვა მოთხოვნები</t>
  </si>
  <si>
    <t xml:space="preserve"> </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</si>
  <si>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</si>
  <si>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</si>
  <si>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</si>
  <si>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</si>
  <si>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</si>
  <si>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</si>
  <si>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</si>
  <si>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</si>
  <si>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</si>
  <si>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</si>
  <si>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</si>
  <si>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</si>
  <si>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</si>
  <si>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X</t>
  </si>
  <si>
    <t>მოგება*</t>
  </si>
  <si>
    <t>*აღნიშნული მაჩვენებლები დათვლილია სებ-ის მიერ დადგენილი განახლებული მეთოდოლოგიის შესაბამისად, რამაც გამოიწვია წინა პერიოდების მაჩვენებლების შეცვლა.</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</si>
  <si>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</si>
  <si>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</si>
  <si>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*წინა წლის შესაბამისი პერიოდის მაჩვენებლები დათვლილია განახლებული მეთოდოლოგიის შესაბამისად, რამაც გამოიწვია წინა პერიოდების მაჩვენებლების შეცვლა.</t>
  </si>
  <si>
    <t>ადელ საფვატ გუირგუის რუფაეილ (მრჩეველი, აღმასრულებელი ვიცე პრეზიდენტი)</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</si>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</sst>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_ ;[Red]\-#,##0\ "/>
    <numFmt numFmtId="165" formatCode="_(* #,##0_);_(* \(#,##0\);_(* &quot;-&quot;??_);_(@_)"/>
    <numFmt numFmtId="166" formatCode="_(#,##0_);_(\(#,##0\);_(\ \-\ _);_(@_)"/>
    <numFmt numFmtId="167" formatCode="#,##0.000000;[Red]#,##0.000000"/>
    <numFmt numFmtId="168"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Segoe UI"/>
      <family val="2"/>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b/>
      <sz val="10"/>
      <name val="Sylfaen"/>
      <family val="1"/>
    </font>
    <font>
      <b/>
      <sz val="10"/>
      <name val="Calibri"/>
      <family val="2"/>
      <scheme val="minor"/>
    </font>
    <font>
      <b/>
      <sz val="10"/>
      <color theme="1"/>
      <name val="Calibri"/>
      <family val="2"/>
      <scheme val="minor"/>
    </font>
    <font>
      <b/>
      <i/>
      <sz val="10"/>
      <name val="Calibri"/>
      <family val="2"/>
      <scheme val="minor"/>
    </font>
    <font>
      <sz val="10"/>
      <name val="Calibri"/>
      <family val="2"/>
    </font>
    <font>
      <sz val="10"/>
      <color rgb="FFFF0000"/>
      <name val="Calibri"/>
      <family val="2"/>
      <scheme val="minor"/>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sz val="10"/>
      <color theme="1"/>
      <name val="Times New Roman"/>
      <family val="1"/>
    </font>
    <font>
      <sz val="10"/>
      <name val="Arial"/>
      <family val="2"/>
      <charset val="204"/>
    </font>
    <font>
      <sz val="10"/>
      <name val="Geo_Arial"/>
      <family val="2"/>
    </font>
    <font>
      <i/>
      <sz val="10"/>
      <color theme="1"/>
      <name val="Calibri"/>
      <family val="2"/>
      <scheme val="minor"/>
    </font>
    <font>
      <i/>
      <sz val="11"/>
      <color theme="1"/>
      <name val="Calibri"/>
      <family val="2"/>
      <scheme val="minor"/>
    </font>
    <font>
      <b/>
      <sz val="10"/>
      <color theme="1"/>
      <name val="Sylfaen"/>
      <family val="1"/>
    </font>
    <font>
      <b/>
      <sz val="9"/>
      <color indexed="81"/>
      <name val="Tahoma"/>
      <family val="2"/>
    </font>
    <font>
      <sz val="9"/>
      <color indexed="81"/>
      <name val="Tahoma"/>
      <family val="2"/>
    </font>
    <font>
      <sz val="10"/>
      <name val="SPKolheti"/>
      <family val="1"/>
    </font>
    <font>
      <sz val="9"/>
      <color theme="1"/>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11"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0" fontId="27" fillId="0" borderId="0"/>
    <xf numFmtId="0" fontId="27" fillId="0" borderId="0"/>
    <xf numFmtId="43" fontId="1"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5" fillId="0" borderId="0"/>
    <xf numFmtId="0" fontId="5" fillId="0" borderId="0"/>
  </cellStyleXfs>
  <cellXfs count="451">
    <xf numFmtId="0" fontId="0" fillId="0" borderId="0" xfId="0"/>
    <xf numFmtId="0" fontId="4" fillId="0" borderId="1" xfId="0" applyFont="1" applyBorder="1"/>
    <xf numFmtId="0" fontId="6" fillId="0" borderId="1" xfId="3" applyFont="1" applyFill="1" applyBorder="1" applyAlignment="1" applyProtection="1">
      <alignment horizontal="center" vertical="center"/>
    </xf>
    <xf numFmtId="0" fontId="7" fillId="0" borderId="1" xfId="0" applyFont="1" applyBorder="1"/>
    <xf numFmtId="0" fontId="8" fillId="2" borderId="1" xfId="3" applyFont="1" applyFill="1" applyBorder="1" applyAlignment="1" applyProtection="1">
      <alignment horizontal="right" indent="1"/>
    </xf>
    <xf numFmtId="0" fontId="9" fillId="2" borderId="1" xfId="3" applyFont="1" applyFill="1" applyBorder="1" applyAlignment="1" applyProtection="1">
      <alignment horizontal="left" wrapText="1" indent="1"/>
    </xf>
    <xf numFmtId="0" fontId="10" fillId="0" borderId="1" xfId="0" applyFont="1" applyBorder="1"/>
    <xf numFmtId="0" fontId="1" fillId="0" borderId="0" xfId="0" applyFont="1"/>
    <xf numFmtId="0" fontId="9" fillId="0" borderId="1" xfId="3" applyFont="1" applyFill="1" applyBorder="1" applyAlignment="1" applyProtection="1">
      <alignment horizontal="left" wrapText="1" indent="1"/>
    </xf>
    <xf numFmtId="0" fontId="8" fillId="2" borderId="2" xfId="3" applyFont="1" applyFill="1" applyBorder="1" applyAlignment="1" applyProtection="1">
      <alignment horizontal="right" indent="1"/>
    </xf>
    <xf numFmtId="0" fontId="9" fillId="0" borderId="2" xfId="3" applyFont="1" applyFill="1" applyBorder="1" applyAlignment="1" applyProtection="1">
      <alignment horizontal="left" wrapText="1" indent="1"/>
    </xf>
    <xf numFmtId="0" fontId="11" fillId="0" borderId="1" xfId="4" applyBorder="1" applyAlignment="1" applyProtection="1"/>
    <xf numFmtId="0" fontId="12" fillId="0" borderId="0" xfId="0" applyFont="1" applyBorder="1" applyAlignment="1">
      <alignment wrapText="1"/>
    </xf>
    <xf numFmtId="0" fontId="8" fillId="2" borderId="1" xfId="3" applyFont="1" applyFill="1" applyBorder="1" applyAlignment="1" applyProtection="1"/>
    <xf numFmtId="0" fontId="11" fillId="0" borderId="1" xfId="4" applyFill="1" applyBorder="1" applyAlignment="1" applyProtection="1"/>
    <xf numFmtId="0" fontId="0" fillId="0" borderId="0" xfId="0" applyAlignment="1"/>
    <xf numFmtId="0" fontId="11" fillId="0" borderId="1" xfId="4" applyFill="1" applyBorder="1" applyAlignment="1" applyProtection="1">
      <alignment horizontal="left" vertical="center" wrapText="1"/>
    </xf>
    <xf numFmtId="0" fontId="11" fillId="0" borderId="1" xfId="4" applyFill="1" applyBorder="1" applyAlignment="1" applyProtection="1">
      <alignment horizontal="left" vertical="center"/>
    </xf>
    <xf numFmtId="0" fontId="4" fillId="0" borderId="1" xfId="0" applyFont="1" applyFill="1" applyBorder="1"/>
    <xf numFmtId="0" fontId="4" fillId="0" borderId="0" xfId="0" applyFont="1" applyFill="1"/>
    <xf numFmtId="0" fontId="0" fillId="0" borderId="0" xfId="0" applyFill="1"/>
    <xf numFmtId="0" fontId="4" fillId="0" borderId="0" xfId="0" applyFont="1"/>
    <xf numFmtId="0" fontId="9" fillId="0" borderId="0" xfId="5" applyFont="1" applyFill="1" applyBorder="1" applyProtection="1"/>
    <xf numFmtId="0" fontId="8" fillId="0" borderId="0" xfId="0" applyFont="1"/>
    <xf numFmtId="14" fontId="8" fillId="0" borderId="0" xfId="0" applyNumberFormat="1" applyFont="1"/>
    <xf numFmtId="0" fontId="8" fillId="0" borderId="0" xfId="0" applyFont="1" applyBorder="1"/>
    <xf numFmtId="0" fontId="4" fillId="0" borderId="0" xfId="0" applyFont="1" applyBorder="1"/>
    <xf numFmtId="0" fontId="0" fillId="0" borderId="0" xfId="0" applyBorder="1"/>
    <xf numFmtId="0" fontId="9"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9" fillId="0" borderId="6" xfId="0" applyFont="1" applyFill="1" applyBorder="1" applyAlignment="1">
      <alignment horizontal="right" vertical="center" wrapText="1"/>
    </xf>
    <xf numFmtId="0" fontId="8" fillId="0" borderId="7" xfId="0" applyFont="1" applyFill="1" applyBorder="1" applyAlignment="1">
      <alignment vertical="center" wrapText="1"/>
    </xf>
    <xf numFmtId="0" fontId="8" fillId="0" borderId="7" xfId="0" applyFont="1" applyFill="1" applyBorder="1" applyAlignment="1">
      <alignment horizontal="left" vertical="center" wrapText="1" inden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4" fillId="0" borderId="1" xfId="0" applyNumberFormat="1"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164" fontId="4" fillId="0" borderId="10"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9" fillId="0" borderId="9" xfId="0" applyFont="1" applyFill="1" applyBorder="1" applyAlignment="1">
      <alignment horizontal="right" vertical="center" wrapText="1"/>
    </xf>
    <xf numFmtId="0" fontId="8" fillId="0" borderId="1" xfId="0" applyFont="1" applyFill="1" applyBorder="1" applyAlignment="1">
      <alignment vertical="center" wrapText="1"/>
    </xf>
    <xf numFmtId="164" fontId="8" fillId="0" borderId="1" xfId="0" applyNumberFormat="1" applyFont="1" applyFill="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0" borderId="10" xfId="0" applyNumberFormat="1" applyFont="1" applyFill="1" applyBorder="1" applyAlignment="1" applyProtection="1">
      <alignment vertical="center" wrapText="1"/>
      <protection locked="0"/>
    </xf>
    <xf numFmtId="164" fontId="14" fillId="0" borderId="1" xfId="0" applyNumberFormat="1" applyFont="1" applyFill="1" applyBorder="1" applyAlignment="1" applyProtection="1">
      <alignment vertical="center" wrapText="1"/>
      <protection locked="0"/>
    </xf>
    <xf numFmtId="0" fontId="9" fillId="0" borderId="9" xfId="0" applyFont="1" applyBorder="1" applyAlignment="1">
      <alignment horizontal="right" vertical="center" wrapText="1"/>
    </xf>
    <xf numFmtId="0" fontId="8" fillId="0" borderId="1" xfId="0" applyFont="1" applyBorder="1" applyAlignment="1">
      <alignment vertical="center" wrapText="1"/>
    </xf>
    <xf numFmtId="0" fontId="9" fillId="3" borderId="9" xfId="0" applyFont="1" applyFill="1" applyBorder="1" applyAlignment="1">
      <alignment horizontal="right" vertical="center"/>
    </xf>
    <xf numFmtId="0" fontId="9" fillId="3" borderId="1" xfId="0" applyFont="1" applyFill="1" applyBorder="1" applyAlignment="1">
      <alignment vertical="center"/>
    </xf>
    <xf numFmtId="165" fontId="0" fillId="0" borderId="0" xfId="1" applyNumberFormat="1" applyFont="1"/>
    <xf numFmtId="10" fontId="0" fillId="0" borderId="0" xfId="0" applyNumberFormat="1"/>
    <xf numFmtId="9" fontId="0" fillId="0" borderId="0" xfId="0" applyNumberFormat="1"/>
    <xf numFmtId="0" fontId="9" fillId="3" borderId="11" xfId="0" applyFont="1" applyFill="1" applyBorder="1" applyAlignment="1">
      <alignment horizontal="right" vertical="center"/>
    </xf>
    <xf numFmtId="0" fontId="9" fillId="3" borderId="12" xfId="0" applyFont="1" applyFill="1" applyBorder="1" applyAlignment="1">
      <alignment vertical="center"/>
    </xf>
    <xf numFmtId="0" fontId="9" fillId="0" borderId="0" xfId="0" applyFont="1" applyAlignment="1">
      <alignment horizontal="right"/>
    </xf>
    <xf numFmtId="0" fontId="9" fillId="0" borderId="0" xfId="0" applyFont="1"/>
    <xf numFmtId="14" fontId="4" fillId="0" borderId="0" xfId="0" applyNumberFormat="1" applyFont="1"/>
    <xf numFmtId="0" fontId="9" fillId="0" borderId="0" xfId="0" applyFont="1" applyFill="1" applyBorder="1" applyProtection="1"/>
    <xf numFmtId="0" fontId="13" fillId="0" borderId="0" xfId="0" applyFont="1" applyFill="1" applyBorder="1" applyAlignment="1" applyProtection="1">
      <alignment horizontal="center" vertical="center"/>
    </xf>
    <xf numFmtId="10" fontId="9" fillId="0" borderId="0" xfId="6" applyNumberFormat="1" applyFont="1" applyFill="1" applyBorder="1" applyProtection="1">
      <protection locked="0"/>
    </xf>
    <xf numFmtId="0" fontId="19" fillId="0" borderId="0" xfId="0" applyFont="1" applyFill="1" applyBorder="1" applyProtection="1">
      <protection locked="0"/>
    </xf>
    <xf numFmtId="0" fontId="13" fillId="0" borderId="13" xfId="0" applyFont="1" applyFill="1" applyBorder="1" applyAlignment="1" applyProtection="1">
      <alignment horizontal="center" vertical="center"/>
    </xf>
    <xf numFmtId="0" fontId="9" fillId="0" borderId="14" xfId="0" applyFont="1" applyFill="1" applyBorder="1" applyProtection="1"/>
    <xf numFmtId="0" fontId="9"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9" fillId="0" borderId="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9" xfId="0" applyFont="1" applyFill="1" applyBorder="1" applyAlignment="1" applyProtection="1">
      <alignment horizontal="left" indent="1"/>
    </xf>
    <xf numFmtId="165" fontId="9" fillId="0" borderId="1" xfId="1" applyNumberFormat="1" applyFont="1" applyFill="1" applyBorder="1" applyAlignment="1" applyProtection="1">
      <alignment horizontal="right"/>
    </xf>
    <xf numFmtId="165" fontId="9" fillId="4" borderId="1" xfId="1" applyNumberFormat="1" applyFont="1" applyFill="1" applyBorder="1" applyAlignment="1" applyProtection="1">
      <alignment horizontal="right"/>
    </xf>
    <xf numFmtId="165" fontId="9" fillId="4" borderId="10" xfId="1" applyNumberFormat="1" applyFont="1" applyFill="1" applyBorder="1" applyAlignment="1" applyProtection="1">
      <alignment horizontal="right"/>
    </xf>
    <xf numFmtId="0" fontId="9" fillId="0" borderId="19" xfId="0" applyFont="1" applyFill="1" applyBorder="1" applyAlignment="1" applyProtection="1">
      <alignment horizontal="left" indent="2"/>
    </xf>
    <xf numFmtId="165" fontId="20" fillId="0" borderId="1" xfId="1" applyNumberFormat="1" applyFont="1" applyFill="1" applyBorder="1" applyAlignment="1" applyProtection="1">
      <alignment horizontal="right"/>
    </xf>
    <xf numFmtId="165" fontId="20" fillId="4" borderId="1" xfId="1" applyNumberFormat="1" applyFont="1" applyFill="1" applyBorder="1" applyAlignment="1" applyProtection="1">
      <alignment horizontal="right"/>
    </xf>
    <xf numFmtId="0" fontId="13" fillId="0" borderId="19" xfId="0" applyFont="1" applyFill="1" applyBorder="1" applyAlignment="1" applyProtection="1"/>
    <xf numFmtId="165" fontId="9" fillId="0" borderId="1" xfId="1" applyNumberFormat="1" applyFont="1" applyFill="1" applyBorder="1" applyAlignment="1" applyProtection="1">
      <alignment horizontal="right"/>
      <protection locked="0"/>
    </xf>
    <xf numFmtId="165" fontId="9" fillId="0" borderId="10" xfId="1" applyNumberFormat="1" applyFont="1" applyFill="1" applyBorder="1" applyAlignment="1" applyProtection="1">
      <alignment horizontal="right"/>
    </xf>
    <xf numFmtId="0" fontId="9" fillId="0" borderId="11" xfId="0" applyFont="1" applyFill="1" applyBorder="1" applyAlignment="1" applyProtection="1">
      <alignment horizontal="left" indent="1"/>
    </xf>
    <xf numFmtId="0" fontId="13" fillId="0" borderId="20" xfId="0" applyFont="1" applyFill="1" applyBorder="1" applyAlignment="1" applyProtection="1"/>
    <xf numFmtId="165" fontId="9" fillId="4" borderId="12" xfId="1" applyNumberFormat="1" applyFont="1" applyFill="1" applyBorder="1" applyAlignment="1" applyProtection="1">
      <alignment horizontal="right"/>
    </xf>
    <xf numFmtId="165" fontId="9" fillId="4" borderId="21" xfId="1" applyNumberFormat="1" applyFont="1" applyFill="1" applyBorder="1" applyAlignment="1" applyProtection="1">
      <alignment horizontal="right"/>
    </xf>
    <xf numFmtId="165" fontId="4" fillId="0" borderId="0" xfId="0" applyNumberFormat="1" applyFont="1"/>
    <xf numFmtId="0" fontId="21" fillId="0" borderId="0" xfId="0" applyFont="1" applyAlignment="1">
      <alignment vertical="center"/>
    </xf>
    <xf numFmtId="0" fontId="9" fillId="0" borderId="0" xfId="0" applyFont="1" applyFill="1" applyBorder="1"/>
    <xf numFmtId="0" fontId="13" fillId="0" borderId="0" xfId="0" applyFont="1" applyAlignment="1">
      <alignment horizontal="center"/>
    </xf>
    <xf numFmtId="0" fontId="9" fillId="0" borderId="0" xfId="0" applyFont="1" applyFill="1" applyBorder="1" applyProtection="1">
      <protection locked="0"/>
    </xf>
    <xf numFmtId="0" fontId="19" fillId="0" borderId="0" xfId="0" applyFont="1" applyFill="1"/>
    <xf numFmtId="0" fontId="22" fillId="0" borderId="13" xfId="0" applyFont="1" applyFill="1" applyBorder="1" applyAlignment="1">
      <alignment horizontal="left" vertical="center" indent="1"/>
    </xf>
    <xf numFmtId="0" fontId="22" fillId="0" borderId="14"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0"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5" fontId="22" fillId="0" borderId="1" xfId="1" applyNumberFormat="1" applyFont="1" applyFill="1" applyBorder="1" applyAlignment="1" applyProtection="1">
      <alignment horizontal="right"/>
      <protection locked="0"/>
    </xf>
    <xf numFmtId="165" fontId="24" fillId="0" borderId="1" xfId="1" applyNumberFormat="1" applyFont="1" applyFill="1" applyBorder="1" applyAlignment="1" applyProtection="1">
      <alignment horizontal="right"/>
      <protection locked="0"/>
    </xf>
    <xf numFmtId="165" fontId="22" fillId="4" borderId="1" xfId="1" applyNumberFormat="1" applyFont="1" applyFill="1" applyBorder="1" applyAlignment="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5" fontId="25" fillId="0" borderId="0" xfId="0" applyNumberFormat="1" applyFont="1"/>
    <xf numFmtId="0" fontId="23" fillId="0" borderId="1" xfId="0" applyFont="1" applyFill="1" applyBorder="1" applyAlignment="1">
      <alignment horizontal="left"/>
    </xf>
    <xf numFmtId="165" fontId="23" fillId="0" borderId="1" xfId="1" applyNumberFormat="1" applyFont="1" applyFill="1" applyBorder="1" applyAlignment="1">
      <alignment horizontal="center"/>
    </xf>
    <xf numFmtId="165" fontId="23" fillId="0" borderId="10" xfId="1" applyNumberFormat="1" applyFont="1" applyFill="1" applyBorder="1" applyAlignment="1">
      <alignment horizontal="center"/>
    </xf>
    <xf numFmtId="0" fontId="22" fillId="0" borderId="1" xfId="0" applyFont="1" applyFill="1" applyBorder="1" applyAlignment="1">
      <alignment horizontal="left" indent="1"/>
    </xf>
    <xf numFmtId="165" fontId="22" fillId="4" borderId="1" xfId="1" applyNumberFormat="1" applyFont="1" applyFill="1" applyBorder="1" applyAlignment="1" applyProtection="1">
      <alignment horizontal="right"/>
    </xf>
    <xf numFmtId="165" fontId="22" fillId="0" borderId="10" xfId="1" applyNumberFormat="1" applyFont="1" applyFill="1" applyBorder="1" applyAlignment="1" applyProtection="1">
      <alignment horizontal="right"/>
      <protection locked="0"/>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1" xfId="0" applyFont="1" applyFill="1" applyBorder="1" applyAlignment="1">
      <alignment horizontal="left" vertical="center" indent="1"/>
    </xf>
    <xf numFmtId="0" fontId="23" fillId="0" borderId="12" xfId="0" applyFont="1" applyFill="1" applyBorder="1" applyAlignment="1"/>
    <xf numFmtId="165" fontId="22" fillId="4" borderId="12" xfId="1" applyNumberFormat="1" applyFont="1" applyFill="1" applyBorder="1" applyAlignment="1">
      <alignment horizontal="right"/>
    </xf>
    <xf numFmtId="0" fontId="0" fillId="0" borderId="0" xfId="0" quotePrefix="1"/>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5" fontId="0" fillId="0" borderId="0" xfId="1" applyNumberFormat="1" applyFont="1" applyFill="1"/>
    <xf numFmtId="0" fontId="8"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0" fontId="4" fillId="0" borderId="11" xfId="0" applyFont="1" applyFill="1" applyBorder="1" applyAlignment="1">
      <alignment horizontal="center" vertical="center"/>
    </xf>
    <xf numFmtId="0" fontId="14" fillId="0" borderId="26" xfId="0" applyNumberFormat="1" applyFont="1" applyFill="1" applyBorder="1" applyAlignment="1">
      <alignment vertical="center" wrapText="1"/>
    </xf>
    <xf numFmtId="165" fontId="9" fillId="0" borderId="12" xfId="1" applyNumberFormat="1" applyFont="1" applyFill="1" applyBorder="1" applyAlignment="1" applyProtection="1">
      <alignment horizontal="right"/>
    </xf>
    <xf numFmtId="0" fontId="25" fillId="0" borderId="0" xfId="0" applyFont="1" applyBorder="1"/>
    <xf numFmtId="0" fontId="4"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4" fillId="0" borderId="6" xfId="0" applyFont="1" applyBorder="1" applyAlignment="1">
      <alignment vertical="center" wrapText="1"/>
    </xf>
    <xf numFmtId="0" fontId="15"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vertical="center" wrapText="1"/>
    </xf>
    <xf numFmtId="3" fontId="26" fillId="4" borderId="1" xfId="0" applyNumberFormat="1" applyFont="1" applyFill="1" applyBorder="1" applyAlignment="1">
      <alignment vertical="center" wrapText="1"/>
    </xf>
    <xf numFmtId="3" fontId="26" fillId="4" borderId="10" xfId="0" applyNumberFormat="1" applyFont="1" applyFill="1" applyBorder="1" applyAlignment="1">
      <alignment vertical="center" wrapText="1"/>
    </xf>
    <xf numFmtId="14" fontId="8" fillId="2" borderId="1" xfId="7" quotePrefix="1" applyNumberFormat="1" applyFont="1" applyFill="1" applyBorder="1" applyAlignment="1" applyProtection="1">
      <alignment horizontal="left" vertical="center" wrapText="1" indent="2"/>
      <protection locked="0"/>
    </xf>
    <xf numFmtId="3" fontId="26" fillId="0" borderId="1" xfId="0" applyNumberFormat="1" applyFont="1" applyBorder="1" applyAlignment="1">
      <alignment vertical="center" wrapText="1"/>
    </xf>
    <xf numFmtId="14" fontId="8" fillId="2" borderId="1" xfId="7" quotePrefix="1" applyNumberFormat="1" applyFont="1" applyFill="1" applyBorder="1" applyAlignment="1" applyProtection="1">
      <alignment horizontal="left" vertical="center" wrapText="1" indent="3"/>
      <protection locked="0"/>
    </xf>
    <xf numFmtId="3" fontId="26" fillId="0" borderId="1" xfId="0" applyNumberFormat="1" applyFont="1" applyFill="1" applyBorder="1" applyAlignment="1">
      <alignment vertical="center" wrapText="1"/>
    </xf>
    <xf numFmtId="0" fontId="3" fillId="0" borderId="1" xfId="0" applyFont="1" applyFill="1" applyBorder="1" applyAlignment="1">
      <alignment horizontal="left" vertical="center" wrapText="1" indent="2"/>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3" fontId="26" fillId="4" borderId="12" xfId="0" applyNumberFormat="1" applyFont="1" applyFill="1" applyBorder="1" applyAlignment="1">
      <alignment vertical="center" wrapText="1"/>
    </xf>
    <xf numFmtId="3" fontId="26" fillId="4" borderId="21" xfId="0" applyNumberFormat="1" applyFont="1" applyFill="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26" fillId="0" borderId="0" xfId="0" applyFont="1" applyBorder="1" applyAlignment="1">
      <alignment vertical="center" wrapText="1"/>
    </xf>
    <xf numFmtId="0" fontId="4" fillId="0" borderId="0" xfId="0" applyFont="1" applyAlignment="1">
      <alignment wrapText="1"/>
    </xf>
    <xf numFmtId="0" fontId="4" fillId="0" borderId="0" xfId="0" applyFont="1" applyFill="1" applyBorder="1" applyAlignment="1">
      <alignment wrapText="1"/>
    </xf>
    <xf numFmtId="0" fontId="9" fillId="0" borderId="0" xfId="0" applyFont="1" applyBorder="1" applyAlignment="1">
      <alignment horizontal="left" wrapText="1"/>
    </xf>
    <xf numFmtId="0" fontId="13" fillId="0" borderId="0" xfId="0" applyFont="1" applyFill="1" applyBorder="1" applyAlignment="1">
      <alignment horizontal="center" wrapText="1"/>
    </xf>
    <xf numFmtId="0" fontId="9" fillId="0" borderId="0" xfId="0" applyFont="1" applyBorder="1" applyAlignment="1">
      <alignment horizontal="right" wrapText="1"/>
    </xf>
    <xf numFmtId="0" fontId="9" fillId="0" borderId="13" xfId="0" applyFont="1" applyBorder="1"/>
    <xf numFmtId="0" fontId="9" fillId="0" borderId="9" xfId="0" applyFont="1" applyBorder="1" applyAlignment="1">
      <alignment vertical="center"/>
    </xf>
    <xf numFmtId="0" fontId="28" fillId="0" borderId="19" xfId="0" applyFont="1" applyBorder="1" applyAlignment="1">
      <alignment wrapText="1"/>
    </xf>
    <xf numFmtId="0" fontId="4" fillId="0" borderId="27" xfId="0" applyFont="1" applyBorder="1" applyAlignment="1"/>
    <xf numFmtId="0" fontId="9" fillId="0" borderId="19" xfId="0" applyFont="1" applyBorder="1" applyAlignment="1">
      <alignment wrapText="1"/>
    </xf>
    <xf numFmtId="0" fontId="9" fillId="0" borderId="27" xfId="0" applyFont="1" applyBorder="1" applyAlignment="1"/>
    <xf numFmtId="0" fontId="9" fillId="0" borderId="27" xfId="0" applyFont="1" applyBorder="1" applyAlignment="1">
      <alignment wrapText="1"/>
    </xf>
    <xf numFmtId="9" fontId="4" fillId="0" borderId="27" xfId="0" applyNumberFormat="1" applyFont="1" applyBorder="1" applyAlignment="1"/>
    <xf numFmtId="0" fontId="9" fillId="0" borderId="28" xfId="0" applyFont="1" applyBorder="1" applyAlignment="1">
      <alignment vertical="center"/>
    </xf>
    <xf numFmtId="0" fontId="28" fillId="0" borderId="3" xfId="0" applyFont="1" applyBorder="1" applyAlignment="1">
      <alignment wrapText="1"/>
    </xf>
    <xf numFmtId="9" fontId="4" fillId="0" borderId="29" xfId="0" applyNumberFormat="1" applyFont="1" applyBorder="1" applyAlignment="1"/>
    <xf numFmtId="0" fontId="9" fillId="0" borderId="11" xfId="0" applyFont="1" applyBorder="1"/>
    <xf numFmtId="0" fontId="28" fillId="0" borderId="20" xfId="0" applyFont="1" applyBorder="1" applyAlignment="1">
      <alignment wrapText="1"/>
    </xf>
    <xf numFmtId="0" fontId="4" fillId="0" borderId="30" xfId="0" applyFont="1" applyBorder="1" applyAlignment="1"/>
    <xf numFmtId="0" fontId="9" fillId="0" borderId="0" xfId="5" applyFont="1" applyFill="1" applyBorder="1" applyAlignment="1" applyProtection="1"/>
    <xf numFmtId="0" fontId="9" fillId="0" borderId="5" xfId="5" applyFont="1" applyFill="1" applyBorder="1" applyAlignment="1" applyProtection="1"/>
    <xf numFmtId="0" fontId="14" fillId="0" borderId="5" xfId="5" applyFont="1" applyFill="1" applyBorder="1" applyAlignment="1" applyProtection="1">
      <alignment horizontal="left" vertical="center"/>
    </xf>
    <xf numFmtId="0" fontId="9" fillId="0" borderId="0" xfId="5" applyFont="1" applyFill="1" applyBorder="1" applyAlignment="1" applyProtection="1">
      <alignment horizontal="left"/>
    </xf>
    <xf numFmtId="0" fontId="19" fillId="0" borderId="0" xfId="5" applyFont="1" applyFill="1" applyBorder="1" applyAlignment="1" applyProtection="1">
      <alignment horizontal="right"/>
    </xf>
    <xf numFmtId="0" fontId="8" fillId="0" borderId="7" xfId="5" applyFont="1" applyFill="1" applyBorder="1" applyAlignment="1" applyProtection="1">
      <alignment vertical="center"/>
    </xf>
    <xf numFmtId="0" fontId="14" fillId="0" borderId="14" xfId="5" applyFont="1" applyFill="1" applyBorder="1" applyAlignment="1" applyProtection="1">
      <alignment horizontal="center" vertical="center"/>
    </xf>
    <xf numFmtId="0" fontId="14" fillId="0" borderId="24" xfId="5" applyFont="1" applyFill="1" applyBorder="1" applyAlignment="1" applyProtection="1">
      <alignment horizontal="center" vertical="center"/>
    </xf>
    <xf numFmtId="0" fontId="8" fillId="0" borderId="0" xfId="5" applyFont="1" applyFill="1" applyBorder="1" applyAlignment="1" applyProtection="1">
      <alignment vertical="center"/>
    </xf>
    <xf numFmtId="0" fontId="0" fillId="0" borderId="1" xfId="0" applyBorder="1"/>
    <xf numFmtId="0" fontId="0" fillId="0" borderId="0" xfId="0" applyFont="1" applyFill="1"/>
    <xf numFmtId="0" fontId="4" fillId="0" borderId="33" xfId="0" applyFont="1" applyFill="1" applyBorder="1" applyAlignment="1">
      <alignment horizontal="center" vertical="center" wrapText="1"/>
    </xf>
    <xf numFmtId="0" fontId="4" fillId="0" borderId="25" xfId="0" applyFont="1" applyBorder="1" applyAlignment="1">
      <alignment vertical="center" wrapText="1"/>
    </xf>
    <xf numFmtId="165" fontId="4" fillId="0" borderId="1" xfId="1" applyNumberFormat="1" applyFont="1" applyBorder="1" applyAlignment="1">
      <alignment horizontal="center" vertical="center"/>
    </xf>
    <xf numFmtId="0" fontId="29" fillId="0" borderId="25" xfId="0" applyFont="1" applyBorder="1" applyAlignment="1">
      <alignment vertical="center" wrapText="1"/>
    </xf>
    <xf numFmtId="165" fontId="18" fillId="0" borderId="1" xfId="1" applyNumberFormat="1" applyFont="1" applyBorder="1" applyAlignment="1">
      <alignment horizontal="center" vertical="center"/>
    </xf>
    <xf numFmtId="0" fontId="0" fillId="0" borderId="26" xfId="0" applyBorder="1"/>
    <xf numFmtId="0" fontId="15" fillId="4" borderId="26" xfId="0" applyFont="1" applyFill="1" applyBorder="1" applyAlignment="1">
      <alignment vertical="center" wrapText="1"/>
    </xf>
    <xf numFmtId="164" fontId="15" fillId="4" borderId="12"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165" fontId="4" fillId="0" borderId="0" xfId="1" applyNumberFormat="1" applyFont="1"/>
    <xf numFmtId="0" fontId="14" fillId="0" borderId="0" xfId="5" applyFont="1" applyFill="1" applyBorder="1" applyAlignment="1" applyProtection="1">
      <alignment horizontal="center" vertical="center" wrapText="1"/>
    </xf>
    <xf numFmtId="0" fontId="0" fillId="0" borderId="13" xfId="0" applyBorder="1" applyAlignment="1">
      <alignment horizontal="center" vertical="center"/>
    </xf>
    <xf numFmtId="0" fontId="15" fillId="4" borderId="16" xfId="0" applyFont="1" applyFill="1" applyBorder="1" applyAlignment="1">
      <alignment wrapText="1"/>
    </xf>
    <xf numFmtId="164" fontId="0" fillId="4" borderId="24" xfId="0" applyNumberFormat="1" applyFill="1" applyBorder="1" applyAlignment="1">
      <alignment horizontal="center" vertical="center"/>
    </xf>
    <xf numFmtId="0" fontId="4" fillId="0" borderId="9" xfId="0" applyFont="1" applyBorder="1" applyAlignment="1">
      <alignment horizontal="center" vertical="center"/>
    </xf>
    <xf numFmtId="0" fontId="4" fillId="0" borderId="31" xfId="0" applyFont="1" applyFill="1" applyBorder="1" applyAlignment="1"/>
    <xf numFmtId="164" fontId="0" fillId="0" borderId="10" xfId="0" applyNumberFormat="1" applyBorder="1" applyAlignment="1"/>
    <xf numFmtId="0" fontId="4" fillId="0" borderId="9" xfId="0" applyFont="1" applyBorder="1" applyAlignment="1">
      <alignment horizontal="center" vertical="center" wrapText="1"/>
    </xf>
    <xf numFmtId="0" fontId="4" fillId="0" borderId="31" xfId="0" applyFont="1" applyFill="1" applyBorder="1" applyAlignment="1">
      <alignment vertical="center" wrapText="1"/>
    </xf>
    <xf numFmtId="164" fontId="0" fillId="0" borderId="10" xfId="0" applyNumberFormat="1" applyBorder="1" applyAlignment="1">
      <alignment wrapText="1"/>
    </xf>
    <xf numFmtId="0" fontId="0" fillId="0" borderId="0" xfId="0" applyAlignment="1">
      <alignment wrapText="1"/>
    </xf>
    <xf numFmtId="0" fontId="15" fillId="4" borderId="31" xfId="0" applyFont="1" applyFill="1" applyBorder="1" applyAlignment="1">
      <alignment wrapText="1"/>
    </xf>
    <xf numFmtId="164" fontId="0" fillId="4" borderId="10" xfId="0" applyNumberFormat="1" applyFill="1" applyBorder="1" applyAlignment="1">
      <alignment horizontal="center" vertical="center" wrapText="1"/>
    </xf>
    <xf numFmtId="0" fontId="4" fillId="0" borderId="31" xfId="0" applyFont="1" applyFill="1" applyBorder="1" applyAlignment="1">
      <alignment vertical="center"/>
    </xf>
    <xf numFmtId="0" fontId="4" fillId="0" borderId="31" xfId="0" applyFont="1" applyBorder="1" applyAlignment="1">
      <alignment wrapText="1"/>
    </xf>
    <xf numFmtId="0" fontId="4" fillId="0" borderId="11" xfId="0" applyFont="1" applyBorder="1" applyAlignment="1">
      <alignment horizontal="center" vertical="center" wrapText="1"/>
    </xf>
    <xf numFmtId="0" fontId="15" fillId="4" borderId="34" xfId="0" applyFont="1" applyFill="1" applyBorder="1" applyAlignment="1">
      <alignment wrapText="1"/>
    </xf>
    <xf numFmtId="164" fontId="0" fillId="4" borderId="21" xfId="0" applyNumberFormat="1" applyFill="1" applyBorder="1" applyAlignment="1">
      <alignment horizontal="center" vertical="center" wrapText="1"/>
    </xf>
    <xf numFmtId="167" fontId="0" fillId="0" borderId="0" xfId="0" applyNumberFormat="1"/>
    <xf numFmtId="0" fontId="4" fillId="0" borderId="0" xfId="0" applyFont="1" applyAlignment="1">
      <alignment horizontal="center" vertical="center"/>
    </xf>
    <xf numFmtId="0" fontId="15" fillId="0" borderId="0" xfId="0" applyFont="1" applyAlignment="1">
      <alignment horizontal="center"/>
    </xf>
    <xf numFmtId="0" fontId="8" fillId="0" borderId="13" xfId="8" applyFont="1" applyFill="1" applyBorder="1" applyAlignment="1" applyProtection="1">
      <alignment horizontal="center" vertical="center"/>
      <protection locked="0"/>
    </xf>
    <xf numFmtId="0" fontId="14" fillId="2" borderId="23" xfId="8" applyFont="1" applyFill="1" applyBorder="1" applyAlignment="1" applyProtection="1">
      <alignment horizontal="center" vertical="center" wrapText="1"/>
      <protection locked="0"/>
    </xf>
    <xf numFmtId="165" fontId="8" fillId="2" borderId="24" xfId="9" applyNumberFormat="1" applyFont="1" applyFill="1" applyBorder="1" applyAlignment="1" applyProtection="1">
      <alignment horizontal="center" vertical="center"/>
      <protection locked="0"/>
    </xf>
    <xf numFmtId="0" fontId="8" fillId="0" borderId="9" xfId="8" applyFont="1" applyFill="1" applyBorder="1" applyAlignment="1" applyProtection="1">
      <alignment horizontal="center" vertical="center"/>
      <protection locked="0"/>
    </xf>
    <xf numFmtId="0" fontId="15" fillId="4" borderId="1" xfId="0" applyFont="1" applyFill="1" applyBorder="1" applyAlignment="1">
      <alignment horizontal="left" vertical="top" wrapText="1"/>
    </xf>
    <xf numFmtId="165" fontId="8" fillId="4" borderId="10" xfId="1" applyNumberFormat="1" applyFont="1" applyFill="1" applyBorder="1" applyAlignment="1" applyProtection="1">
      <alignment vertical="top"/>
    </xf>
    <xf numFmtId="0" fontId="8" fillId="2" borderId="7" xfId="10" applyFont="1" applyFill="1" applyBorder="1" applyAlignment="1" applyProtection="1">
      <alignment vertical="center" wrapText="1"/>
      <protection locked="0"/>
    </xf>
    <xf numFmtId="165" fontId="8" fillId="2" borderId="10" xfId="1" applyNumberFormat="1" applyFont="1" applyFill="1" applyBorder="1" applyAlignment="1" applyProtection="1">
      <alignment vertical="top"/>
      <protection locked="0"/>
    </xf>
    <xf numFmtId="0" fontId="8" fillId="2" borderId="1" xfId="10" applyFont="1" applyFill="1" applyBorder="1" applyAlignment="1" applyProtection="1">
      <alignment vertical="center" wrapText="1"/>
      <protection locked="0"/>
    </xf>
    <xf numFmtId="0" fontId="8" fillId="2" borderId="2" xfId="10" applyFont="1" applyFill="1" applyBorder="1" applyAlignment="1" applyProtection="1">
      <alignment vertical="center" wrapText="1"/>
      <protection locked="0"/>
    </xf>
    <xf numFmtId="165" fontId="18" fillId="2" borderId="10" xfId="1" applyNumberFormat="1" applyFont="1" applyFill="1" applyBorder="1" applyAlignment="1" applyProtection="1">
      <alignment vertical="top"/>
      <protection locked="0"/>
    </xf>
    <xf numFmtId="165" fontId="8" fillId="4" borderId="10" xfId="1" applyNumberFormat="1" applyFont="1" applyFill="1" applyBorder="1" applyAlignment="1" applyProtection="1">
      <alignment vertical="top" wrapText="1"/>
    </xf>
    <xf numFmtId="0" fontId="8" fillId="2" borderId="7" xfId="10" applyFont="1" applyFill="1" applyBorder="1" applyAlignment="1" applyProtection="1">
      <alignment horizontal="left" vertical="center" wrapText="1"/>
      <protection locked="0"/>
    </xf>
    <xf numFmtId="165" fontId="8" fillId="2" borderId="10" xfId="1" applyNumberFormat="1" applyFont="1" applyFill="1" applyBorder="1" applyAlignment="1" applyProtection="1">
      <alignment vertical="top" wrapText="1"/>
      <protection locked="0"/>
    </xf>
    <xf numFmtId="0" fontId="8" fillId="2" borderId="1" xfId="10" applyFont="1" applyFill="1" applyBorder="1" applyAlignment="1" applyProtection="1">
      <alignment horizontal="left" vertical="center" wrapText="1"/>
      <protection locked="0"/>
    </xf>
    <xf numFmtId="0" fontId="8" fillId="2" borderId="1" xfId="8" applyFont="1" applyFill="1" applyBorder="1" applyAlignment="1" applyProtection="1">
      <alignment horizontal="left" vertical="center" wrapText="1"/>
      <protection locked="0"/>
    </xf>
    <xf numFmtId="0" fontId="8" fillId="0" borderId="1" xfId="10" applyFont="1" applyBorder="1" applyAlignment="1" applyProtection="1">
      <alignment horizontal="left" vertical="center" wrapText="1"/>
      <protection locked="0"/>
    </xf>
    <xf numFmtId="0" fontId="8" fillId="0" borderId="0" xfId="10" applyFont="1" applyBorder="1" applyAlignment="1" applyProtection="1">
      <alignment wrapText="1"/>
      <protection locked="0"/>
    </xf>
    <xf numFmtId="0" fontId="8" fillId="0" borderId="1" xfId="10" applyFont="1" applyFill="1" applyBorder="1" applyAlignment="1" applyProtection="1">
      <alignment horizontal="left" vertical="center" wrapText="1"/>
      <protection locked="0"/>
    </xf>
    <xf numFmtId="1" fontId="14" fillId="4" borderId="1" xfId="9" applyNumberFormat="1" applyFont="1" applyFill="1" applyBorder="1" applyAlignment="1" applyProtection="1">
      <alignment horizontal="left" vertical="top" wrapText="1"/>
    </xf>
    <xf numFmtId="0" fontId="8" fillId="0" borderId="9" xfId="8" applyFont="1" applyFill="1" applyBorder="1" applyAlignment="1" applyProtection="1">
      <alignment horizontal="center" vertical="center" wrapText="1"/>
      <protection locked="0"/>
    </xf>
    <xf numFmtId="0" fontId="14" fillId="2" borderId="1" xfId="10" applyFont="1" applyFill="1" applyBorder="1" applyAlignment="1" applyProtection="1">
      <alignment vertical="center" wrapText="1"/>
      <protection locked="0"/>
    </xf>
    <xf numFmtId="165" fontId="0" fillId="0" borderId="0" xfId="1" applyNumberFormat="1" applyFont="1" applyAlignment="1">
      <alignment wrapText="1"/>
    </xf>
    <xf numFmtId="165" fontId="8" fillId="4" borderId="10" xfId="1" applyNumberFormat="1" applyFont="1" applyFill="1" applyBorder="1" applyAlignment="1" applyProtection="1">
      <alignment vertical="top" wrapText="1"/>
      <protection locked="0"/>
    </xf>
    <xf numFmtId="165" fontId="0" fillId="0" borderId="0" xfId="0" applyNumberFormat="1" applyAlignment="1">
      <alignment wrapText="1"/>
    </xf>
    <xf numFmtId="0" fontId="8" fillId="2" borderId="1" xfId="10" applyFont="1" applyFill="1" applyBorder="1" applyAlignment="1" applyProtection="1">
      <alignment horizontal="left" vertical="center" wrapText="1" indent="3"/>
      <protection locked="0"/>
    </xf>
    <xf numFmtId="0" fontId="14" fillId="4" borderId="1" xfId="10" applyFont="1" applyFill="1" applyBorder="1" applyAlignment="1" applyProtection="1">
      <alignment vertical="center" wrapText="1"/>
      <protection locked="0"/>
    </xf>
    <xf numFmtId="0" fontId="8" fillId="0" borderId="11" xfId="8" applyFont="1" applyFill="1" applyBorder="1" applyAlignment="1" applyProtection="1">
      <alignment horizontal="center" vertical="center" wrapText="1"/>
      <protection locked="0"/>
    </xf>
    <xf numFmtId="0" fontId="14" fillId="4" borderId="12" xfId="10" applyFont="1" applyFill="1" applyBorder="1" applyAlignment="1" applyProtection="1">
      <alignment vertical="center" wrapText="1"/>
      <protection locked="0"/>
    </xf>
    <xf numFmtId="165" fontId="8" fillId="4" borderId="21" xfId="1" applyNumberFormat="1" applyFont="1" applyFill="1" applyBorder="1" applyAlignment="1" applyProtection="1">
      <alignment vertical="top" wrapText="1"/>
    </xf>
    <xf numFmtId="0" fontId="13" fillId="0" borderId="0" xfId="5" applyFont="1" applyFill="1" applyBorder="1" applyProtection="1"/>
    <xf numFmtId="0" fontId="7" fillId="0" borderId="0" xfId="0" applyFont="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7" fillId="0" borderId="9" xfId="0" applyFont="1" applyBorder="1" applyAlignment="1">
      <alignment horizontal="center"/>
    </xf>
    <xf numFmtId="0" fontId="7" fillId="0" borderId="37" xfId="0" applyFont="1" applyBorder="1" applyAlignment="1">
      <alignment wrapText="1"/>
    </xf>
    <xf numFmtId="164" fontId="7" fillId="0" borderId="38" xfId="0" applyNumberFormat="1" applyFont="1" applyBorder="1" applyAlignment="1">
      <alignment vertical="center"/>
    </xf>
    <xf numFmtId="166" fontId="7" fillId="0" borderId="39" xfId="0" applyNumberFormat="1" applyFont="1" applyBorder="1" applyAlignment="1">
      <alignment horizontal="center"/>
    </xf>
    <xf numFmtId="166" fontId="0" fillId="0" borderId="0" xfId="0" applyNumberFormat="1" applyBorder="1" applyAlignment="1">
      <alignment horizontal="center"/>
    </xf>
    <xf numFmtId="0" fontId="7" fillId="0" borderId="40" xfId="0" applyFont="1" applyBorder="1" applyAlignment="1">
      <alignment wrapText="1"/>
    </xf>
    <xf numFmtId="166" fontId="7" fillId="0" borderId="41" xfId="0" applyNumberFormat="1" applyFont="1" applyBorder="1" applyAlignment="1">
      <alignment horizontal="center"/>
    </xf>
    <xf numFmtId="164" fontId="21" fillId="0" borderId="42" xfId="0" applyNumberFormat="1" applyFont="1" applyBorder="1" applyAlignment="1">
      <alignment vertical="center"/>
    </xf>
    <xf numFmtId="166" fontId="21" fillId="0" borderId="41" xfId="0" applyNumberFormat="1" applyFont="1" applyBorder="1" applyAlignment="1">
      <alignment horizontal="center"/>
    </xf>
    <xf numFmtId="166" fontId="30" fillId="0" borderId="0" xfId="0" applyNumberFormat="1" applyFont="1" applyBorder="1" applyAlignment="1">
      <alignment horizontal="center"/>
    </xf>
    <xf numFmtId="0" fontId="21" fillId="0" borderId="40" xfId="0" applyFont="1" applyBorder="1" applyAlignment="1">
      <alignment wrapText="1"/>
    </xf>
    <xf numFmtId="166" fontId="19" fillId="5" borderId="41" xfId="0" applyNumberFormat="1" applyFont="1" applyFill="1" applyBorder="1" applyAlignment="1">
      <alignment horizontal="center"/>
    </xf>
    <xf numFmtId="165" fontId="21" fillId="0" borderId="42" xfId="1" applyNumberFormat="1" applyFont="1" applyBorder="1" applyAlignment="1">
      <alignment vertical="center"/>
    </xf>
    <xf numFmtId="164" fontId="7" fillId="4" borderId="42" xfId="0" applyNumberFormat="1" applyFont="1" applyFill="1" applyBorder="1" applyAlignment="1">
      <alignment vertical="center"/>
    </xf>
    <xf numFmtId="164" fontId="7" fillId="0" borderId="42" xfId="0" applyNumberFormat="1" applyFont="1" applyBorder="1" applyAlignment="1">
      <alignment vertical="center"/>
    </xf>
    <xf numFmtId="0" fontId="21" fillId="0" borderId="40" xfId="0" applyFont="1" applyBorder="1" applyAlignment="1">
      <alignment horizontal="right" wrapText="1"/>
    </xf>
    <xf numFmtId="164" fontId="21" fillId="0" borderId="42" xfId="0" applyNumberFormat="1" applyFont="1" applyFill="1" applyBorder="1" applyAlignment="1">
      <alignment vertical="center"/>
    </xf>
    <xf numFmtId="0" fontId="7" fillId="0" borderId="43" xfId="0" applyFont="1" applyBorder="1" applyAlignment="1">
      <alignment wrapText="1"/>
    </xf>
    <xf numFmtId="164" fontId="7" fillId="0" borderId="44" xfId="0" applyNumberFormat="1" applyFont="1" applyBorder="1" applyAlignment="1">
      <alignment vertical="center"/>
    </xf>
    <xf numFmtId="166" fontId="7" fillId="0" borderId="45" xfId="0" applyNumberFormat="1" applyFont="1" applyBorder="1" applyAlignment="1">
      <alignment horizontal="center"/>
    </xf>
    <xf numFmtId="0" fontId="31" fillId="4" borderId="46" xfId="0" applyFont="1" applyFill="1" applyBorder="1" applyAlignment="1">
      <alignment wrapText="1"/>
    </xf>
    <xf numFmtId="164" fontId="31" fillId="4" borderId="47" xfId="0" applyNumberFormat="1" applyFont="1" applyFill="1" applyBorder="1" applyAlignment="1">
      <alignment vertical="center"/>
    </xf>
    <xf numFmtId="166" fontId="31" fillId="4" borderId="48" xfId="0" applyNumberFormat="1" applyFont="1" applyFill="1" applyBorder="1" applyAlignment="1">
      <alignment horizontal="center"/>
    </xf>
    <xf numFmtId="166" fontId="2" fillId="0" borderId="0" xfId="0" applyNumberFormat="1" applyFont="1" applyFill="1" applyBorder="1" applyAlignment="1">
      <alignment horizontal="center"/>
    </xf>
    <xf numFmtId="164" fontId="7" fillId="0" borderId="49" xfId="0" applyNumberFormat="1" applyFont="1" applyBorder="1" applyAlignment="1">
      <alignment vertical="center"/>
    </xf>
    <xf numFmtId="166" fontId="7" fillId="0" borderId="50" xfId="0" applyNumberFormat="1" applyFont="1" applyBorder="1" applyAlignment="1">
      <alignment horizontal="center"/>
    </xf>
    <xf numFmtId="165" fontId="21" fillId="0" borderId="49" xfId="1" applyNumberFormat="1" applyFont="1" applyBorder="1" applyAlignment="1">
      <alignment vertical="center"/>
    </xf>
    <xf numFmtId="0" fontId="21" fillId="0" borderId="43" xfId="0" applyFont="1" applyBorder="1" applyAlignment="1">
      <alignment horizontal="right" wrapText="1"/>
    </xf>
    <xf numFmtId="165" fontId="7" fillId="0" borderId="42" xfId="1" applyNumberFormat="1" applyFont="1" applyBorder="1" applyAlignment="1">
      <alignment vertical="center"/>
    </xf>
    <xf numFmtId="165" fontId="20" fillId="0" borderId="42" xfId="1" applyNumberFormat="1" applyFont="1" applyBorder="1" applyAlignment="1">
      <alignment vertical="center"/>
    </xf>
    <xf numFmtId="0" fontId="7" fillId="0" borderId="11" xfId="0" applyFont="1" applyBorder="1" applyAlignment="1">
      <alignment horizontal="center"/>
    </xf>
    <xf numFmtId="0" fontId="31" fillId="4" borderId="51" xfId="0" applyFont="1" applyFill="1" applyBorder="1" applyAlignment="1">
      <alignment wrapText="1"/>
    </xf>
    <xf numFmtId="164" fontId="31" fillId="4" borderId="52" xfId="0" applyNumberFormat="1" applyFont="1" applyFill="1" applyBorder="1" applyAlignment="1">
      <alignment vertical="center"/>
    </xf>
    <xf numFmtId="166" fontId="31" fillId="4" borderId="53" xfId="0" applyNumberFormat="1" applyFont="1" applyFill="1" applyBorder="1" applyAlignment="1">
      <alignment horizontal="center"/>
    </xf>
    <xf numFmtId="0" fontId="15" fillId="0" borderId="0" xfId="0" applyFont="1" applyFill="1" applyBorder="1" applyAlignment="1">
      <alignment horizontal="center" wrapText="1"/>
    </xf>
    <xf numFmtId="0" fontId="4" fillId="0" borderId="54" xfId="0" applyFont="1" applyBorder="1"/>
    <xf numFmtId="0" fontId="4" fillId="0" borderId="55" xfId="0" applyFont="1" applyBorder="1"/>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56" xfId="0" applyFont="1" applyBorder="1"/>
    <xf numFmtId="9" fontId="35" fillId="0" borderId="1" xfId="0" applyNumberFormat="1" applyFont="1" applyFill="1" applyBorder="1" applyAlignment="1">
      <alignment horizontal="center" vertical="center"/>
    </xf>
    <xf numFmtId="0" fontId="4" fillId="0" borderId="9" xfId="0" applyFont="1" applyBorder="1" applyAlignment="1">
      <alignment vertical="center"/>
    </xf>
    <xf numFmtId="0" fontId="8" fillId="2" borderId="1" xfId="10" applyFont="1" applyFill="1" applyBorder="1" applyAlignment="1" applyProtection="1">
      <alignment horizontal="left" vertical="center"/>
      <protection locked="0"/>
    </xf>
    <xf numFmtId="165" fontId="4" fillId="0" borderId="1" xfId="1" applyNumberFormat="1" applyFont="1" applyBorder="1" applyAlignment="1"/>
    <xf numFmtId="164" fontId="4" fillId="0" borderId="1" xfId="0" applyNumberFormat="1" applyFont="1" applyBorder="1" applyAlignment="1"/>
    <xf numFmtId="164" fontId="4" fillId="0" borderId="19" xfId="0" applyNumberFormat="1" applyFont="1" applyBorder="1" applyAlignment="1"/>
    <xf numFmtId="166" fontId="4" fillId="0" borderId="10" xfId="0" applyNumberFormat="1" applyFont="1" applyBorder="1" applyAlignment="1"/>
    <xf numFmtId="0" fontId="25" fillId="0" borderId="0" xfId="0" applyFont="1" applyAlignment="1"/>
    <xf numFmtId="0" fontId="8" fillId="2" borderId="11" xfId="8" applyFont="1" applyFill="1" applyBorder="1" applyAlignment="1" applyProtection="1">
      <alignment horizontal="left" vertical="center"/>
      <protection locked="0"/>
    </xf>
    <xf numFmtId="0" fontId="14" fillId="2" borderId="12" xfId="11" applyFont="1" applyFill="1" applyBorder="1" applyAlignment="1" applyProtection="1">
      <protection locked="0"/>
    </xf>
    <xf numFmtId="164" fontId="4" fillId="4" borderId="12" xfId="0" applyNumberFormat="1" applyFont="1" applyFill="1" applyBorder="1"/>
    <xf numFmtId="0" fontId="15" fillId="0" borderId="0" xfId="0" applyFont="1" applyFill="1" applyAlignment="1">
      <alignment horizontal="center" wrapText="1"/>
    </xf>
    <xf numFmtId="0" fontId="4" fillId="0" borderId="13" xfId="0" applyFont="1" applyBorder="1"/>
    <xf numFmtId="0" fontId="4" fillId="0" borderId="24" xfId="0" applyFont="1" applyBorder="1"/>
    <xf numFmtId="0" fontId="4" fillId="0" borderId="10" xfId="0" applyFont="1" applyBorder="1" applyAlignment="1">
      <alignment horizontal="center" vertical="center"/>
    </xf>
    <xf numFmtId="165" fontId="8" fillId="2" borderId="9" xfId="12" applyNumberFormat="1" applyFont="1" applyFill="1" applyBorder="1" applyAlignment="1" applyProtection="1">
      <alignment horizontal="center" vertical="center" wrapText="1"/>
      <protection locked="0"/>
    </xf>
    <xf numFmtId="165" fontId="8" fillId="2" borderId="1" xfId="12" applyNumberFormat="1" applyFont="1" applyFill="1" applyBorder="1" applyAlignment="1" applyProtection="1">
      <alignment horizontal="center" vertical="center" wrapText="1"/>
      <protection locked="0"/>
    </xf>
    <xf numFmtId="0" fontId="8" fillId="0" borderId="1" xfId="10" applyFont="1" applyBorder="1" applyAlignment="1" applyProtection="1">
      <alignment horizontal="center" vertical="center" wrapText="1"/>
      <protection locked="0"/>
    </xf>
    <xf numFmtId="0" fontId="8" fillId="0" borderId="1" xfId="10" applyFont="1" applyFill="1" applyBorder="1" applyAlignment="1" applyProtection="1">
      <alignment horizontal="center" vertical="center" wrapText="1"/>
      <protection locked="0"/>
    </xf>
    <xf numFmtId="165" fontId="8" fillId="2" borderId="10" xfId="12" applyNumberFormat="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8" fillId="2" borderId="10" xfId="10" applyFont="1" applyFill="1" applyBorder="1" applyAlignment="1" applyProtection="1">
      <alignment horizontal="left" vertical="center"/>
      <protection locked="0"/>
    </xf>
    <xf numFmtId="165" fontId="4" fillId="0" borderId="9" xfId="1" applyNumberFormat="1" applyFont="1" applyBorder="1" applyAlignment="1"/>
    <xf numFmtId="164" fontId="4" fillId="0" borderId="9" xfId="0" applyNumberFormat="1" applyFont="1" applyBorder="1" applyAlignment="1"/>
    <xf numFmtId="164" fontId="4" fillId="0" borderId="10" xfId="0" applyNumberFormat="1" applyFont="1" applyBorder="1" applyAlignment="1"/>
    <xf numFmtId="165" fontId="4" fillId="0" borderId="27" xfId="1" applyNumberFormat="1" applyFont="1" applyBorder="1" applyAlignment="1">
      <alignment wrapText="1"/>
    </xf>
    <xf numFmtId="164" fontId="4" fillId="0" borderId="27" xfId="0" applyNumberFormat="1" applyFont="1" applyBorder="1" applyAlignment="1"/>
    <xf numFmtId="164" fontId="4" fillId="4" borderId="60" xfId="0" applyNumberFormat="1" applyFont="1" applyFill="1" applyBorder="1" applyAlignment="1"/>
    <xf numFmtId="0" fontId="14" fillId="2" borderId="21" xfId="11" applyFont="1" applyFill="1" applyBorder="1" applyAlignment="1" applyProtection="1">
      <protection locked="0"/>
    </xf>
    <xf numFmtId="164" fontId="4" fillId="4" borderId="11" xfId="0" applyNumberFormat="1" applyFont="1" applyFill="1" applyBorder="1"/>
    <xf numFmtId="164" fontId="4" fillId="4" borderId="21" xfId="0" applyNumberFormat="1" applyFont="1" applyFill="1" applyBorder="1"/>
    <xf numFmtId="164" fontId="4" fillId="4" borderId="61" xfId="0" applyNumberFormat="1" applyFont="1" applyFill="1" applyBorder="1"/>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15" fillId="0" borderId="0" xfId="0" applyFont="1" applyFill="1" applyAlignment="1">
      <alignment horizontal="center"/>
    </xf>
    <xf numFmtId="0" fontId="4" fillId="0" borderId="14" xfId="0" applyFont="1" applyBorder="1"/>
    <xf numFmtId="0" fontId="4" fillId="0" borderId="14" xfId="0" applyFont="1" applyBorder="1" applyAlignment="1">
      <alignment wrapText="1"/>
    </xf>
    <xf numFmtId="0" fontId="4" fillId="0" borderId="15" xfId="0" applyFont="1" applyBorder="1" applyAlignment="1">
      <alignment wrapText="1"/>
    </xf>
    <xf numFmtId="0" fontId="4" fillId="0" borderId="24" xfId="0" applyFont="1" applyBorder="1" applyAlignment="1">
      <alignment wrapText="1"/>
    </xf>
    <xf numFmtId="0" fontId="25" fillId="0" borderId="0" xfId="0" applyFont="1" applyAlignment="1">
      <alignment wrapText="1"/>
    </xf>
    <xf numFmtId="0" fontId="4" fillId="0" borderId="7" xfId="0" applyFont="1" applyBorder="1"/>
    <xf numFmtId="0" fontId="4" fillId="0" borderId="1" xfId="0" applyFont="1" applyFill="1" applyBorder="1" applyAlignment="1">
      <alignment horizontal="center" vertical="center" wrapText="1"/>
    </xf>
    <xf numFmtId="0" fontId="4" fillId="0" borderId="9" xfId="0" applyFont="1" applyBorder="1"/>
    <xf numFmtId="165" fontId="4" fillId="0" borderId="1" xfId="1" applyNumberFormat="1" applyFont="1" applyBorder="1"/>
    <xf numFmtId="165" fontId="4" fillId="0" borderId="1" xfId="1" applyNumberFormat="1" applyFont="1" applyFill="1" applyBorder="1"/>
    <xf numFmtId="165" fontId="4" fillId="0" borderId="19" xfId="1" applyNumberFormat="1" applyFont="1" applyBorder="1"/>
    <xf numFmtId="9" fontId="4" fillId="0" borderId="10" xfId="2" applyFont="1" applyBorder="1"/>
    <xf numFmtId="0" fontId="4" fillId="0" borderId="11" xfId="0" applyFont="1" applyBorder="1"/>
    <xf numFmtId="0" fontId="15" fillId="0" borderId="12" xfId="0" applyFont="1" applyBorder="1"/>
    <xf numFmtId="165" fontId="4" fillId="4" borderId="12" xfId="1" applyNumberFormat="1" applyFont="1" applyFill="1" applyBorder="1"/>
    <xf numFmtId="0" fontId="14" fillId="0" borderId="0" xfId="7" applyFont="1" applyFill="1" applyBorder="1" applyAlignment="1" applyProtection="1">
      <protection locked="0"/>
    </xf>
    <xf numFmtId="0" fontId="8" fillId="0" borderId="0" xfId="13" applyFont="1" applyFill="1" applyProtection="1">
      <protection locked="0"/>
    </xf>
    <xf numFmtId="0" fontId="14" fillId="0" borderId="54" xfId="7" applyFont="1" applyFill="1" applyBorder="1" applyAlignment="1" applyProtection="1">
      <protection locked="0"/>
    </xf>
    <xf numFmtId="0" fontId="8" fillId="0" borderId="14" xfId="7" applyFont="1" applyFill="1" applyBorder="1" applyAlignment="1" applyProtection="1">
      <alignment horizontal="center"/>
      <protection locked="0"/>
    </xf>
    <xf numFmtId="0" fontId="8" fillId="0" borderId="24" xfId="13" applyFont="1" applyFill="1" applyBorder="1" applyAlignment="1" applyProtection="1">
      <alignment horizontal="center"/>
      <protection locked="0"/>
    </xf>
    <xf numFmtId="0" fontId="8" fillId="2" borderId="9" xfId="14" applyFont="1" applyFill="1" applyBorder="1" applyAlignment="1" applyProtection="1">
      <alignment horizontal="left" vertical="center"/>
      <protection locked="0"/>
    </xf>
    <xf numFmtId="0" fontId="14" fillId="2" borderId="1" xfId="14" applyFont="1" applyFill="1" applyBorder="1" applyAlignment="1" applyProtection="1">
      <alignment horizontal="center" vertical="center"/>
      <protection locked="0"/>
    </xf>
    <xf numFmtId="0" fontId="4" fillId="2" borderId="1" xfId="14" applyFont="1" applyFill="1" applyBorder="1" applyAlignment="1" applyProtection="1">
      <alignment horizontal="center" vertical="center" wrapText="1"/>
      <protection locked="0"/>
    </xf>
    <xf numFmtId="0" fontId="8" fillId="2" borderId="10" xfId="13" applyFont="1" applyFill="1" applyBorder="1" applyAlignment="1" applyProtection="1">
      <alignment horizontal="center" vertical="center" wrapText="1"/>
      <protection locked="0"/>
    </xf>
    <xf numFmtId="0" fontId="8" fillId="2" borderId="9" xfId="8" applyFont="1" applyFill="1" applyBorder="1" applyAlignment="1" applyProtection="1">
      <alignment horizontal="right" vertical="center"/>
      <protection locked="0"/>
    </xf>
    <xf numFmtId="164" fontId="34" fillId="0" borderId="1" xfId="7" applyNumberFormat="1" applyFont="1" applyFill="1" applyBorder="1" applyAlignment="1">
      <alignment horizontal="right" wrapText="1"/>
    </xf>
    <xf numFmtId="164" fontId="8" fillId="4" borderId="10" xfId="12" applyNumberFormat="1" applyFont="1" applyFill="1" applyBorder="1" applyProtection="1">
      <protection locked="0"/>
    </xf>
    <xf numFmtId="3" fontId="8" fillId="2" borderId="1" xfId="11" applyNumberFormat="1" applyFont="1" applyFill="1" applyBorder="1" applyAlignment="1" applyProtection="1">
      <alignment horizontal="left" wrapText="1"/>
      <protection locked="0"/>
    </xf>
    <xf numFmtId="0" fontId="8" fillId="2" borderId="11" xfId="8" applyFont="1" applyFill="1" applyBorder="1" applyAlignment="1" applyProtection="1">
      <alignment horizontal="right" vertical="center"/>
      <protection locked="0"/>
    </xf>
    <xf numFmtId="164" fontId="14" fillId="4" borderId="12" xfId="11" applyNumberFormat="1" applyFont="1" applyFill="1" applyBorder="1" applyAlignment="1" applyProtection="1">
      <protection locked="0"/>
    </xf>
    <xf numFmtId="164" fontId="8" fillId="4" borderId="21" xfId="12" applyNumberFormat="1" applyFont="1" applyFill="1" applyBorder="1" applyProtection="1">
      <protection locked="0"/>
    </xf>
    <xf numFmtId="0" fontId="31" fillId="0" borderId="0" xfId="0" applyFont="1"/>
    <xf numFmtId="0" fontId="4" fillId="0" borderId="54" xfId="0" applyFont="1" applyBorder="1" applyAlignment="1">
      <alignment horizontal="center"/>
    </xf>
    <xf numFmtId="0" fontId="4" fillId="0" borderId="55" xfId="0" applyFont="1" applyBorder="1" applyAlignment="1">
      <alignment horizontal="center"/>
    </xf>
    <xf numFmtId="0" fontId="4" fillId="0" borderId="14" xfId="0" applyFont="1" applyBorder="1" applyAlignment="1">
      <alignment horizontal="center"/>
    </xf>
    <xf numFmtId="0" fontId="4" fillId="0" borderId="24" xfId="0" applyFont="1" applyBorder="1" applyAlignment="1">
      <alignment horizontal="center"/>
    </xf>
    <xf numFmtId="0" fontId="25" fillId="0" borderId="0" xfId="0" applyFont="1" applyAlignment="1">
      <alignment horizontal="center"/>
    </xf>
    <xf numFmtId="0" fontId="9" fillId="2" borderId="9"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3" fontId="9" fillId="2" borderId="1" xfId="12" applyNumberFormat="1" applyFont="1" applyFill="1" applyBorder="1" applyAlignment="1" applyProtection="1">
      <alignment horizontal="center" vertical="center" wrapText="1"/>
      <protection locked="0"/>
    </xf>
    <xf numFmtId="9" fontId="9" fillId="2" borderId="1" xfId="14" applyNumberFormat="1" applyFont="1" applyFill="1" applyBorder="1" applyAlignment="1" applyProtection="1">
      <alignment horizontal="center" vertical="center"/>
      <protection locked="0"/>
    </xf>
    <xf numFmtId="0" fontId="9" fillId="2" borderId="10" xfId="10" applyFont="1" applyFill="1" applyBorder="1" applyAlignment="1" applyProtection="1">
      <alignment horizontal="center" vertical="center" wrapText="1"/>
      <protection locked="0"/>
    </xf>
    <xf numFmtId="0" fontId="9" fillId="2" borderId="9" xfId="13" applyFont="1" applyFill="1" applyBorder="1" applyAlignment="1" applyProtection="1">
      <alignment horizontal="right" vertical="center"/>
      <protection locked="0"/>
    </xf>
    <xf numFmtId="0" fontId="13" fillId="2" borderId="1" xfId="10" applyFont="1" applyFill="1" applyBorder="1" applyAlignment="1" applyProtection="1">
      <alignment wrapText="1"/>
      <protection locked="0"/>
    </xf>
    <xf numFmtId="164" fontId="9" fillId="4" borderId="1" xfId="13" applyNumberFormat="1" applyFont="1" applyFill="1" applyBorder="1" applyProtection="1">
      <protection locked="0"/>
    </xf>
    <xf numFmtId="165" fontId="9" fillId="4" borderId="1" xfId="1" applyNumberFormat="1" applyFont="1" applyFill="1" applyBorder="1" applyProtection="1">
      <protection locked="0"/>
    </xf>
    <xf numFmtId="165" fontId="9" fillId="2" borderId="1" xfId="1" applyNumberFormat="1" applyFont="1" applyFill="1" applyBorder="1" applyProtection="1">
      <protection locked="0"/>
    </xf>
    <xf numFmtId="165" fontId="9" fillId="4" borderId="10" xfId="1" applyNumberFormat="1" applyFont="1" applyFill="1" applyBorder="1" applyProtection="1">
      <protection locked="0"/>
    </xf>
    <xf numFmtId="0" fontId="9" fillId="2" borderId="1" xfId="10" applyFont="1" applyFill="1" applyBorder="1" applyAlignment="1" applyProtection="1">
      <alignment horizontal="left" vertical="center" wrapText="1"/>
      <protection locked="0"/>
    </xf>
    <xf numFmtId="168" fontId="9" fillId="2" borderId="1" xfId="7" applyNumberFormat="1" applyFont="1" applyFill="1" applyBorder="1" applyAlignment="1" applyProtection="1">
      <alignment horizontal="right" wrapText="1"/>
      <protection locked="0"/>
    </xf>
    <xf numFmtId="0" fontId="9" fillId="0" borderId="1" xfId="10" applyFont="1" applyFill="1" applyBorder="1" applyAlignment="1" applyProtection="1">
      <alignment horizontal="left" vertical="center" wrapText="1"/>
      <protection locked="0"/>
    </xf>
    <xf numFmtId="168" fontId="9" fillId="6" borderId="1" xfId="7" applyNumberFormat="1" applyFont="1" applyFill="1" applyBorder="1" applyAlignment="1" applyProtection="1">
      <alignment horizontal="right" wrapText="1"/>
      <protection locked="0"/>
    </xf>
    <xf numFmtId="0" fontId="13" fillId="0" borderId="1" xfId="10" applyFont="1" applyFill="1" applyBorder="1" applyAlignment="1" applyProtection="1">
      <alignment wrapText="1"/>
      <protection locked="0"/>
    </xf>
    <xf numFmtId="165" fontId="9" fillId="0" borderId="1" xfId="1" applyNumberFormat="1" applyFont="1" applyFill="1" applyBorder="1" applyProtection="1">
      <protection locked="0"/>
    </xf>
    <xf numFmtId="0" fontId="9" fillId="2" borderId="11" xfId="8" applyFont="1" applyFill="1" applyBorder="1" applyAlignment="1" applyProtection="1">
      <alignment horizontal="right" vertical="center"/>
      <protection locked="0"/>
    </xf>
    <xf numFmtId="0" fontId="13" fillId="2" borderId="12" xfId="11" applyFont="1" applyFill="1" applyBorder="1" applyAlignment="1" applyProtection="1">
      <protection locked="0"/>
    </xf>
    <xf numFmtId="164" fontId="13" fillId="4" borderId="12" xfId="11" applyNumberFormat="1" applyFont="1" applyFill="1" applyBorder="1" applyAlignment="1" applyProtection="1">
      <protection locked="0"/>
    </xf>
    <xf numFmtId="3" fontId="13" fillId="4" borderId="12" xfId="11" applyNumberFormat="1" applyFont="1" applyFill="1" applyBorder="1" applyAlignment="1" applyProtection="1">
      <protection locked="0"/>
    </xf>
    <xf numFmtId="164" fontId="13" fillId="4" borderId="12" xfId="12" applyNumberFormat="1" applyFont="1" applyFill="1" applyBorder="1" applyAlignment="1" applyProtection="1">
      <protection locked="0"/>
    </xf>
    <xf numFmtId="164" fontId="7" fillId="0" borderId="0" xfId="0" applyNumberFormat="1" applyFont="1"/>
    <xf numFmtId="9" fontId="4" fillId="4" borderId="12" xfId="1" applyNumberFormat="1" applyFont="1" applyFill="1" applyBorder="1"/>
    <xf numFmtId="0" fontId="36" fillId="0" borderId="0" xfId="0" applyFont="1" applyAlignment="1">
      <alignment wrapText="1"/>
    </xf>
    <xf numFmtId="165" fontId="0" fillId="0" borderId="10" xfId="1" applyNumberFormat="1" applyFont="1" applyBorder="1" applyAlignment="1">
      <alignment wrapText="1"/>
    </xf>
    <xf numFmtId="165" fontId="30" fillId="0" borderId="0" xfId="1" applyNumberFormat="1" applyFont="1" applyFill="1"/>
    <xf numFmtId="0" fontId="12" fillId="0" borderId="3" xfId="0" applyFont="1" applyBorder="1" applyAlignment="1">
      <alignment horizontal="left" wrapText="1"/>
    </xf>
    <xf numFmtId="0" fontId="12" fillId="0" borderId="4" xfId="0" applyFont="1" applyBorder="1" applyAlignment="1">
      <alignment horizontal="left" wrapText="1"/>
    </xf>
    <xf numFmtId="0" fontId="9" fillId="0" borderId="15" xfId="0" applyFont="1" applyFill="1" applyBorder="1" applyAlignment="1" applyProtection="1">
      <alignment horizontal="center"/>
    </xf>
    <xf numFmtId="0" fontId="9" fillId="0" borderId="16" xfId="0" applyFont="1" applyFill="1" applyBorder="1" applyAlignment="1" applyProtection="1">
      <alignment horizontal="center"/>
    </xf>
    <xf numFmtId="0" fontId="9" fillId="0" borderId="17" xfId="0" applyFont="1" applyFill="1" applyBorder="1" applyAlignment="1" applyProtection="1">
      <alignment horizontal="center"/>
    </xf>
    <xf numFmtId="0" fontId="9" fillId="0" borderId="18" xfId="0" applyFont="1" applyFill="1" applyBorder="1" applyAlignment="1" applyProtection="1">
      <alignment horizontal="center"/>
    </xf>
    <xf numFmtId="0" fontId="15" fillId="0" borderId="22" xfId="0" applyFont="1" applyBorder="1" applyAlignment="1">
      <alignment horizontal="center" vertical="center"/>
    </xf>
    <xf numFmtId="0" fontId="15" fillId="0" borderId="6" xfId="0" applyFont="1" applyBorder="1" applyAlignment="1">
      <alignment horizontal="center" vertical="center"/>
    </xf>
    <xf numFmtId="0" fontId="13" fillId="0" borderId="2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4" xfId="0" applyFont="1" applyFill="1" applyBorder="1" applyAlignment="1" applyProtection="1">
      <alignment horizontal="center"/>
    </xf>
    <xf numFmtId="0" fontId="13" fillId="0" borderId="24" xfId="0" applyFont="1" applyFill="1" applyBorder="1" applyAlignment="1" applyProtection="1">
      <alignment horizontal="center"/>
    </xf>
    <xf numFmtId="0" fontId="13" fillId="0" borderId="15" xfId="0" applyFont="1" applyBorder="1" applyAlignment="1">
      <alignment horizontal="center" wrapText="1"/>
    </xf>
    <xf numFmtId="0" fontId="9" fillId="0" borderId="18" xfId="0" applyFont="1" applyBorder="1" applyAlignment="1">
      <alignment horizontal="center"/>
    </xf>
    <xf numFmtId="0" fontId="28" fillId="0" borderId="19" xfId="0" applyFont="1" applyBorder="1" applyAlignment="1">
      <alignment wrapText="1"/>
    </xf>
    <xf numFmtId="0" fontId="28" fillId="0" borderId="27" xfId="0" applyFont="1" applyBorder="1" applyAlignment="1">
      <alignment wrapText="1"/>
    </xf>
    <xf numFmtId="0" fontId="13" fillId="0" borderId="19" xfId="0" applyFont="1" applyBorder="1" applyAlignment="1">
      <alignment horizontal="center" wrapText="1"/>
    </xf>
    <xf numFmtId="0" fontId="9" fillId="0" borderId="27" xfId="0" applyFont="1" applyBorder="1" applyAlignment="1">
      <alignment horizontal="center"/>
    </xf>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9" xfId="0"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vertical="center" wrapText="1"/>
    </xf>
    <xf numFmtId="0" fontId="4" fillId="0" borderId="8" xfId="0" applyFont="1" applyFill="1" applyBorder="1" applyAlignment="1">
      <alignment horizontal="center" vertical="center" wrapText="1"/>
    </xf>
    <xf numFmtId="9" fontId="4" fillId="0" borderId="19" xfId="0" applyNumberFormat="1" applyFont="1" applyBorder="1" applyAlignment="1">
      <alignment horizontal="center" vertical="center"/>
    </xf>
    <xf numFmtId="9" fontId="4" fillId="0" borderId="25" xfId="0" applyNumberFormat="1" applyFont="1" applyBorder="1" applyAlignment="1">
      <alignment horizontal="center" vertical="center"/>
    </xf>
    <xf numFmtId="0" fontId="34" fillId="2" borderId="32" xfId="10" applyFont="1" applyFill="1" applyBorder="1" applyAlignment="1" applyProtection="1">
      <alignment horizontal="center" vertical="center" wrapText="1"/>
      <protection locked="0"/>
    </xf>
    <xf numFmtId="0" fontId="34" fillId="2" borderId="8" xfId="1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5" fontId="14" fillId="2" borderId="13" xfId="12" applyNumberFormat="1" applyFont="1" applyFill="1" applyBorder="1" applyAlignment="1" applyProtection="1">
      <alignment horizontal="center"/>
      <protection locked="0"/>
    </xf>
    <xf numFmtId="165" fontId="14" fillId="2" borderId="14" xfId="12" applyNumberFormat="1" applyFont="1" applyFill="1" applyBorder="1" applyAlignment="1" applyProtection="1">
      <alignment horizontal="center"/>
      <protection locked="0"/>
    </xf>
    <xf numFmtId="165" fontId="14" fillId="2" borderId="24" xfId="12" applyNumberFormat="1" applyFont="1" applyFill="1" applyBorder="1" applyAlignment="1" applyProtection="1">
      <alignment horizontal="center"/>
      <protection locked="0"/>
    </xf>
    <xf numFmtId="165" fontId="14" fillId="0" borderId="57" xfId="12" applyNumberFormat="1" applyFont="1" applyFill="1" applyBorder="1" applyAlignment="1" applyProtection="1">
      <alignment horizontal="center" vertical="center" wrapText="1"/>
      <protection locked="0"/>
    </xf>
    <xf numFmtId="165" fontId="14" fillId="0" borderId="59" xfId="12" applyNumberFormat="1" applyFont="1" applyFill="1" applyBorder="1" applyAlignment="1" applyProtection="1">
      <alignment horizontal="center" vertical="center" wrapText="1"/>
      <protection locked="0"/>
    </xf>
    <xf numFmtId="0" fontId="15" fillId="0" borderId="58" xfId="0" applyFont="1" applyBorder="1" applyAlignment="1">
      <alignment horizontal="center" vertical="center" wrapText="1"/>
    </xf>
    <xf numFmtId="0" fontId="15" fillId="0" borderId="6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9" xfId="0" applyFont="1" applyFill="1" applyBorder="1" applyAlignment="1">
      <alignment horizontal="center" wrapText="1"/>
    </xf>
    <xf numFmtId="0" fontId="4" fillId="0" borderId="25" xfId="0" applyFont="1" applyFill="1" applyBorder="1" applyAlignment="1">
      <alignment horizontal="center" wrapText="1"/>
    </xf>
    <xf numFmtId="10" fontId="8" fillId="0" borderId="1" xfId="0" applyNumberFormat="1" applyFont="1" applyBorder="1" applyAlignment="1" applyProtection="1">
      <alignment vertical="center" wrapText="1"/>
    </xf>
    <xf numFmtId="10" fontId="8" fillId="0" borderId="1" xfId="0" applyNumberFormat="1" applyFont="1" applyFill="1" applyBorder="1" applyAlignment="1" applyProtection="1">
      <alignment vertical="center" wrapText="1"/>
    </xf>
    <xf numFmtId="10" fontId="8" fillId="0" borderId="1" xfId="1" applyNumberFormat="1" applyFont="1" applyBorder="1" applyAlignment="1" applyProtection="1">
      <alignment vertical="center" wrapText="1"/>
    </xf>
    <xf numFmtId="10" fontId="18" fillId="0" borderId="1" xfId="0" applyNumberFormat="1" applyFont="1" applyBorder="1" applyAlignment="1" applyProtection="1">
      <alignment vertical="center" wrapText="1"/>
    </xf>
    <xf numFmtId="165" fontId="4" fillId="4" borderId="21" xfId="1" applyNumberFormat="1" applyFont="1" applyFill="1" applyBorder="1"/>
  </cellXfs>
  <cellStyles count="15">
    <cellStyle name="Comma" xfId="1" builtinId="3"/>
    <cellStyle name="Comma 2" xfId="12"/>
    <cellStyle name="Comma 3" xfId="9"/>
    <cellStyle name="Hyperlink" xfId="4" builtinId="8"/>
    <cellStyle name="Normal" xfId="0" builtinId="0"/>
    <cellStyle name="Normal 122" xfId="3"/>
    <cellStyle name="Normal 2" xfId="5"/>
    <cellStyle name="Normal 2 2" xfId="13"/>
    <cellStyle name="Normal 4" xfId="10"/>
    <cellStyle name="Normal_Capital &amp; RWA N" xfId="7"/>
    <cellStyle name="Normal_Capital &amp; RWA N 2" xfId="11"/>
    <cellStyle name="Normal_Casestdy draft" xfId="14"/>
    <cellStyle name="Normal_Casestdy draft 2" xfId="8"/>
    <cellStyle name="Percent" xfId="2" builtinId="5"/>
    <cellStyle name="Percent 2" xfId="6"/>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9"/>
  <sheetViews>
    <sheetView workbookViewId="0">
      <pane xSplit="1" ySplit="7" topLeftCell="B8" activePane="bottomRight" state="frozen"/>
      <selection activeCell="B8" sqref="B8"/>
      <selection pane="topRight" activeCell="B8" sqref="B8"/>
      <selection pane="bottomLeft" activeCell="B8" sqref="B8"/>
      <selection pane="bottomRight" activeCell="C2" sqref="C2:C5"/>
    </sheetView>
  </sheetViews>
  <sheetFormatPr defaultRowHeight="15" x14ac:dyDescent="0.25"/>
  <cols>
    <col min="1" max="1" width="10.28515625" style="21"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404" t="s">
        <v>9</v>
      </c>
      <c r="B6" s="405"/>
      <c r="C6" s="405"/>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
        <v>10</v>
      </c>
      <c r="B17" s="14" t="s">
        <v>21</v>
      </c>
    </row>
    <row r="18" spans="1:2" x14ac:dyDescent="0.25">
      <c r="A18" s="1">
        <v>11</v>
      </c>
      <c r="B18" s="16" t="s">
        <v>22</v>
      </c>
    </row>
    <row r="19" spans="1:2" x14ac:dyDescent="0.25">
      <c r="A19" s="1">
        <v>12</v>
      </c>
      <c r="B19" s="16" t="s">
        <v>23</v>
      </c>
    </row>
    <row r="20" spans="1:2" x14ac:dyDescent="0.25">
      <c r="A20" s="1">
        <v>13</v>
      </c>
      <c r="B20" s="17" t="s">
        <v>24</v>
      </c>
    </row>
    <row r="21" spans="1:2" x14ac:dyDescent="0.25">
      <c r="A21" s="1">
        <v>14</v>
      </c>
      <c r="B21" s="16" t="s">
        <v>25</v>
      </c>
    </row>
    <row r="22" spans="1:2" x14ac:dyDescent="0.25">
      <c r="A22" s="18">
        <v>15</v>
      </c>
      <c r="B22" s="16" t="s">
        <v>26</v>
      </c>
    </row>
    <row r="23" spans="1:2" x14ac:dyDescent="0.25">
      <c r="A23" s="18">
        <v>16</v>
      </c>
      <c r="B23" s="14" t="s">
        <v>27</v>
      </c>
    </row>
    <row r="24" spans="1:2" x14ac:dyDescent="0.25">
      <c r="A24" s="18">
        <v>17</v>
      </c>
      <c r="B24" s="16" t="s">
        <v>28</v>
      </c>
    </row>
    <row r="25" spans="1:2" x14ac:dyDescent="0.25">
      <c r="A25" s="18">
        <v>18</v>
      </c>
      <c r="B25" s="16" t="s">
        <v>29</v>
      </c>
    </row>
    <row r="26" spans="1:2" x14ac:dyDescent="0.25">
      <c r="A26" s="18">
        <v>19</v>
      </c>
      <c r="B26" s="16" t="s">
        <v>30</v>
      </c>
    </row>
    <row r="27" spans="1:2" x14ac:dyDescent="0.25">
      <c r="A27" s="19"/>
      <c r="B27" s="20"/>
    </row>
    <row r="28" spans="1:2" x14ac:dyDescent="0.25">
      <c r="A28" s="19"/>
      <c r="B28" s="20"/>
    </row>
    <row r="29" spans="1:2" x14ac:dyDescent="0.25">
      <c r="A29" s="19"/>
      <c r="B29" s="20"/>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3" location="'16. CR-General'!A1" display="ძირითადი მონაცემები სესხებზე"/>
    <hyperlink ref="B24" location="'17. CR-Quality'!A1" display="სესხების ხარისხი"/>
    <hyperlink ref="B25" location="'18. CR-PTI,LTV'!A1" display="ინფორმაცია სესხებზე ყოველთვიური გადახდების შემოსავალთან შეფარდების კოეფიციენტის შესახებ"/>
    <hyperlink ref="B19" location="'12. CRM'!A1" display="საკრედიტო რისკის მიტიგაცია"/>
    <hyperlink ref="B26" location="'19. CR (ratios)'!A1" display="ინფორმაცია სესხის მომსახურების კოეფიციენტის შესახებ"/>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sheetPr>
  <dimension ref="A1:F67"/>
  <sheetViews>
    <sheetView zoomScaleNormal="100" workbookViewId="0">
      <pane xSplit="1" ySplit="5" topLeftCell="B27" activePane="bottomRight" state="frozen"/>
      <selection activeCell="B8" sqref="B8"/>
      <selection pane="topRight" activeCell="B8" sqref="B8"/>
      <selection pane="bottomLeft" activeCell="B8" sqref="B8"/>
      <selection pane="bottomRight" activeCell="C7" sqref="C7:C11"/>
    </sheetView>
  </sheetViews>
  <sheetFormatPr defaultRowHeight="15" x14ac:dyDescent="0.25"/>
  <cols>
    <col min="1" max="1" width="9.5703125" style="19" bestFit="1" customWidth="1"/>
    <col min="2" max="2" width="132.42578125" style="21" customWidth="1"/>
    <col min="3" max="3" width="18.42578125" style="200" customWidth="1"/>
    <col min="6" max="6" width="17.42578125" bestFit="1" customWidth="1"/>
  </cols>
  <sheetData>
    <row r="1" spans="1:6" ht="15.75" x14ac:dyDescent="0.3">
      <c r="A1" s="22" t="s">
        <v>31</v>
      </c>
      <c r="B1" s="21" t="str">
        <f>'1. key ratios'!B1</f>
        <v>სს ტერაბანკი</v>
      </c>
      <c r="C1" s="21"/>
      <c r="D1" s="21"/>
      <c r="E1" s="21"/>
      <c r="F1" s="21"/>
    </row>
    <row r="2" spans="1:6" s="179" customFormat="1" ht="15.75" customHeight="1" x14ac:dyDescent="0.3">
      <c r="A2" s="179" t="s">
        <v>33</v>
      </c>
      <c r="B2" s="60">
        <f>'1. key ratios'!B2</f>
        <v>42916</v>
      </c>
    </row>
    <row r="3" spans="1:6" s="179" customFormat="1" ht="15.75" customHeight="1" x14ac:dyDescent="0.3"/>
    <row r="4" spans="1:6" ht="15.75" thickBot="1" x14ac:dyDescent="0.3">
      <c r="A4" s="19" t="s">
        <v>278</v>
      </c>
      <c r="B4" s="221" t="s">
        <v>20</v>
      </c>
      <c r="C4" s="21"/>
    </row>
    <row r="5" spans="1:6" x14ac:dyDescent="0.25">
      <c r="A5" s="222" t="s">
        <v>35</v>
      </c>
      <c r="B5" s="223"/>
      <c r="C5" s="224" t="s">
        <v>77</v>
      </c>
    </row>
    <row r="6" spans="1:6" x14ac:dyDescent="0.25">
      <c r="A6" s="225">
        <v>1</v>
      </c>
      <c r="B6" s="226" t="s">
        <v>279</v>
      </c>
      <c r="C6" s="227">
        <f>SUM(C7:C11)</f>
        <v>106456277.57000002</v>
      </c>
    </row>
    <row r="7" spans="1:6" x14ac:dyDescent="0.25">
      <c r="A7" s="225">
        <v>2</v>
      </c>
      <c r="B7" s="228" t="s">
        <v>280</v>
      </c>
      <c r="C7" s="229">
        <v>121372000</v>
      </c>
    </row>
    <row r="8" spans="1:6" x14ac:dyDescent="0.25">
      <c r="A8" s="225">
        <v>3</v>
      </c>
      <c r="B8" s="230" t="s">
        <v>281</v>
      </c>
      <c r="C8" s="229">
        <v>0</v>
      </c>
    </row>
    <row r="9" spans="1:6" x14ac:dyDescent="0.25">
      <c r="A9" s="225">
        <v>4</v>
      </c>
      <c r="B9" s="230" t="s">
        <v>282</v>
      </c>
      <c r="C9" s="229">
        <v>0</v>
      </c>
    </row>
    <row r="10" spans="1:6" x14ac:dyDescent="0.25">
      <c r="A10" s="225">
        <v>5</v>
      </c>
      <c r="B10" s="230" t="s">
        <v>283</v>
      </c>
      <c r="C10" s="229">
        <v>0</v>
      </c>
    </row>
    <row r="11" spans="1:6" x14ac:dyDescent="0.25">
      <c r="A11" s="225">
        <v>6</v>
      </c>
      <c r="B11" s="231" t="s">
        <v>284</v>
      </c>
      <c r="C11" s="232">
        <v>-14915722.429999981</v>
      </c>
    </row>
    <row r="12" spans="1:6" s="211" customFormat="1" x14ac:dyDescent="0.25">
      <c r="A12" s="225">
        <v>7</v>
      </c>
      <c r="B12" s="226" t="s">
        <v>285</v>
      </c>
      <c r="C12" s="233">
        <f>SUM(C13:C27)</f>
        <v>29466340</v>
      </c>
    </row>
    <row r="13" spans="1:6" s="211" customFormat="1" x14ac:dyDescent="0.25">
      <c r="A13" s="225">
        <v>8</v>
      </c>
      <c r="B13" s="234" t="s">
        <v>286</v>
      </c>
      <c r="C13" s="235">
        <v>0</v>
      </c>
    </row>
    <row r="14" spans="1:6" s="211" customFormat="1" ht="25.5" x14ac:dyDescent="0.25">
      <c r="A14" s="225">
        <v>9</v>
      </c>
      <c r="B14" s="236" t="s">
        <v>287</v>
      </c>
      <c r="C14" s="235">
        <v>0</v>
      </c>
    </row>
    <row r="15" spans="1:6" s="211" customFormat="1" x14ac:dyDescent="0.25">
      <c r="A15" s="225">
        <v>10</v>
      </c>
      <c r="B15" s="237" t="s">
        <v>288</v>
      </c>
      <c r="C15" s="235">
        <v>29466340</v>
      </c>
    </row>
    <row r="16" spans="1:6" s="211" customFormat="1" x14ac:dyDescent="0.25">
      <c r="A16" s="225">
        <v>11</v>
      </c>
      <c r="B16" s="238" t="s">
        <v>289</v>
      </c>
      <c r="C16" s="235">
        <v>0</v>
      </c>
    </row>
    <row r="17" spans="1:6" s="211" customFormat="1" x14ac:dyDescent="0.25">
      <c r="A17" s="225">
        <v>12</v>
      </c>
      <c r="B17" s="237" t="s">
        <v>290</v>
      </c>
      <c r="C17" s="235">
        <v>0</v>
      </c>
    </row>
    <row r="18" spans="1:6" s="211" customFormat="1" x14ac:dyDescent="0.25">
      <c r="A18" s="225">
        <v>13</v>
      </c>
      <c r="B18" s="237" t="s">
        <v>291</v>
      </c>
      <c r="C18" s="235">
        <v>0</v>
      </c>
    </row>
    <row r="19" spans="1:6" s="211" customFormat="1" x14ac:dyDescent="0.25">
      <c r="A19" s="225">
        <v>14</v>
      </c>
      <c r="B19" s="237" t="s">
        <v>292</v>
      </c>
      <c r="C19" s="235">
        <v>0</v>
      </c>
    </row>
    <row r="20" spans="1:6" s="211" customFormat="1" ht="25.5" x14ac:dyDescent="0.25">
      <c r="A20" s="225">
        <v>15</v>
      </c>
      <c r="B20" s="237" t="s">
        <v>293</v>
      </c>
      <c r="C20" s="235">
        <v>0</v>
      </c>
    </row>
    <row r="21" spans="1:6" s="211" customFormat="1" ht="25.5" x14ac:dyDescent="0.25">
      <c r="A21" s="225">
        <v>16</v>
      </c>
      <c r="B21" s="236" t="s">
        <v>294</v>
      </c>
      <c r="C21" s="235">
        <v>0</v>
      </c>
    </row>
    <row r="22" spans="1:6" s="211" customFormat="1" x14ac:dyDescent="0.25">
      <c r="A22" s="225">
        <v>17</v>
      </c>
      <c r="B22" s="239" t="s">
        <v>295</v>
      </c>
      <c r="C22" s="235">
        <v>0</v>
      </c>
    </row>
    <row r="23" spans="1:6" s="211" customFormat="1" ht="25.5" x14ac:dyDescent="0.25">
      <c r="A23" s="225">
        <v>18</v>
      </c>
      <c r="B23" s="236" t="s">
        <v>296</v>
      </c>
      <c r="C23" s="235">
        <v>0</v>
      </c>
    </row>
    <row r="24" spans="1:6" s="211" customFormat="1" ht="25.5" x14ac:dyDescent="0.25">
      <c r="A24" s="225">
        <v>19</v>
      </c>
      <c r="B24" s="236" t="s">
        <v>297</v>
      </c>
      <c r="C24" s="235">
        <v>0</v>
      </c>
    </row>
    <row r="25" spans="1:6" s="211" customFormat="1" ht="25.5" x14ac:dyDescent="0.25">
      <c r="A25" s="225">
        <v>20</v>
      </c>
      <c r="B25" s="240" t="s">
        <v>298</v>
      </c>
      <c r="C25" s="235">
        <v>0</v>
      </c>
    </row>
    <row r="26" spans="1:6" s="211" customFormat="1" x14ac:dyDescent="0.25">
      <c r="A26" s="225">
        <v>21</v>
      </c>
      <c r="B26" s="240" t="s">
        <v>299</v>
      </c>
      <c r="C26" s="235">
        <v>0</v>
      </c>
    </row>
    <row r="27" spans="1:6" s="211" customFormat="1" ht="25.5" x14ac:dyDescent="0.25">
      <c r="A27" s="225">
        <v>22</v>
      </c>
      <c r="B27" s="240" t="s">
        <v>300</v>
      </c>
      <c r="C27" s="235">
        <v>0</v>
      </c>
    </row>
    <row r="28" spans="1:6" s="211" customFormat="1" x14ac:dyDescent="0.25">
      <c r="A28" s="225">
        <v>23</v>
      </c>
      <c r="B28" s="241" t="s">
        <v>43</v>
      </c>
      <c r="C28" s="233">
        <f>C6-C12</f>
        <v>76989937.570000023</v>
      </c>
    </row>
    <row r="29" spans="1:6" s="211" customFormat="1" x14ac:dyDescent="0.25">
      <c r="A29" s="242"/>
      <c r="B29" s="243"/>
      <c r="C29" s="235"/>
    </row>
    <row r="30" spans="1:6" s="211" customFormat="1" x14ac:dyDescent="0.25">
      <c r="A30" s="242">
        <v>24</v>
      </c>
      <c r="B30" s="241" t="s">
        <v>301</v>
      </c>
      <c r="C30" s="233">
        <f>C31+C34</f>
        <v>0</v>
      </c>
      <c r="F30" s="244"/>
    </row>
    <row r="31" spans="1:6" s="211" customFormat="1" x14ac:dyDescent="0.25">
      <c r="A31" s="242">
        <v>25</v>
      </c>
      <c r="B31" s="230" t="s">
        <v>302</v>
      </c>
      <c r="C31" s="245">
        <f>C32+C33</f>
        <v>0</v>
      </c>
      <c r="F31" s="246"/>
    </row>
    <row r="32" spans="1:6" s="211" customFormat="1" x14ac:dyDescent="0.25">
      <c r="A32" s="242">
        <v>26</v>
      </c>
      <c r="B32" s="247" t="s">
        <v>303</v>
      </c>
      <c r="C32" s="235">
        <v>0</v>
      </c>
      <c r="F32" s="246"/>
    </row>
    <row r="33" spans="1:6" s="211" customFormat="1" x14ac:dyDescent="0.25">
      <c r="A33" s="242">
        <v>27</v>
      </c>
      <c r="B33" s="247" t="s">
        <v>304</v>
      </c>
      <c r="C33" s="235">
        <v>0</v>
      </c>
      <c r="F33" s="246"/>
    </row>
    <row r="34" spans="1:6" s="211" customFormat="1" x14ac:dyDescent="0.25">
      <c r="A34" s="242">
        <v>28</v>
      </c>
      <c r="B34" s="230" t="s">
        <v>305</v>
      </c>
      <c r="C34" s="235">
        <v>0</v>
      </c>
      <c r="F34" s="246"/>
    </row>
    <row r="35" spans="1:6" s="211" customFormat="1" x14ac:dyDescent="0.25">
      <c r="A35" s="242">
        <v>29</v>
      </c>
      <c r="B35" s="241" t="s">
        <v>306</v>
      </c>
      <c r="C35" s="233">
        <f>SUM(C36:C40)</f>
        <v>0</v>
      </c>
      <c r="F35" s="246"/>
    </row>
    <row r="36" spans="1:6" s="211" customFormat="1" x14ac:dyDescent="0.25">
      <c r="A36" s="242">
        <v>30</v>
      </c>
      <c r="B36" s="236" t="s">
        <v>307</v>
      </c>
      <c r="C36" s="235">
        <v>0</v>
      </c>
      <c r="F36" s="246"/>
    </row>
    <row r="37" spans="1:6" s="211" customFormat="1" x14ac:dyDescent="0.25">
      <c r="A37" s="242">
        <v>31</v>
      </c>
      <c r="B37" s="237" t="s">
        <v>308</v>
      </c>
      <c r="C37" s="235">
        <v>0</v>
      </c>
      <c r="F37" s="246"/>
    </row>
    <row r="38" spans="1:6" s="211" customFormat="1" ht="25.5" x14ac:dyDescent="0.25">
      <c r="A38" s="242">
        <v>32</v>
      </c>
      <c r="B38" s="236" t="s">
        <v>309</v>
      </c>
      <c r="C38" s="235">
        <v>0</v>
      </c>
      <c r="F38" s="246"/>
    </row>
    <row r="39" spans="1:6" s="211" customFormat="1" ht="25.5" x14ac:dyDescent="0.25">
      <c r="A39" s="242">
        <v>33</v>
      </c>
      <c r="B39" s="236" t="s">
        <v>297</v>
      </c>
      <c r="C39" s="235">
        <v>0</v>
      </c>
      <c r="F39" s="246"/>
    </row>
    <row r="40" spans="1:6" s="211" customFormat="1" ht="25.5" x14ac:dyDescent="0.25">
      <c r="A40" s="242">
        <v>34</v>
      </c>
      <c r="B40" s="240" t="s">
        <v>310</v>
      </c>
      <c r="C40" s="235">
        <v>0</v>
      </c>
      <c r="F40" s="246"/>
    </row>
    <row r="41" spans="1:6" s="211" customFormat="1" x14ac:dyDescent="0.25">
      <c r="A41" s="242">
        <v>35</v>
      </c>
      <c r="B41" s="241" t="s">
        <v>311</v>
      </c>
      <c r="C41" s="233">
        <f>C30-C35</f>
        <v>0</v>
      </c>
      <c r="F41" s="246"/>
    </row>
    <row r="42" spans="1:6" s="211" customFormat="1" x14ac:dyDescent="0.25">
      <c r="A42" s="242"/>
      <c r="B42" s="243"/>
      <c r="C42" s="235"/>
      <c r="F42" s="246"/>
    </row>
    <row r="43" spans="1:6" s="211" customFormat="1" x14ac:dyDescent="0.25">
      <c r="A43" s="242">
        <v>36</v>
      </c>
      <c r="B43" s="248" t="s">
        <v>312</v>
      </c>
      <c r="C43" s="233">
        <f>SUM(C44:C46)</f>
        <v>35852403.925693847</v>
      </c>
      <c r="F43" s="246"/>
    </row>
    <row r="44" spans="1:6" s="211" customFormat="1" x14ac:dyDescent="0.25">
      <c r="A44" s="242">
        <v>37</v>
      </c>
      <c r="B44" s="230" t="s">
        <v>313</v>
      </c>
      <c r="C44" s="235">
        <v>26962124.760000002</v>
      </c>
      <c r="F44" s="246"/>
    </row>
    <row r="45" spans="1:6" s="211" customFormat="1" x14ac:dyDescent="0.25">
      <c r="A45" s="242">
        <v>38</v>
      </c>
      <c r="B45" s="230" t="s">
        <v>314</v>
      </c>
      <c r="C45" s="235">
        <v>0</v>
      </c>
      <c r="F45" s="246"/>
    </row>
    <row r="46" spans="1:6" s="211" customFormat="1" x14ac:dyDescent="0.25">
      <c r="A46" s="242">
        <v>39</v>
      </c>
      <c r="B46" s="230" t="s">
        <v>315</v>
      </c>
      <c r="C46" s="235">
        <v>8890279.1656938475</v>
      </c>
      <c r="F46" s="246"/>
    </row>
    <row r="47" spans="1:6" s="211" customFormat="1" x14ac:dyDescent="0.25">
      <c r="A47" s="242">
        <v>40</v>
      </c>
      <c r="B47" s="248" t="s">
        <v>316</v>
      </c>
      <c r="C47" s="233">
        <f>SUM(C48:C51)</f>
        <v>0</v>
      </c>
      <c r="F47" s="246"/>
    </row>
    <row r="48" spans="1:6" s="211" customFormat="1" x14ac:dyDescent="0.25">
      <c r="A48" s="242">
        <v>41</v>
      </c>
      <c r="B48" s="236" t="s">
        <v>317</v>
      </c>
      <c r="C48" s="235">
        <v>0</v>
      </c>
      <c r="F48" s="246"/>
    </row>
    <row r="49" spans="1:6" s="211" customFormat="1" x14ac:dyDescent="0.25">
      <c r="A49" s="242">
        <v>42</v>
      </c>
      <c r="B49" s="237" t="s">
        <v>318</v>
      </c>
      <c r="C49" s="235">
        <v>0</v>
      </c>
      <c r="F49" s="246"/>
    </row>
    <row r="50" spans="1:6" s="211" customFormat="1" ht="25.5" x14ac:dyDescent="0.25">
      <c r="A50" s="242">
        <v>43</v>
      </c>
      <c r="B50" s="236" t="s">
        <v>319</v>
      </c>
      <c r="C50" s="235">
        <v>0</v>
      </c>
      <c r="F50" s="246"/>
    </row>
    <row r="51" spans="1:6" s="211" customFormat="1" ht="25.5" x14ac:dyDescent="0.25">
      <c r="A51" s="242">
        <v>44</v>
      </c>
      <c r="B51" s="236" t="s">
        <v>297</v>
      </c>
      <c r="C51" s="235">
        <v>0</v>
      </c>
      <c r="F51" s="246"/>
    </row>
    <row r="52" spans="1:6" s="211" customFormat="1" ht="15.75" thickBot="1" x14ac:dyDescent="0.3">
      <c r="A52" s="249">
        <v>45</v>
      </c>
      <c r="B52" s="250" t="s">
        <v>320</v>
      </c>
      <c r="C52" s="251">
        <f>C43-C47</f>
        <v>35852403.925693847</v>
      </c>
      <c r="F52" s="246"/>
    </row>
    <row r="53" spans="1:6" x14ac:dyDescent="0.25">
      <c r="F53" s="246"/>
    </row>
    <row r="54" spans="1:6" x14ac:dyDescent="0.25">
      <c r="F54" s="246"/>
    </row>
    <row r="55" spans="1:6" x14ac:dyDescent="0.25">
      <c r="B55" s="21" t="s">
        <v>321</v>
      </c>
      <c r="F55" s="246"/>
    </row>
    <row r="56" spans="1:6" x14ac:dyDescent="0.25">
      <c r="F56" s="246"/>
    </row>
    <row r="57" spans="1:6" x14ac:dyDescent="0.25">
      <c r="F57" s="246"/>
    </row>
    <row r="58" spans="1:6" x14ac:dyDescent="0.25">
      <c r="F58" s="246"/>
    </row>
    <row r="59" spans="1:6" x14ac:dyDescent="0.25">
      <c r="F59" s="246"/>
    </row>
    <row r="60" spans="1:6" x14ac:dyDescent="0.25">
      <c r="F60" s="246"/>
    </row>
    <row r="61" spans="1:6" x14ac:dyDescent="0.25">
      <c r="F61" s="246"/>
    </row>
    <row r="62" spans="1:6" x14ac:dyDescent="0.25">
      <c r="F62" s="246"/>
    </row>
    <row r="63" spans="1:6" x14ac:dyDescent="0.25">
      <c r="F63" s="246"/>
    </row>
    <row r="64" spans="1:6" x14ac:dyDescent="0.25">
      <c r="F64" s="246"/>
    </row>
    <row r="65" spans="6:6" x14ac:dyDescent="0.25">
      <c r="F65" s="246"/>
    </row>
    <row r="66" spans="6:6" x14ac:dyDescent="0.25">
      <c r="F66" s="246"/>
    </row>
    <row r="67" spans="6:6" x14ac:dyDescent="0.25">
      <c r="F67" s="246"/>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2" tint="-0.249977111117893"/>
  </sheetPr>
  <dimension ref="A1:F43"/>
  <sheetViews>
    <sheetView zoomScaleNormal="100" workbookViewId="0">
      <pane xSplit="1" ySplit="5" topLeftCell="B6" activePane="bottomRight" state="frozen"/>
      <selection activeCell="B8" sqref="B8"/>
      <selection pane="topRight" activeCell="B8" sqref="B8"/>
      <selection pane="bottomLeft" activeCell="B8" sqref="B8"/>
      <selection pane="bottomRight" activeCell="D21" sqref="D21"/>
    </sheetView>
  </sheetViews>
  <sheetFormatPr defaultRowHeight="15.75" x14ac:dyDescent="0.3"/>
  <cols>
    <col min="1" max="1" width="10.7109375" style="253" customWidth="1"/>
    <col min="2" max="2" width="91.85546875" style="253" customWidth="1"/>
    <col min="3" max="3" width="53.140625" style="253" customWidth="1"/>
    <col min="4" max="4" width="32.28515625" style="253" customWidth="1"/>
    <col min="5" max="5" width="9.42578125" customWidth="1"/>
  </cols>
  <sheetData>
    <row r="1" spans="1:6" x14ac:dyDescent="0.3">
      <c r="A1" s="252" t="s">
        <v>31</v>
      </c>
      <c r="B1" s="21" t="str">
        <f>'1. key ratios'!B1</f>
        <v>სს ტერაბანკი</v>
      </c>
      <c r="E1" s="21"/>
      <c r="F1" s="21"/>
    </row>
    <row r="2" spans="1:6" s="179" customFormat="1" ht="15.75" customHeight="1" x14ac:dyDescent="0.3">
      <c r="A2" s="254" t="s">
        <v>33</v>
      </c>
      <c r="B2" s="60">
        <f>'1. key ratios'!B2</f>
        <v>42916</v>
      </c>
    </row>
    <row r="3" spans="1:6" s="179" customFormat="1" ht="15.75" customHeight="1" x14ac:dyDescent="0.3">
      <c r="A3" s="254"/>
    </row>
    <row r="4" spans="1:6" s="179" customFormat="1" ht="15.75" customHeight="1" thickBot="1" x14ac:dyDescent="0.35">
      <c r="A4" s="179" t="s">
        <v>322</v>
      </c>
      <c r="B4" s="255" t="s">
        <v>21</v>
      </c>
      <c r="D4" s="256" t="s">
        <v>73</v>
      </c>
    </row>
    <row r="5" spans="1:6" ht="38.25" x14ac:dyDescent="0.25">
      <c r="A5" s="257" t="s">
        <v>35</v>
      </c>
      <c r="B5" s="258" t="s">
        <v>259</v>
      </c>
      <c r="C5" s="259" t="s">
        <v>323</v>
      </c>
      <c r="D5" s="260" t="s">
        <v>324</v>
      </c>
    </row>
    <row r="6" spans="1:6" x14ac:dyDescent="0.3">
      <c r="A6" s="261">
        <v>1</v>
      </c>
      <c r="B6" s="262" t="s">
        <v>80</v>
      </c>
      <c r="C6" s="263">
        <f>'2. RC'!E7</f>
        <v>26358553.060000002</v>
      </c>
      <c r="D6" s="264"/>
      <c r="E6" s="265"/>
    </row>
    <row r="7" spans="1:6" x14ac:dyDescent="0.3">
      <c r="A7" s="261">
        <v>2</v>
      </c>
      <c r="B7" s="266" t="s">
        <v>81</v>
      </c>
      <c r="C7" s="263">
        <f>'2. RC'!E8</f>
        <v>93901763.379999995</v>
      </c>
      <c r="D7" s="267"/>
      <c r="E7" s="265"/>
    </row>
    <row r="8" spans="1:6" x14ac:dyDescent="0.3">
      <c r="A8" s="261">
        <v>3</v>
      </c>
      <c r="B8" s="266" t="s">
        <v>82</v>
      </c>
      <c r="C8" s="263">
        <f>'2. RC'!E9</f>
        <v>26802457.419999998</v>
      </c>
      <c r="D8" s="267"/>
      <c r="E8" s="265"/>
    </row>
    <row r="9" spans="1:6" x14ac:dyDescent="0.3">
      <c r="A9" s="261">
        <v>4</v>
      </c>
      <c r="B9" s="266" t="s">
        <v>83</v>
      </c>
      <c r="C9" s="263">
        <f>'2. RC'!E10</f>
        <v>0</v>
      </c>
      <c r="D9" s="267"/>
      <c r="E9" s="265"/>
    </row>
    <row r="10" spans="1:6" x14ac:dyDescent="0.3">
      <c r="A10" s="261">
        <v>5</v>
      </c>
      <c r="B10" s="266" t="s">
        <v>84</v>
      </c>
      <c r="C10" s="263">
        <f>'2. RC'!E11</f>
        <v>39835771.289999999</v>
      </c>
      <c r="D10" s="267"/>
      <c r="E10" s="265"/>
    </row>
    <row r="11" spans="1:6" x14ac:dyDescent="0.3">
      <c r="A11" s="261">
        <v>6.1</v>
      </c>
      <c r="B11" s="266" t="s">
        <v>85</v>
      </c>
      <c r="C11" s="268">
        <f>'2. RC'!E12</f>
        <v>486266288.5399996</v>
      </c>
      <c r="D11" s="269"/>
      <c r="E11" s="270"/>
    </row>
    <row r="12" spans="1:6" x14ac:dyDescent="0.3">
      <c r="A12" s="261">
        <v>6.2</v>
      </c>
      <c r="B12" s="271" t="s">
        <v>86</v>
      </c>
      <c r="C12" s="268">
        <f>'2. RC'!E13</f>
        <v>-38790210.420000315</v>
      </c>
      <c r="D12" s="272" t="s">
        <v>325</v>
      </c>
      <c r="E12" s="270"/>
    </row>
    <row r="13" spans="1:6" x14ac:dyDescent="0.3">
      <c r="A13" s="261" t="s">
        <v>326</v>
      </c>
      <c r="B13" s="271" t="s">
        <v>327</v>
      </c>
      <c r="C13" s="273">
        <f>-'5. RWA'!C6*1.25%</f>
        <v>-8890279.1656938456</v>
      </c>
      <c r="D13" s="272" t="s">
        <v>325</v>
      </c>
      <c r="E13" s="270"/>
    </row>
    <row r="14" spans="1:6" x14ac:dyDescent="0.3">
      <c r="A14" s="261" t="s">
        <v>328</v>
      </c>
      <c r="B14" s="271" t="s">
        <v>329</v>
      </c>
      <c r="C14" s="273">
        <v>-8194109.4000000246</v>
      </c>
      <c r="D14" s="272" t="s">
        <v>325</v>
      </c>
      <c r="E14" s="270"/>
    </row>
    <row r="15" spans="1:6" x14ac:dyDescent="0.3">
      <c r="A15" s="261">
        <v>6</v>
      </c>
      <c r="B15" s="266" t="s">
        <v>87</v>
      </c>
      <c r="C15" s="274">
        <f>C11+C12</f>
        <v>447476078.11999929</v>
      </c>
      <c r="D15" s="269"/>
      <c r="E15" s="265"/>
    </row>
    <row r="16" spans="1:6" x14ac:dyDescent="0.3">
      <c r="A16" s="261">
        <v>7</v>
      </c>
      <c r="B16" s="266" t="s">
        <v>88</v>
      </c>
      <c r="C16" s="275">
        <f>'2. RC'!E15</f>
        <v>4648535.79</v>
      </c>
      <c r="D16" s="267"/>
      <c r="E16" s="265"/>
    </row>
    <row r="17" spans="1:5" x14ac:dyDescent="0.3">
      <c r="A17" s="261">
        <v>8</v>
      </c>
      <c r="B17" s="266" t="s">
        <v>89</v>
      </c>
      <c r="C17" s="275">
        <f>'2. RC'!E16</f>
        <v>10585519.940000001</v>
      </c>
      <c r="D17" s="267"/>
      <c r="E17" s="265"/>
    </row>
    <row r="18" spans="1:5" x14ac:dyDescent="0.3">
      <c r="A18" s="261">
        <v>9</v>
      </c>
      <c r="B18" s="266" t="s">
        <v>90</v>
      </c>
      <c r="C18" s="275">
        <f>'2. RC'!E17</f>
        <v>2538</v>
      </c>
      <c r="D18" s="267"/>
      <c r="E18" s="265"/>
    </row>
    <row r="19" spans="1:5" x14ac:dyDescent="0.3">
      <c r="A19" s="261">
        <v>9.1999999999999993</v>
      </c>
      <c r="B19" s="276" t="s">
        <v>330</v>
      </c>
      <c r="C19" s="277">
        <v>2538</v>
      </c>
      <c r="D19" s="267"/>
      <c r="E19" s="265"/>
    </row>
    <row r="20" spans="1:5" x14ac:dyDescent="0.3">
      <c r="A20" s="261">
        <v>10</v>
      </c>
      <c r="B20" s="266" t="s">
        <v>91</v>
      </c>
      <c r="C20" s="275">
        <f>'2. RC'!E18</f>
        <v>45676191.169999994</v>
      </c>
      <c r="D20" s="267"/>
      <c r="E20" s="265"/>
    </row>
    <row r="21" spans="1:5" x14ac:dyDescent="0.3">
      <c r="A21" s="261">
        <v>10.1</v>
      </c>
      <c r="B21" s="276" t="s">
        <v>331</v>
      </c>
      <c r="C21" s="275">
        <f>'9. Capital'!C15</f>
        <v>29466340</v>
      </c>
      <c r="D21" s="272" t="s">
        <v>332</v>
      </c>
      <c r="E21" s="265"/>
    </row>
    <row r="22" spans="1:5" x14ac:dyDescent="0.3">
      <c r="A22" s="261">
        <v>11</v>
      </c>
      <c r="B22" s="278" t="s">
        <v>92</v>
      </c>
      <c r="C22" s="279">
        <f>'2. RC'!E19</f>
        <v>4509235.0100000184</v>
      </c>
      <c r="D22" s="280"/>
      <c r="E22" s="265"/>
    </row>
    <row r="23" spans="1:5" x14ac:dyDescent="0.3">
      <c r="A23" s="261">
        <v>12</v>
      </c>
      <c r="B23" s="281" t="s">
        <v>93</v>
      </c>
      <c r="C23" s="282">
        <f>SUM(C6:C10,C15:C18,C20,C22)</f>
        <v>699796643.17999923</v>
      </c>
      <c r="D23" s="283"/>
      <c r="E23" s="284"/>
    </row>
    <row r="24" spans="1:5" x14ac:dyDescent="0.3">
      <c r="A24" s="261">
        <v>13</v>
      </c>
      <c r="B24" s="266" t="s">
        <v>95</v>
      </c>
      <c r="C24" s="285">
        <f>'2. RC'!E22</f>
        <v>7162932.3199999994</v>
      </c>
      <c r="D24" s="286"/>
      <c r="E24" s="265"/>
    </row>
    <row r="25" spans="1:5" x14ac:dyDescent="0.3">
      <c r="A25" s="261">
        <v>14</v>
      </c>
      <c r="B25" s="266" t="s">
        <v>96</v>
      </c>
      <c r="C25" s="285">
        <f>'2. RC'!E23</f>
        <v>187789479.93000522</v>
      </c>
      <c r="D25" s="267"/>
      <c r="E25" s="265"/>
    </row>
    <row r="26" spans="1:5" x14ac:dyDescent="0.3">
      <c r="A26" s="261">
        <v>15</v>
      </c>
      <c r="B26" s="266" t="s">
        <v>97</v>
      </c>
      <c r="C26" s="285">
        <f>'2. RC'!E24</f>
        <v>148783531.14999995</v>
      </c>
      <c r="D26" s="267"/>
      <c r="E26" s="265"/>
    </row>
    <row r="27" spans="1:5" x14ac:dyDescent="0.3">
      <c r="A27" s="261">
        <v>16</v>
      </c>
      <c r="B27" s="266" t="s">
        <v>98</v>
      </c>
      <c r="C27" s="285">
        <f>'2. RC'!E25</f>
        <v>172302162.29000029</v>
      </c>
      <c r="D27" s="267"/>
      <c r="E27" s="265"/>
    </row>
    <row r="28" spans="1:5" x14ac:dyDescent="0.3">
      <c r="A28" s="261">
        <v>17</v>
      </c>
      <c r="B28" s="266" t="s">
        <v>99</v>
      </c>
      <c r="C28" s="285">
        <f>'2. RC'!E26</f>
        <v>0</v>
      </c>
      <c r="D28" s="267"/>
      <c r="E28" s="265"/>
    </row>
    <row r="29" spans="1:5" x14ac:dyDescent="0.3">
      <c r="A29" s="261">
        <v>18</v>
      </c>
      <c r="B29" s="266" t="s">
        <v>100</v>
      </c>
      <c r="C29" s="285">
        <f>'2. RC'!E27</f>
        <v>32696600</v>
      </c>
      <c r="D29" s="267"/>
      <c r="E29" s="265"/>
    </row>
    <row r="30" spans="1:5" x14ac:dyDescent="0.3">
      <c r="A30" s="261">
        <v>19</v>
      </c>
      <c r="B30" s="266" t="s">
        <v>101</v>
      </c>
      <c r="C30" s="285">
        <f>'2. RC'!E28</f>
        <v>2403717.92</v>
      </c>
      <c r="D30" s="267"/>
      <c r="E30" s="265"/>
    </row>
    <row r="31" spans="1:5" x14ac:dyDescent="0.3">
      <c r="A31" s="261">
        <v>20</v>
      </c>
      <c r="B31" s="266" t="s">
        <v>102</v>
      </c>
      <c r="C31" s="285">
        <f>'2. RC'!E29</f>
        <v>11628274.909999989</v>
      </c>
      <c r="D31" s="272" t="s">
        <v>325</v>
      </c>
      <c r="E31" s="265"/>
    </row>
    <row r="32" spans="1:5" x14ac:dyDescent="0.3">
      <c r="A32" s="261">
        <v>20.100000000000001</v>
      </c>
      <c r="B32" s="278" t="s">
        <v>333</v>
      </c>
      <c r="C32" s="287">
        <v>739648.1399999999</v>
      </c>
      <c r="D32" s="272" t="s">
        <v>325</v>
      </c>
      <c r="E32" s="265"/>
    </row>
    <row r="33" spans="1:5" x14ac:dyDescent="0.3">
      <c r="A33" s="261">
        <v>21</v>
      </c>
      <c r="B33" s="278" t="s">
        <v>103</v>
      </c>
      <c r="C33" s="285">
        <f>'2. RC'!E30</f>
        <v>30573667.140000001</v>
      </c>
      <c r="D33" s="280"/>
      <c r="E33" s="265"/>
    </row>
    <row r="34" spans="1:5" x14ac:dyDescent="0.3">
      <c r="A34" s="261">
        <v>21.1</v>
      </c>
      <c r="B34" s="288" t="s">
        <v>334</v>
      </c>
      <c r="C34" s="285">
        <v>26962124.760000002</v>
      </c>
      <c r="D34" s="272" t="s">
        <v>335</v>
      </c>
      <c r="E34" s="265"/>
    </row>
    <row r="35" spans="1:5" x14ac:dyDescent="0.3">
      <c r="A35" s="261">
        <v>22</v>
      </c>
      <c r="B35" s="281" t="s">
        <v>104</v>
      </c>
      <c r="C35" s="282">
        <f>SUM(C24:C31)+C33</f>
        <v>593340365.66000533</v>
      </c>
      <c r="D35" s="283"/>
      <c r="E35" s="284"/>
    </row>
    <row r="36" spans="1:5" x14ac:dyDescent="0.3">
      <c r="A36" s="261">
        <v>23</v>
      </c>
      <c r="B36" s="278" t="s">
        <v>106</v>
      </c>
      <c r="C36" s="275">
        <f>'2. RC'!E33</f>
        <v>121372000</v>
      </c>
      <c r="D36" s="272" t="s">
        <v>336</v>
      </c>
      <c r="E36" s="265"/>
    </row>
    <row r="37" spans="1:5" x14ac:dyDescent="0.3">
      <c r="A37" s="261">
        <v>24</v>
      </c>
      <c r="B37" s="278" t="s">
        <v>107</v>
      </c>
      <c r="C37" s="289">
        <f>'2. RC'!E34</f>
        <v>0</v>
      </c>
      <c r="D37" s="267"/>
      <c r="E37" s="265"/>
    </row>
    <row r="38" spans="1:5" x14ac:dyDescent="0.3">
      <c r="A38" s="261">
        <v>25</v>
      </c>
      <c r="B38" s="278" t="s">
        <v>337</v>
      </c>
      <c r="C38" s="289">
        <f>'2. RC'!E35</f>
        <v>0</v>
      </c>
      <c r="D38" s="267"/>
      <c r="E38" s="265"/>
    </row>
    <row r="39" spans="1:5" x14ac:dyDescent="0.3">
      <c r="A39" s="261">
        <v>26</v>
      </c>
      <c r="B39" s="278" t="s">
        <v>109</v>
      </c>
      <c r="C39" s="289">
        <f>'2. RC'!E36</f>
        <v>0</v>
      </c>
      <c r="D39" s="267"/>
      <c r="E39" s="265"/>
    </row>
    <row r="40" spans="1:5" x14ac:dyDescent="0.3">
      <c r="A40" s="261">
        <v>27</v>
      </c>
      <c r="B40" s="278" t="s">
        <v>110</v>
      </c>
      <c r="C40" s="289">
        <f>'2. RC'!E37</f>
        <v>0</v>
      </c>
      <c r="D40" s="267"/>
      <c r="E40" s="265"/>
    </row>
    <row r="41" spans="1:5" x14ac:dyDescent="0.3">
      <c r="A41" s="261">
        <v>28</v>
      </c>
      <c r="B41" s="278" t="s">
        <v>111</v>
      </c>
      <c r="C41" s="290">
        <f>'2. RC'!E38</f>
        <v>-14915722.42999999</v>
      </c>
      <c r="D41" s="272" t="s">
        <v>338</v>
      </c>
      <c r="E41" s="265"/>
    </row>
    <row r="42" spans="1:5" x14ac:dyDescent="0.3">
      <c r="A42" s="261">
        <v>29</v>
      </c>
      <c r="B42" s="278" t="s">
        <v>286</v>
      </c>
      <c r="C42" s="289">
        <f>'2. RC'!E39</f>
        <v>0</v>
      </c>
      <c r="D42" s="272" t="s">
        <v>339</v>
      </c>
      <c r="E42" s="265"/>
    </row>
    <row r="43" spans="1:5" ht="16.5" thickBot="1" x14ac:dyDescent="0.35">
      <c r="A43" s="291">
        <v>30</v>
      </c>
      <c r="B43" s="292" t="s">
        <v>113</v>
      </c>
      <c r="C43" s="293">
        <f>SUM(C36:C42)</f>
        <v>106456277.57000001</v>
      </c>
      <c r="D43" s="294"/>
      <c r="E43" s="284"/>
    </row>
  </sheetData>
  <pageMargins left="0.7" right="0.7" top="0.75" bottom="0.75" header="0.3" footer="0.3"/>
  <pageSetup paperSize="9" orientation="portrait" horizontalDpi="4294967295" verticalDpi="4294967295"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S22"/>
  <sheetViews>
    <sheetView workbookViewId="0">
      <pane xSplit="2" ySplit="7" topLeftCell="C8" activePane="bottomRight" state="frozen"/>
      <selection activeCell="B8" sqref="B8"/>
      <selection pane="topRight" activeCell="B8" sqref="B8"/>
      <selection pane="bottomLeft" activeCell="B8" sqref="B8"/>
      <selection pane="bottomRight" activeCell="B25" sqref="B25:C25"/>
    </sheetView>
  </sheetViews>
  <sheetFormatPr defaultColWidth="9.140625" defaultRowHeight="12.75" x14ac:dyDescent="0.2"/>
  <cols>
    <col min="1" max="1" width="10.5703125" style="21" bestFit="1" customWidth="1"/>
    <col min="2" max="2" width="95" style="21" customWidth="1"/>
    <col min="3" max="3" width="13.5703125" style="21" bestFit="1" customWidth="1"/>
    <col min="4" max="4" width="13.28515625" style="21" bestFit="1" customWidth="1"/>
    <col min="5" max="5" width="13.5703125" style="21" bestFit="1" customWidth="1"/>
    <col min="6" max="6" width="13.28515625" style="21" bestFit="1" customWidth="1"/>
    <col min="7" max="7" width="9.42578125" style="21" bestFit="1" customWidth="1"/>
    <col min="8" max="8" width="13.28515625" style="21" bestFit="1" customWidth="1"/>
    <col min="9" max="9" width="10" style="21" bestFit="1" customWidth="1"/>
    <col min="10" max="10" width="13.28515625" style="21" bestFit="1" customWidth="1"/>
    <col min="11" max="11" width="12" style="21" bestFit="1" customWidth="1"/>
    <col min="12" max="12" width="13.28515625" style="21" bestFit="1" customWidth="1"/>
    <col min="13" max="13" width="12" style="21" bestFit="1" customWidth="1"/>
    <col min="14" max="14" width="13.28515625" style="21" bestFit="1" customWidth="1"/>
    <col min="15" max="15" width="10" style="21" bestFit="1" customWidth="1"/>
    <col min="16" max="16" width="13.28515625" style="21" bestFit="1" customWidth="1"/>
    <col min="17" max="17" width="9.42578125" style="21" bestFit="1" customWidth="1"/>
    <col min="18" max="18" width="13.28515625" style="21" bestFit="1" customWidth="1"/>
    <col min="19" max="19" width="33" style="21" bestFit="1" customWidth="1"/>
    <col min="20" max="16384" width="9.140625" style="106"/>
  </cols>
  <sheetData>
    <row r="1" spans="1:19" x14ac:dyDescent="0.2">
      <c r="A1" s="21" t="s">
        <v>31</v>
      </c>
      <c r="B1" s="21" t="str">
        <f>'1. key ratios'!B1</f>
        <v>სს ტერაბანკი</v>
      </c>
    </row>
    <row r="2" spans="1:19" x14ac:dyDescent="0.2">
      <c r="A2" s="21" t="s">
        <v>33</v>
      </c>
      <c r="B2" s="60">
        <f>'1. key ratios'!B2</f>
        <v>42916</v>
      </c>
    </row>
    <row r="4" spans="1:19" ht="39" thickBot="1" x14ac:dyDescent="0.25">
      <c r="A4" s="220" t="s">
        <v>340</v>
      </c>
      <c r="B4" s="295" t="s">
        <v>341</v>
      </c>
    </row>
    <row r="5" spans="1:19" x14ac:dyDescent="0.2">
      <c r="A5" s="296"/>
      <c r="B5" s="297"/>
      <c r="C5" s="298" t="s">
        <v>254</v>
      </c>
      <c r="D5" s="298" t="s">
        <v>255</v>
      </c>
      <c r="E5" s="298" t="s">
        <v>256</v>
      </c>
      <c r="F5" s="298" t="s">
        <v>257</v>
      </c>
      <c r="G5" s="298" t="s">
        <v>342</v>
      </c>
      <c r="H5" s="298" t="s">
        <v>343</v>
      </c>
      <c r="I5" s="298" t="s">
        <v>344</v>
      </c>
      <c r="J5" s="298" t="s">
        <v>345</v>
      </c>
      <c r="K5" s="298" t="s">
        <v>346</v>
      </c>
      <c r="L5" s="298" t="s">
        <v>347</v>
      </c>
      <c r="M5" s="298" t="s">
        <v>348</v>
      </c>
      <c r="N5" s="298" t="s">
        <v>349</v>
      </c>
      <c r="O5" s="298" t="s">
        <v>350</v>
      </c>
      <c r="P5" s="298" t="s">
        <v>351</v>
      </c>
      <c r="Q5" s="298" t="s">
        <v>352</v>
      </c>
      <c r="R5" s="299" t="s">
        <v>353</v>
      </c>
      <c r="S5" s="300" t="s">
        <v>354</v>
      </c>
    </row>
    <row r="6" spans="1:19" ht="46.5" customHeight="1" x14ac:dyDescent="0.2">
      <c r="A6" s="301"/>
      <c r="B6" s="433" t="s">
        <v>355</v>
      </c>
      <c r="C6" s="429">
        <v>0</v>
      </c>
      <c r="D6" s="430"/>
      <c r="E6" s="429">
        <v>0.2</v>
      </c>
      <c r="F6" s="430"/>
      <c r="G6" s="429">
        <v>0.35</v>
      </c>
      <c r="H6" s="430"/>
      <c r="I6" s="429">
        <v>0.5</v>
      </c>
      <c r="J6" s="430"/>
      <c r="K6" s="429">
        <v>0.75</v>
      </c>
      <c r="L6" s="430"/>
      <c r="M6" s="429">
        <v>1</v>
      </c>
      <c r="N6" s="430"/>
      <c r="O6" s="429">
        <v>1.5</v>
      </c>
      <c r="P6" s="430"/>
      <c r="Q6" s="429">
        <v>2.5</v>
      </c>
      <c r="R6" s="430"/>
      <c r="S6" s="431" t="s">
        <v>356</v>
      </c>
    </row>
    <row r="7" spans="1:19" x14ac:dyDescent="0.2">
      <c r="A7" s="301"/>
      <c r="B7" s="434"/>
      <c r="C7" s="302" t="s">
        <v>357</v>
      </c>
      <c r="D7" s="302" t="s">
        <v>358</v>
      </c>
      <c r="E7" s="302" t="s">
        <v>357</v>
      </c>
      <c r="F7" s="302" t="s">
        <v>358</v>
      </c>
      <c r="G7" s="302" t="s">
        <v>357</v>
      </c>
      <c r="H7" s="302" t="s">
        <v>358</v>
      </c>
      <c r="I7" s="302" t="s">
        <v>357</v>
      </c>
      <c r="J7" s="302" t="s">
        <v>358</v>
      </c>
      <c r="K7" s="302" t="s">
        <v>357</v>
      </c>
      <c r="L7" s="302" t="s">
        <v>358</v>
      </c>
      <c r="M7" s="302" t="s">
        <v>357</v>
      </c>
      <c r="N7" s="302" t="s">
        <v>358</v>
      </c>
      <c r="O7" s="302" t="s">
        <v>357</v>
      </c>
      <c r="P7" s="302" t="s">
        <v>358</v>
      </c>
      <c r="Q7" s="302" t="s">
        <v>357</v>
      </c>
      <c r="R7" s="302" t="s">
        <v>358</v>
      </c>
      <c r="S7" s="432"/>
    </row>
    <row r="8" spans="1:19" s="309" customFormat="1" x14ac:dyDescent="0.2">
      <c r="A8" s="303">
        <v>1</v>
      </c>
      <c r="B8" s="304" t="s">
        <v>359</v>
      </c>
      <c r="C8" s="305">
        <v>58928419.079999998</v>
      </c>
      <c r="D8" s="306"/>
      <c r="E8" s="305">
        <v>10593751.23</v>
      </c>
      <c r="F8" s="307"/>
      <c r="G8" s="305">
        <v>0</v>
      </c>
      <c r="H8" s="306"/>
      <c r="I8" s="305">
        <v>0</v>
      </c>
      <c r="J8" s="306"/>
      <c r="K8" s="305">
        <v>0</v>
      </c>
      <c r="L8" s="306"/>
      <c r="M8" s="305">
        <v>66321240.569999993</v>
      </c>
      <c r="N8" s="306"/>
      <c r="O8" s="305">
        <v>0</v>
      </c>
      <c r="P8" s="306"/>
      <c r="Q8" s="305">
        <v>0</v>
      </c>
      <c r="R8" s="307"/>
      <c r="S8" s="308">
        <f>$C$6*SUM(C8:D8)+$E$6*SUM(E8:F8)+$G$6*SUM(G8:H8)+$I$6*SUM(I8:J8)+$K$6*SUM(K8:L8)+$M$6*SUM(M8:N8)+$O$6*SUM(O8:P8)+$Q$6*SUM(Q8:R8)</f>
        <v>68439990.816</v>
      </c>
    </row>
    <row r="9" spans="1:19" s="309" customFormat="1" x14ac:dyDescent="0.2">
      <c r="A9" s="303">
        <v>2</v>
      </c>
      <c r="B9" s="304" t="s">
        <v>360</v>
      </c>
      <c r="C9" s="305">
        <v>0</v>
      </c>
      <c r="D9" s="306"/>
      <c r="E9" s="305">
        <v>0</v>
      </c>
      <c r="F9" s="306"/>
      <c r="G9" s="305">
        <v>0</v>
      </c>
      <c r="H9" s="306"/>
      <c r="I9" s="305">
        <v>0</v>
      </c>
      <c r="J9" s="306"/>
      <c r="K9" s="305">
        <v>0</v>
      </c>
      <c r="L9" s="306"/>
      <c r="M9" s="305">
        <v>0</v>
      </c>
      <c r="N9" s="306"/>
      <c r="O9" s="305">
        <v>0</v>
      </c>
      <c r="P9" s="306"/>
      <c r="Q9" s="305">
        <v>0</v>
      </c>
      <c r="R9" s="307"/>
      <c r="S9" s="308">
        <f t="shared" ref="S9:S21" si="0">$C$6*SUM(C9:D9)+$E$6*SUM(E9:F9)+$G$6*SUM(G9:H9)+$I$6*SUM(I9:J9)+$K$6*SUM(K9:L9)+$M$6*SUM(M9:N9)+$O$6*SUM(O9:P9)+$Q$6*SUM(Q9:R9)</f>
        <v>0</v>
      </c>
    </row>
    <row r="10" spans="1:19" s="309" customFormat="1" x14ac:dyDescent="0.2">
      <c r="A10" s="303">
        <v>3</v>
      </c>
      <c r="B10" s="304" t="s">
        <v>361</v>
      </c>
      <c r="C10" s="305">
        <v>0</v>
      </c>
      <c r="D10" s="306"/>
      <c r="E10" s="305">
        <v>0</v>
      </c>
      <c r="F10" s="306"/>
      <c r="G10" s="305">
        <v>0</v>
      </c>
      <c r="H10" s="306"/>
      <c r="I10" s="305">
        <v>0</v>
      </c>
      <c r="J10" s="306"/>
      <c r="K10" s="305">
        <v>0</v>
      </c>
      <c r="L10" s="306"/>
      <c r="M10" s="305">
        <v>0</v>
      </c>
      <c r="N10" s="306"/>
      <c r="O10" s="305">
        <v>0</v>
      </c>
      <c r="P10" s="306"/>
      <c r="Q10" s="305">
        <v>0</v>
      </c>
      <c r="R10" s="307"/>
      <c r="S10" s="308">
        <f t="shared" si="0"/>
        <v>0</v>
      </c>
    </row>
    <row r="11" spans="1:19" s="309" customFormat="1" x14ac:dyDescent="0.2">
      <c r="A11" s="303">
        <v>4</v>
      </c>
      <c r="B11" s="304" t="s">
        <v>362</v>
      </c>
      <c r="C11" s="305">
        <v>0</v>
      </c>
      <c r="D11" s="306"/>
      <c r="E11" s="305">
        <v>0</v>
      </c>
      <c r="F11" s="306"/>
      <c r="G11" s="305">
        <v>0</v>
      </c>
      <c r="H11" s="306"/>
      <c r="I11" s="305">
        <v>0</v>
      </c>
      <c r="J11" s="306"/>
      <c r="K11" s="305">
        <v>0</v>
      </c>
      <c r="L11" s="306"/>
      <c r="M11" s="305">
        <v>0</v>
      </c>
      <c r="N11" s="306"/>
      <c r="O11" s="305">
        <v>0</v>
      </c>
      <c r="P11" s="306"/>
      <c r="Q11" s="305">
        <v>0</v>
      </c>
      <c r="R11" s="307"/>
      <c r="S11" s="308">
        <f t="shared" si="0"/>
        <v>0</v>
      </c>
    </row>
    <row r="12" spans="1:19" s="309" customFormat="1" x14ac:dyDescent="0.2">
      <c r="A12" s="303">
        <v>5</v>
      </c>
      <c r="B12" s="304" t="s">
        <v>363</v>
      </c>
      <c r="C12" s="305">
        <v>0</v>
      </c>
      <c r="D12" s="306"/>
      <c r="E12" s="305">
        <v>0</v>
      </c>
      <c r="F12" s="306"/>
      <c r="G12" s="305">
        <v>0</v>
      </c>
      <c r="H12" s="306"/>
      <c r="I12" s="305">
        <v>0</v>
      </c>
      <c r="J12" s="306"/>
      <c r="K12" s="305">
        <v>0</v>
      </c>
      <c r="L12" s="306"/>
      <c r="M12" s="305">
        <v>0</v>
      </c>
      <c r="N12" s="306"/>
      <c r="O12" s="305">
        <v>0</v>
      </c>
      <c r="P12" s="306"/>
      <c r="Q12" s="305">
        <v>0</v>
      </c>
      <c r="R12" s="307"/>
      <c r="S12" s="308">
        <f t="shared" si="0"/>
        <v>0</v>
      </c>
    </row>
    <row r="13" spans="1:19" s="309" customFormat="1" x14ac:dyDescent="0.2">
      <c r="A13" s="303">
        <v>6</v>
      </c>
      <c r="B13" s="304" t="s">
        <v>364</v>
      </c>
      <c r="C13" s="305">
        <v>0</v>
      </c>
      <c r="D13" s="306"/>
      <c r="E13" s="305">
        <v>19767546.579999998</v>
      </c>
      <c r="F13" s="306"/>
      <c r="G13" s="305">
        <v>0</v>
      </c>
      <c r="H13" s="306"/>
      <c r="I13" s="305">
        <v>6146172.5600000005</v>
      </c>
      <c r="J13" s="306"/>
      <c r="K13" s="305">
        <v>0</v>
      </c>
      <c r="L13" s="306"/>
      <c r="M13" s="305">
        <v>951319.15999999992</v>
      </c>
      <c r="N13" s="306"/>
      <c r="O13" s="305">
        <v>0</v>
      </c>
      <c r="P13" s="306"/>
      <c r="Q13" s="305">
        <v>0</v>
      </c>
      <c r="R13" s="307"/>
      <c r="S13" s="308">
        <f t="shared" si="0"/>
        <v>7977914.7560000001</v>
      </c>
    </row>
    <row r="14" spans="1:19" s="309" customFormat="1" x14ac:dyDescent="0.2">
      <c r="A14" s="303">
        <v>7</v>
      </c>
      <c r="B14" s="304" t="s">
        <v>365</v>
      </c>
      <c r="C14" s="305">
        <v>0</v>
      </c>
      <c r="D14" s="306"/>
      <c r="E14" s="305">
        <v>0</v>
      </c>
      <c r="F14" s="306"/>
      <c r="G14" s="305">
        <v>0</v>
      </c>
      <c r="H14" s="306"/>
      <c r="I14" s="305">
        <v>0</v>
      </c>
      <c r="J14" s="306">
        <v>1721817.2</v>
      </c>
      <c r="K14" s="305">
        <v>0</v>
      </c>
      <c r="L14" s="306"/>
      <c r="M14" s="305">
        <v>94963965.090000004</v>
      </c>
      <c r="N14" s="306">
        <v>15283830.464999998</v>
      </c>
      <c r="O14" s="305">
        <v>0</v>
      </c>
      <c r="P14" s="306"/>
      <c r="Q14" s="305">
        <v>0</v>
      </c>
      <c r="R14" s="307"/>
      <c r="S14" s="308">
        <f t="shared" si="0"/>
        <v>111108704.155</v>
      </c>
    </row>
    <row r="15" spans="1:19" s="309" customFormat="1" x14ac:dyDescent="0.2">
      <c r="A15" s="303">
        <v>8</v>
      </c>
      <c r="B15" s="304" t="s">
        <v>366</v>
      </c>
      <c r="C15" s="305">
        <v>0</v>
      </c>
      <c r="D15" s="306"/>
      <c r="E15" s="305">
        <v>0</v>
      </c>
      <c r="F15" s="306"/>
      <c r="G15" s="305">
        <v>0</v>
      </c>
      <c r="H15" s="306"/>
      <c r="I15" s="305">
        <v>0</v>
      </c>
      <c r="J15" s="306">
        <v>0</v>
      </c>
      <c r="K15" s="305">
        <v>156281503.20999971</v>
      </c>
      <c r="L15" s="306">
        <v>4886437.6669999985</v>
      </c>
      <c r="M15" s="305">
        <v>0</v>
      </c>
      <c r="N15" s="306"/>
      <c r="O15" s="305">
        <v>0</v>
      </c>
      <c r="P15" s="306"/>
      <c r="Q15" s="305">
        <v>0</v>
      </c>
      <c r="R15" s="307"/>
      <c r="S15" s="308">
        <f t="shared" si="0"/>
        <v>120875955.65774977</v>
      </c>
    </row>
    <row r="16" spans="1:19" s="309" customFormat="1" x14ac:dyDescent="0.2">
      <c r="A16" s="303">
        <v>9</v>
      </c>
      <c r="B16" s="304" t="s">
        <v>367</v>
      </c>
      <c r="C16" s="305">
        <v>0</v>
      </c>
      <c r="D16" s="306"/>
      <c r="E16" s="305">
        <v>0</v>
      </c>
      <c r="F16" s="306"/>
      <c r="G16" s="305">
        <v>0</v>
      </c>
      <c r="H16" s="306"/>
      <c r="I16" s="305">
        <v>0</v>
      </c>
      <c r="J16" s="306"/>
      <c r="K16" s="305">
        <v>0</v>
      </c>
      <c r="L16" s="306"/>
      <c r="M16" s="305">
        <v>0</v>
      </c>
      <c r="N16" s="306"/>
      <c r="O16" s="305">
        <v>0</v>
      </c>
      <c r="P16" s="306"/>
      <c r="Q16" s="305">
        <v>0</v>
      </c>
      <c r="R16" s="307"/>
      <c r="S16" s="308">
        <f t="shared" si="0"/>
        <v>0</v>
      </c>
    </row>
    <row r="17" spans="1:19" s="309" customFormat="1" x14ac:dyDescent="0.2">
      <c r="A17" s="303">
        <v>10</v>
      </c>
      <c r="B17" s="304" t="s">
        <v>368</v>
      </c>
      <c r="C17" s="305">
        <v>0</v>
      </c>
      <c r="D17" s="306"/>
      <c r="E17" s="305">
        <v>0</v>
      </c>
      <c r="F17" s="306"/>
      <c r="G17" s="305">
        <v>0</v>
      </c>
      <c r="H17" s="306"/>
      <c r="I17" s="305">
        <v>0</v>
      </c>
      <c r="J17" s="306"/>
      <c r="K17" s="305">
        <v>0</v>
      </c>
      <c r="L17" s="306"/>
      <c r="M17" s="305">
        <v>15834094.24000001</v>
      </c>
      <c r="N17" s="306"/>
      <c r="O17" s="305">
        <v>2201580.1200000006</v>
      </c>
      <c r="P17" s="306"/>
      <c r="Q17" s="305">
        <v>0</v>
      </c>
      <c r="R17" s="307"/>
      <c r="S17" s="308">
        <f t="shared" si="0"/>
        <v>19136464.420000009</v>
      </c>
    </row>
    <row r="18" spans="1:19" s="309" customFormat="1" x14ac:dyDescent="0.2">
      <c r="A18" s="303">
        <v>11</v>
      </c>
      <c r="B18" s="304" t="s">
        <v>369</v>
      </c>
      <c r="C18" s="305">
        <v>0</v>
      </c>
      <c r="D18" s="306"/>
      <c r="E18" s="305">
        <v>0</v>
      </c>
      <c r="F18" s="306"/>
      <c r="G18" s="305">
        <v>0</v>
      </c>
      <c r="H18" s="306"/>
      <c r="I18" s="305">
        <v>0</v>
      </c>
      <c r="J18" s="306"/>
      <c r="K18" s="305">
        <v>0</v>
      </c>
      <c r="L18" s="306"/>
      <c r="M18" s="305">
        <v>0</v>
      </c>
      <c r="N18" s="306"/>
      <c r="O18" s="305">
        <v>0</v>
      </c>
      <c r="P18" s="306"/>
      <c r="Q18" s="305">
        <v>0</v>
      </c>
      <c r="R18" s="307"/>
      <c r="S18" s="308">
        <f t="shared" si="0"/>
        <v>0</v>
      </c>
    </row>
    <row r="19" spans="1:19" s="309" customFormat="1" x14ac:dyDescent="0.2">
      <c r="A19" s="303">
        <v>12</v>
      </c>
      <c r="B19" s="304" t="s">
        <v>370</v>
      </c>
      <c r="C19" s="305">
        <v>0</v>
      </c>
      <c r="D19" s="306"/>
      <c r="E19" s="305">
        <v>0</v>
      </c>
      <c r="F19" s="306"/>
      <c r="G19" s="305">
        <v>0</v>
      </c>
      <c r="H19" s="306"/>
      <c r="I19" s="305">
        <v>0</v>
      </c>
      <c r="J19" s="306"/>
      <c r="K19" s="305">
        <v>0</v>
      </c>
      <c r="L19" s="306"/>
      <c r="M19" s="305">
        <v>0</v>
      </c>
      <c r="N19" s="306"/>
      <c r="O19" s="305">
        <v>0</v>
      </c>
      <c r="P19" s="306"/>
      <c r="Q19" s="305">
        <v>0</v>
      </c>
      <c r="R19" s="307"/>
      <c r="S19" s="308">
        <f t="shared" si="0"/>
        <v>0</v>
      </c>
    </row>
    <row r="20" spans="1:19" s="309" customFormat="1" x14ac:dyDescent="0.2">
      <c r="A20" s="303">
        <v>13</v>
      </c>
      <c r="B20" s="304" t="s">
        <v>371</v>
      </c>
      <c r="C20" s="305">
        <v>0</v>
      </c>
      <c r="D20" s="306"/>
      <c r="E20" s="305">
        <v>0</v>
      </c>
      <c r="F20" s="306"/>
      <c r="G20" s="305">
        <v>0</v>
      </c>
      <c r="H20" s="306"/>
      <c r="I20" s="305">
        <v>0</v>
      </c>
      <c r="J20" s="306"/>
      <c r="K20" s="305">
        <v>0</v>
      </c>
      <c r="L20" s="306"/>
      <c r="M20" s="305">
        <v>0</v>
      </c>
      <c r="N20" s="306"/>
      <c r="O20" s="305">
        <v>0</v>
      </c>
      <c r="P20" s="306"/>
      <c r="Q20" s="305">
        <v>0</v>
      </c>
      <c r="R20" s="307"/>
      <c r="S20" s="308">
        <f t="shared" si="0"/>
        <v>0</v>
      </c>
    </row>
    <row r="21" spans="1:19" s="309" customFormat="1" x14ac:dyDescent="0.2">
      <c r="A21" s="303">
        <v>14</v>
      </c>
      <c r="B21" s="304" t="s">
        <v>372</v>
      </c>
      <c r="C21" s="305">
        <v>26347076.140000001</v>
      </c>
      <c r="D21" s="306"/>
      <c r="E21" s="305">
        <v>11476.92</v>
      </c>
      <c r="F21" s="306"/>
      <c r="G21" s="305">
        <v>0</v>
      </c>
      <c r="H21" s="306"/>
      <c r="I21" s="305">
        <v>0</v>
      </c>
      <c r="J21" s="306">
        <v>0</v>
      </c>
      <c r="K21" s="305">
        <v>0</v>
      </c>
      <c r="L21" s="306"/>
      <c r="M21" s="305">
        <v>220173729.49999869</v>
      </c>
      <c r="N21" s="306">
        <v>4544589.6909999987</v>
      </c>
      <c r="O21" s="305">
        <v>0</v>
      </c>
      <c r="P21" s="306"/>
      <c r="Q21" s="305">
        <v>2538</v>
      </c>
      <c r="R21" s="307"/>
      <c r="S21" s="308">
        <f t="shared" si="0"/>
        <v>224726959.57499868</v>
      </c>
    </row>
    <row r="22" spans="1:19" ht="13.5" thickBot="1" x14ac:dyDescent="0.25">
      <c r="A22" s="310"/>
      <c r="B22" s="311" t="s">
        <v>79</v>
      </c>
      <c r="C22" s="312">
        <f>SUM(C8:C21)</f>
        <v>85275495.219999999</v>
      </c>
      <c r="D22" s="312">
        <f t="shared" ref="D22:S22" si="1">SUM(D8:D21)</f>
        <v>0</v>
      </c>
      <c r="E22" s="312">
        <f t="shared" si="1"/>
        <v>30372774.73</v>
      </c>
      <c r="F22" s="312">
        <f t="shared" si="1"/>
        <v>0</v>
      </c>
      <c r="G22" s="312">
        <f t="shared" si="1"/>
        <v>0</v>
      </c>
      <c r="H22" s="312">
        <f t="shared" si="1"/>
        <v>0</v>
      </c>
      <c r="I22" s="312">
        <f>SUM(I8:I21)</f>
        <v>6146172.5600000005</v>
      </c>
      <c r="J22" s="312">
        <f t="shared" si="1"/>
        <v>1721817.2</v>
      </c>
      <c r="K22" s="312">
        <f t="shared" si="1"/>
        <v>156281503.20999971</v>
      </c>
      <c r="L22" s="312">
        <f t="shared" si="1"/>
        <v>4886437.6669999985</v>
      </c>
      <c r="M22" s="312">
        <f t="shared" si="1"/>
        <v>398244348.55999869</v>
      </c>
      <c r="N22" s="312">
        <f t="shared" si="1"/>
        <v>19828420.155999996</v>
      </c>
      <c r="O22" s="312">
        <f t="shared" si="1"/>
        <v>2201580.1200000006</v>
      </c>
      <c r="P22" s="312">
        <f t="shared" si="1"/>
        <v>0</v>
      </c>
      <c r="Q22" s="312">
        <f t="shared" si="1"/>
        <v>2538</v>
      </c>
      <c r="R22" s="312">
        <f t="shared" si="1"/>
        <v>0</v>
      </c>
      <c r="S22" s="450">
        <f t="shared" si="1"/>
        <v>552265989.37974846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V28"/>
  <sheetViews>
    <sheetView workbookViewId="0">
      <pane xSplit="2" ySplit="6" topLeftCell="O7" activePane="bottomRight" state="frozen"/>
      <selection activeCell="B8" sqref="B8"/>
      <selection pane="topRight" activeCell="B8" sqref="B8"/>
      <selection pane="bottomLeft" activeCell="B8" sqref="B8"/>
      <selection pane="bottomRight" activeCell="C7" sqref="C7:U20"/>
    </sheetView>
  </sheetViews>
  <sheetFormatPr defaultColWidth="9.140625" defaultRowHeight="12.75" x14ac:dyDescent="0.2"/>
  <cols>
    <col min="1" max="1" width="10.5703125" style="21" bestFit="1" customWidth="1"/>
    <col min="2" max="2" width="74.5703125" style="21" customWidth="1"/>
    <col min="3" max="3" width="19" style="21" customWidth="1"/>
    <col min="4" max="4" width="19.5703125" style="21" customWidth="1"/>
    <col min="5" max="5" width="31.140625" style="21" customWidth="1"/>
    <col min="6" max="6" width="29.140625" style="21" customWidth="1"/>
    <col min="7" max="7" width="28.5703125" style="21" customWidth="1"/>
    <col min="8" max="8" width="26.42578125" style="21" customWidth="1"/>
    <col min="9" max="9" width="23.7109375" style="21" customWidth="1"/>
    <col min="10" max="10" width="21.5703125" style="21" customWidth="1"/>
    <col min="11" max="11" width="15.7109375" style="21" customWidth="1"/>
    <col min="12" max="12" width="13.28515625" style="21" customWidth="1"/>
    <col min="13" max="13" width="20.85546875" style="21" customWidth="1"/>
    <col min="14" max="14" width="19.28515625" style="21" customWidth="1"/>
    <col min="15" max="15" width="18.42578125" style="21" customWidth="1"/>
    <col min="16" max="16" width="19" style="21" customWidth="1"/>
    <col min="17" max="17" width="20.28515625" style="21" customWidth="1"/>
    <col min="18" max="18" width="18" style="21" customWidth="1"/>
    <col min="19" max="19" width="36" style="21" customWidth="1"/>
    <col min="20" max="20" width="19.42578125" style="21" customWidth="1"/>
    <col min="21" max="21" width="19.140625" style="21" customWidth="1"/>
    <col min="22" max="22" width="20" style="21" customWidth="1"/>
    <col min="23" max="16384" width="9.140625" style="106"/>
  </cols>
  <sheetData>
    <row r="1" spans="1:22" x14ac:dyDescent="0.2">
      <c r="A1" s="21" t="s">
        <v>31</v>
      </c>
      <c r="B1" s="21" t="str">
        <f>'1. key ratios'!B1</f>
        <v>სს ტერაბანკი</v>
      </c>
    </row>
    <row r="2" spans="1:22" x14ac:dyDescent="0.2">
      <c r="A2" s="21" t="s">
        <v>33</v>
      </c>
      <c r="B2" s="60">
        <f>'1. key ratios'!B2</f>
        <v>42916</v>
      </c>
    </row>
    <row r="4" spans="1:22" ht="27.75" thickBot="1" x14ac:dyDescent="0.35">
      <c r="A4" s="21" t="s">
        <v>373</v>
      </c>
      <c r="B4" s="313" t="s">
        <v>374</v>
      </c>
      <c r="V4" s="256" t="s">
        <v>73</v>
      </c>
    </row>
    <row r="5" spans="1:22" x14ac:dyDescent="0.2">
      <c r="A5" s="314"/>
      <c r="B5" s="315"/>
      <c r="C5" s="435" t="s">
        <v>375</v>
      </c>
      <c r="D5" s="436"/>
      <c r="E5" s="436"/>
      <c r="F5" s="436"/>
      <c r="G5" s="436"/>
      <c r="H5" s="436"/>
      <c r="I5" s="436"/>
      <c r="J5" s="436"/>
      <c r="K5" s="436"/>
      <c r="L5" s="437"/>
      <c r="M5" s="435" t="s">
        <v>376</v>
      </c>
      <c r="N5" s="436"/>
      <c r="O5" s="436"/>
      <c r="P5" s="436"/>
      <c r="Q5" s="436"/>
      <c r="R5" s="436"/>
      <c r="S5" s="437"/>
      <c r="T5" s="438" t="s">
        <v>377</v>
      </c>
      <c r="U5" s="438" t="s">
        <v>378</v>
      </c>
      <c r="V5" s="440" t="s">
        <v>379</v>
      </c>
    </row>
    <row r="6" spans="1:22" s="220" customFormat="1" ht="140.25" x14ac:dyDescent="0.25">
      <c r="A6" s="205"/>
      <c r="B6" s="316"/>
      <c r="C6" s="317" t="s">
        <v>380</v>
      </c>
      <c r="D6" s="318" t="s">
        <v>381</v>
      </c>
      <c r="E6" s="319" t="s">
        <v>382</v>
      </c>
      <c r="F6" s="320" t="s">
        <v>383</v>
      </c>
      <c r="G6" s="318" t="s">
        <v>384</v>
      </c>
      <c r="H6" s="318" t="s">
        <v>385</v>
      </c>
      <c r="I6" s="318" t="s">
        <v>386</v>
      </c>
      <c r="J6" s="318" t="s">
        <v>387</v>
      </c>
      <c r="K6" s="318" t="s">
        <v>388</v>
      </c>
      <c r="L6" s="321" t="s">
        <v>389</v>
      </c>
      <c r="M6" s="317" t="s">
        <v>390</v>
      </c>
      <c r="N6" s="318" t="s">
        <v>391</v>
      </c>
      <c r="O6" s="318" t="s">
        <v>392</v>
      </c>
      <c r="P6" s="318" t="s">
        <v>393</v>
      </c>
      <c r="Q6" s="318" t="s">
        <v>394</v>
      </c>
      <c r="R6" s="318" t="s">
        <v>395</v>
      </c>
      <c r="S6" s="321" t="s">
        <v>396</v>
      </c>
      <c r="T6" s="439"/>
      <c r="U6" s="439"/>
      <c r="V6" s="441"/>
    </row>
    <row r="7" spans="1:22" s="309" customFormat="1" x14ac:dyDescent="0.2">
      <c r="A7" s="322">
        <v>1</v>
      </c>
      <c r="B7" s="323" t="s">
        <v>359</v>
      </c>
      <c r="C7" s="324">
        <v>0</v>
      </c>
      <c r="D7" s="305">
        <v>0</v>
      </c>
      <c r="E7" s="305">
        <v>0</v>
      </c>
      <c r="F7" s="305">
        <v>0</v>
      </c>
      <c r="G7" s="305">
        <v>0</v>
      </c>
      <c r="H7" s="305">
        <v>0</v>
      </c>
      <c r="I7" s="305">
        <v>0</v>
      </c>
      <c r="J7" s="305">
        <v>0</v>
      </c>
      <c r="K7" s="305">
        <v>0</v>
      </c>
      <c r="L7" s="305">
        <v>0</v>
      </c>
      <c r="M7" s="325"/>
      <c r="N7" s="306"/>
      <c r="O7" s="306"/>
      <c r="P7" s="306"/>
      <c r="Q7" s="306"/>
      <c r="R7" s="306"/>
      <c r="S7" s="326"/>
      <c r="T7" s="327">
        <v>0</v>
      </c>
      <c r="U7" s="328"/>
      <c r="V7" s="329">
        <f>SUM(C7:S7)</f>
        <v>0</v>
      </c>
    </row>
    <row r="8" spans="1:22" s="309" customFormat="1" x14ac:dyDescent="0.2">
      <c r="A8" s="322">
        <v>2</v>
      </c>
      <c r="B8" s="323" t="s">
        <v>360</v>
      </c>
      <c r="C8" s="324">
        <v>0</v>
      </c>
      <c r="D8" s="305">
        <v>0</v>
      </c>
      <c r="E8" s="305">
        <v>0</v>
      </c>
      <c r="F8" s="305">
        <v>0</v>
      </c>
      <c r="G8" s="305">
        <v>0</v>
      </c>
      <c r="H8" s="305">
        <v>0</v>
      </c>
      <c r="I8" s="305">
        <v>0</v>
      </c>
      <c r="J8" s="305">
        <v>0</v>
      </c>
      <c r="K8" s="305">
        <v>0</v>
      </c>
      <c r="L8" s="305">
        <v>0</v>
      </c>
      <c r="M8" s="325"/>
      <c r="N8" s="306"/>
      <c r="O8" s="306"/>
      <c r="P8" s="306"/>
      <c r="Q8" s="306"/>
      <c r="R8" s="306"/>
      <c r="S8" s="326"/>
      <c r="T8" s="327">
        <v>0</v>
      </c>
      <c r="U8" s="328"/>
      <c r="V8" s="329">
        <f t="shared" ref="V8:V20" si="0">SUM(C8:S8)</f>
        <v>0</v>
      </c>
    </row>
    <row r="9" spans="1:22" s="309" customFormat="1" x14ac:dyDescent="0.2">
      <c r="A9" s="322">
        <v>3</v>
      </c>
      <c r="B9" s="323" t="s">
        <v>361</v>
      </c>
      <c r="C9" s="324">
        <v>0</v>
      </c>
      <c r="D9" s="305">
        <v>0</v>
      </c>
      <c r="E9" s="305">
        <v>0</v>
      </c>
      <c r="F9" s="305">
        <v>0</v>
      </c>
      <c r="G9" s="305">
        <v>0</v>
      </c>
      <c r="H9" s="305">
        <v>0</v>
      </c>
      <c r="I9" s="305">
        <v>0</v>
      </c>
      <c r="J9" s="305">
        <v>0</v>
      </c>
      <c r="K9" s="305">
        <v>0</v>
      </c>
      <c r="L9" s="305">
        <v>0</v>
      </c>
      <c r="M9" s="325"/>
      <c r="N9" s="306"/>
      <c r="O9" s="306"/>
      <c r="P9" s="306"/>
      <c r="Q9" s="306"/>
      <c r="R9" s="306"/>
      <c r="S9" s="326"/>
      <c r="T9" s="327">
        <v>0</v>
      </c>
      <c r="U9" s="328"/>
      <c r="V9" s="329">
        <f>SUM(C9:S9)</f>
        <v>0</v>
      </c>
    </row>
    <row r="10" spans="1:22" s="309" customFormat="1" x14ac:dyDescent="0.2">
      <c r="A10" s="322">
        <v>4</v>
      </c>
      <c r="B10" s="323" t="s">
        <v>362</v>
      </c>
      <c r="C10" s="324">
        <v>0</v>
      </c>
      <c r="D10" s="305">
        <v>0</v>
      </c>
      <c r="E10" s="305">
        <v>0</v>
      </c>
      <c r="F10" s="305">
        <v>0</v>
      </c>
      <c r="G10" s="305">
        <v>0</v>
      </c>
      <c r="H10" s="305">
        <v>0</v>
      </c>
      <c r="I10" s="305">
        <v>0</v>
      </c>
      <c r="J10" s="305">
        <v>0</v>
      </c>
      <c r="K10" s="305">
        <v>0</v>
      </c>
      <c r="L10" s="305">
        <v>0</v>
      </c>
      <c r="M10" s="325"/>
      <c r="N10" s="306"/>
      <c r="O10" s="306"/>
      <c r="P10" s="306"/>
      <c r="Q10" s="306"/>
      <c r="R10" s="306"/>
      <c r="S10" s="326"/>
      <c r="T10" s="327">
        <v>0</v>
      </c>
      <c r="U10" s="328"/>
      <c r="V10" s="329">
        <f t="shared" si="0"/>
        <v>0</v>
      </c>
    </row>
    <row r="11" spans="1:22" s="309" customFormat="1" x14ac:dyDescent="0.2">
      <c r="A11" s="322">
        <v>5</v>
      </c>
      <c r="B11" s="323" t="s">
        <v>363</v>
      </c>
      <c r="C11" s="324">
        <v>0</v>
      </c>
      <c r="D11" s="305">
        <v>0</v>
      </c>
      <c r="E11" s="305">
        <v>0</v>
      </c>
      <c r="F11" s="305">
        <v>0</v>
      </c>
      <c r="G11" s="305">
        <v>0</v>
      </c>
      <c r="H11" s="305">
        <v>0</v>
      </c>
      <c r="I11" s="305">
        <v>0</v>
      </c>
      <c r="J11" s="305">
        <v>0</v>
      </c>
      <c r="K11" s="305">
        <v>0</v>
      </c>
      <c r="L11" s="305">
        <v>0</v>
      </c>
      <c r="M11" s="325"/>
      <c r="N11" s="306"/>
      <c r="O11" s="306"/>
      <c r="P11" s="306"/>
      <c r="Q11" s="306"/>
      <c r="R11" s="306"/>
      <c r="S11" s="326"/>
      <c r="T11" s="327">
        <v>0</v>
      </c>
      <c r="U11" s="328"/>
      <c r="V11" s="329">
        <f t="shared" si="0"/>
        <v>0</v>
      </c>
    </row>
    <row r="12" spans="1:22" s="309" customFormat="1" x14ac:dyDescent="0.2">
      <c r="A12" s="322">
        <v>6</v>
      </c>
      <c r="B12" s="323" t="s">
        <v>364</v>
      </c>
      <c r="C12" s="324">
        <v>0</v>
      </c>
      <c r="D12" s="305">
        <v>0</v>
      </c>
      <c r="E12" s="305">
        <v>0</v>
      </c>
      <c r="F12" s="305">
        <v>0</v>
      </c>
      <c r="G12" s="305">
        <v>0</v>
      </c>
      <c r="H12" s="305">
        <v>0</v>
      </c>
      <c r="I12" s="305">
        <v>0</v>
      </c>
      <c r="J12" s="305">
        <v>0</v>
      </c>
      <c r="K12" s="305">
        <v>0</v>
      </c>
      <c r="L12" s="305">
        <v>0</v>
      </c>
      <c r="M12" s="325"/>
      <c r="N12" s="306"/>
      <c r="O12" s="306"/>
      <c r="P12" s="306"/>
      <c r="Q12" s="306"/>
      <c r="R12" s="306"/>
      <c r="S12" s="326"/>
      <c r="T12" s="327">
        <v>0</v>
      </c>
      <c r="U12" s="328"/>
      <c r="V12" s="329">
        <f t="shared" si="0"/>
        <v>0</v>
      </c>
    </row>
    <row r="13" spans="1:22" s="309" customFormat="1" x14ac:dyDescent="0.2">
      <c r="A13" s="322">
        <v>7</v>
      </c>
      <c r="B13" s="323" t="s">
        <v>365</v>
      </c>
      <c r="C13" s="324">
        <v>0</v>
      </c>
      <c r="D13" s="305">
        <v>22587239.598279998</v>
      </c>
      <c r="E13" s="305">
        <v>0</v>
      </c>
      <c r="F13" s="305">
        <v>0</v>
      </c>
      <c r="G13" s="305">
        <v>0</v>
      </c>
      <c r="H13" s="305">
        <v>0</v>
      </c>
      <c r="I13" s="305">
        <v>0</v>
      </c>
      <c r="J13" s="305">
        <v>0</v>
      </c>
      <c r="K13" s="305">
        <v>0</v>
      </c>
      <c r="L13" s="305">
        <v>0</v>
      </c>
      <c r="M13" s="325"/>
      <c r="N13" s="306"/>
      <c r="O13" s="306"/>
      <c r="P13" s="306"/>
      <c r="Q13" s="306"/>
      <c r="R13" s="306"/>
      <c r="S13" s="326"/>
      <c r="T13" s="327">
        <v>13217169.758239999</v>
      </c>
      <c r="U13" s="328">
        <v>9370069.8400400002</v>
      </c>
      <c r="V13" s="329">
        <f t="shared" si="0"/>
        <v>22587239.598279998</v>
      </c>
    </row>
    <row r="14" spans="1:22" s="309" customFormat="1" x14ac:dyDescent="0.2">
      <c r="A14" s="322">
        <v>8</v>
      </c>
      <c r="B14" s="323" t="s">
        <v>366</v>
      </c>
      <c r="C14" s="324">
        <v>0</v>
      </c>
      <c r="D14" s="305">
        <v>1423504.9071750003</v>
      </c>
      <c r="E14" s="305">
        <v>0</v>
      </c>
      <c r="F14" s="305">
        <v>0</v>
      </c>
      <c r="G14" s="305">
        <v>0</v>
      </c>
      <c r="H14" s="305">
        <v>0</v>
      </c>
      <c r="I14" s="305">
        <v>0</v>
      </c>
      <c r="J14" s="305">
        <v>0</v>
      </c>
      <c r="K14" s="305">
        <v>0</v>
      </c>
      <c r="L14" s="305">
        <v>0</v>
      </c>
      <c r="M14" s="325"/>
      <c r="N14" s="306"/>
      <c r="O14" s="306"/>
      <c r="P14" s="306"/>
      <c r="Q14" s="306"/>
      <c r="R14" s="306"/>
      <c r="S14" s="326"/>
      <c r="T14" s="327">
        <v>737052.4349250003</v>
      </c>
      <c r="U14" s="328">
        <v>686452.47225000011</v>
      </c>
      <c r="V14" s="329">
        <f t="shared" si="0"/>
        <v>1423504.9071750003</v>
      </c>
    </row>
    <row r="15" spans="1:22" s="309" customFormat="1" x14ac:dyDescent="0.2">
      <c r="A15" s="322">
        <v>9</v>
      </c>
      <c r="B15" s="323" t="s">
        <v>367</v>
      </c>
      <c r="C15" s="324">
        <v>0</v>
      </c>
      <c r="D15" s="305">
        <v>0</v>
      </c>
      <c r="E15" s="305">
        <v>0</v>
      </c>
      <c r="F15" s="305">
        <v>0</v>
      </c>
      <c r="G15" s="305">
        <v>0</v>
      </c>
      <c r="H15" s="305">
        <v>0</v>
      </c>
      <c r="I15" s="305">
        <v>0</v>
      </c>
      <c r="J15" s="305">
        <v>0</v>
      </c>
      <c r="K15" s="305">
        <v>0</v>
      </c>
      <c r="L15" s="305">
        <v>0</v>
      </c>
      <c r="M15" s="325"/>
      <c r="N15" s="306"/>
      <c r="O15" s="306"/>
      <c r="P15" s="306"/>
      <c r="Q15" s="306"/>
      <c r="R15" s="306"/>
      <c r="S15" s="326"/>
      <c r="T15" s="327">
        <v>0</v>
      </c>
      <c r="U15" s="328"/>
      <c r="V15" s="329">
        <f t="shared" si="0"/>
        <v>0</v>
      </c>
    </row>
    <row r="16" spans="1:22" s="309" customFormat="1" x14ac:dyDescent="0.2">
      <c r="A16" s="322">
        <v>10</v>
      </c>
      <c r="B16" s="323" t="s">
        <v>368</v>
      </c>
      <c r="C16" s="324">
        <v>0</v>
      </c>
      <c r="D16" s="305">
        <v>0</v>
      </c>
      <c r="E16" s="305">
        <v>0</v>
      </c>
      <c r="F16" s="305">
        <v>0</v>
      </c>
      <c r="G16" s="305">
        <v>0</v>
      </c>
      <c r="H16" s="305">
        <v>0</v>
      </c>
      <c r="I16" s="305">
        <v>0</v>
      </c>
      <c r="J16" s="305">
        <v>0</v>
      </c>
      <c r="K16" s="305">
        <v>0</v>
      </c>
      <c r="L16" s="305">
        <v>0</v>
      </c>
      <c r="M16" s="325"/>
      <c r="N16" s="306"/>
      <c r="O16" s="306"/>
      <c r="P16" s="306"/>
      <c r="Q16" s="306"/>
      <c r="R16" s="306"/>
      <c r="S16" s="326"/>
      <c r="T16" s="327">
        <v>0</v>
      </c>
      <c r="U16" s="328"/>
      <c r="V16" s="329">
        <f t="shared" si="0"/>
        <v>0</v>
      </c>
    </row>
    <row r="17" spans="1:22" s="309" customFormat="1" x14ac:dyDescent="0.2">
      <c r="A17" s="322">
        <v>11</v>
      </c>
      <c r="B17" s="323" t="s">
        <v>369</v>
      </c>
      <c r="C17" s="324">
        <v>0</v>
      </c>
      <c r="D17" s="305">
        <v>0</v>
      </c>
      <c r="E17" s="305">
        <v>0</v>
      </c>
      <c r="F17" s="305">
        <v>0</v>
      </c>
      <c r="G17" s="305">
        <v>0</v>
      </c>
      <c r="H17" s="305">
        <v>0</v>
      </c>
      <c r="I17" s="305">
        <v>0</v>
      </c>
      <c r="J17" s="305">
        <v>0</v>
      </c>
      <c r="K17" s="305">
        <v>0</v>
      </c>
      <c r="L17" s="305">
        <v>0</v>
      </c>
      <c r="M17" s="325"/>
      <c r="N17" s="306"/>
      <c r="O17" s="306"/>
      <c r="P17" s="306"/>
      <c r="Q17" s="306"/>
      <c r="R17" s="306"/>
      <c r="S17" s="326"/>
      <c r="T17" s="327">
        <v>0</v>
      </c>
      <c r="U17" s="328"/>
      <c r="V17" s="329">
        <f t="shared" si="0"/>
        <v>0</v>
      </c>
    </row>
    <row r="18" spans="1:22" s="309" customFormat="1" x14ac:dyDescent="0.2">
      <c r="A18" s="322">
        <v>12</v>
      </c>
      <c r="B18" s="323" t="s">
        <v>370</v>
      </c>
      <c r="C18" s="324">
        <v>0</v>
      </c>
      <c r="D18" s="305">
        <v>0</v>
      </c>
      <c r="E18" s="305">
        <v>0</v>
      </c>
      <c r="F18" s="305">
        <v>0</v>
      </c>
      <c r="G18" s="305">
        <v>0</v>
      </c>
      <c r="H18" s="305">
        <v>0</v>
      </c>
      <c r="I18" s="305">
        <v>0</v>
      </c>
      <c r="J18" s="305">
        <v>0</v>
      </c>
      <c r="K18" s="305">
        <v>0</v>
      </c>
      <c r="L18" s="305">
        <v>0</v>
      </c>
      <c r="M18" s="325"/>
      <c r="N18" s="306"/>
      <c r="O18" s="306"/>
      <c r="P18" s="306"/>
      <c r="Q18" s="306"/>
      <c r="R18" s="306"/>
      <c r="S18" s="326"/>
      <c r="T18" s="327">
        <v>0</v>
      </c>
      <c r="U18" s="328"/>
      <c r="V18" s="329">
        <f t="shared" si="0"/>
        <v>0</v>
      </c>
    </row>
    <row r="19" spans="1:22" s="309" customFormat="1" x14ac:dyDescent="0.2">
      <c r="A19" s="322">
        <v>13</v>
      </c>
      <c r="B19" s="323" t="s">
        <v>371</v>
      </c>
      <c r="C19" s="324">
        <v>0</v>
      </c>
      <c r="D19" s="305">
        <v>0</v>
      </c>
      <c r="E19" s="305">
        <v>0</v>
      </c>
      <c r="F19" s="305">
        <v>0</v>
      </c>
      <c r="G19" s="305">
        <v>0</v>
      </c>
      <c r="H19" s="305">
        <v>0</v>
      </c>
      <c r="I19" s="305">
        <v>0</v>
      </c>
      <c r="J19" s="305">
        <v>0</v>
      </c>
      <c r="K19" s="305">
        <v>0</v>
      </c>
      <c r="L19" s="305">
        <v>0</v>
      </c>
      <c r="M19" s="325"/>
      <c r="N19" s="306"/>
      <c r="O19" s="306"/>
      <c r="P19" s="306"/>
      <c r="Q19" s="306"/>
      <c r="R19" s="306"/>
      <c r="S19" s="326"/>
      <c r="T19" s="327">
        <v>0</v>
      </c>
      <c r="U19" s="328"/>
      <c r="V19" s="329">
        <f t="shared" si="0"/>
        <v>0</v>
      </c>
    </row>
    <row r="20" spans="1:22" s="309" customFormat="1" x14ac:dyDescent="0.2">
      <c r="A20" s="322">
        <v>14</v>
      </c>
      <c r="B20" s="323" t="s">
        <v>372</v>
      </c>
      <c r="C20" s="324">
        <v>0</v>
      </c>
      <c r="D20" s="305">
        <v>8328322.1925599994</v>
      </c>
      <c r="E20" s="305">
        <v>0</v>
      </c>
      <c r="F20" s="305">
        <v>0</v>
      </c>
      <c r="G20" s="305">
        <v>0</v>
      </c>
      <c r="H20" s="305">
        <v>0</v>
      </c>
      <c r="I20" s="305">
        <v>0</v>
      </c>
      <c r="J20" s="305">
        <v>0</v>
      </c>
      <c r="K20" s="305">
        <v>0</v>
      </c>
      <c r="L20" s="305">
        <v>0</v>
      </c>
      <c r="M20" s="325"/>
      <c r="N20" s="306"/>
      <c r="O20" s="306"/>
      <c r="P20" s="306"/>
      <c r="Q20" s="306"/>
      <c r="R20" s="306"/>
      <c r="S20" s="326"/>
      <c r="T20" s="327">
        <v>7414818.9290999994</v>
      </c>
      <c r="U20" s="328">
        <v>913503.26346000005</v>
      </c>
      <c r="V20" s="329">
        <f t="shared" si="0"/>
        <v>8328322.1925599994</v>
      </c>
    </row>
    <row r="21" spans="1:22" ht="13.5" thickBot="1" x14ac:dyDescent="0.25">
      <c r="A21" s="310"/>
      <c r="B21" s="330" t="s">
        <v>79</v>
      </c>
      <c r="C21" s="331">
        <f>SUM(C7:C20)</f>
        <v>0</v>
      </c>
      <c r="D21" s="312">
        <f t="shared" ref="D21:V21" si="1">SUM(D7:D20)</f>
        <v>32339066.698014997</v>
      </c>
      <c r="E21" s="312">
        <f t="shared" si="1"/>
        <v>0</v>
      </c>
      <c r="F21" s="312">
        <f t="shared" si="1"/>
        <v>0</v>
      </c>
      <c r="G21" s="312">
        <f t="shared" si="1"/>
        <v>0</v>
      </c>
      <c r="H21" s="312">
        <f t="shared" si="1"/>
        <v>0</v>
      </c>
      <c r="I21" s="312">
        <f t="shared" si="1"/>
        <v>0</v>
      </c>
      <c r="J21" s="312">
        <f t="shared" si="1"/>
        <v>0</v>
      </c>
      <c r="K21" s="312">
        <f t="shared" si="1"/>
        <v>0</v>
      </c>
      <c r="L21" s="332">
        <f t="shared" si="1"/>
        <v>0</v>
      </c>
      <c r="M21" s="331">
        <f t="shared" si="1"/>
        <v>0</v>
      </c>
      <c r="N21" s="312">
        <f t="shared" si="1"/>
        <v>0</v>
      </c>
      <c r="O21" s="312">
        <f t="shared" si="1"/>
        <v>0</v>
      </c>
      <c r="P21" s="312">
        <f t="shared" si="1"/>
        <v>0</v>
      </c>
      <c r="Q21" s="312">
        <f t="shared" si="1"/>
        <v>0</v>
      </c>
      <c r="R21" s="312">
        <f t="shared" si="1"/>
        <v>0</v>
      </c>
      <c r="S21" s="332">
        <f t="shared" si="1"/>
        <v>0</v>
      </c>
      <c r="T21" s="332">
        <f>SUM(T7:T20)</f>
        <v>21369041.122265</v>
      </c>
      <c r="U21" s="332">
        <f t="shared" si="1"/>
        <v>10970025.575750001</v>
      </c>
      <c r="V21" s="333">
        <f t="shared" si="1"/>
        <v>32339066.698014997</v>
      </c>
    </row>
    <row r="24" spans="1:22" x14ac:dyDescent="0.2">
      <c r="A24" s="26"/>
      <c r="B24" s="26"/>
      <c r="C24" s="334"/>
      <c r="D24" s="334"/>
      <c r="E24" s="334"/>
    </row>
    <row r="25" spans="1:22" x14ac:dyDescent="0.2">
      <c r="A25" s="335"/>
      <c r="B25" s="335"/>
      <c r="C25" s="26"/>
      <c r="D25" s="334"/>
      <c r="E25" s="334"/>
    </row>
    <row r="26" spans="1:22" x14ac:dyDescent="0.2">
      <c r="A26" s="335"/>
      <c r="B26" s="336"/>
      <c r="C26" s="26"/>
      <c r="D26" s="334"/>
      <c r="E26" s="334"/>
    </row>
    <row r="27" spans="1:22" x14ac:dyDescent="0.2">
      <c r="A27" s="335"/>
      <c r="B27" s="335"/>
      <c r="C27" s="26"/>
      <c r="D27" s="334"/>
      <c r="E27" s="334"/>
    </row>
    <row r="28" spans="1:22" x14ac:dyDescent="0.2">
      <c r="A28" s="335"/>
      <c r="B28" s="336"/>
      <c r="C28" s="26"/>
      <c r="D28" s="334"/>
      <c r="E28" s="334"/>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I28"/>
  <sheetViews>
    <sheetView zoomScaleNormal="100" workbookViewId="0">
      <pane xSplit="1" ySplit="7" topLeftCell="B8" activePane="bottomRight" state="frozen"/>
      <selection activeCell="B8" sqref="B8"/>
      <selection pane="topRight" activeCell="B8" sqref="B8"/>
      <selection pane="bottomLeft" activeCell="B8" sqref="B8"/>
      <selection pane="bottomRight" activeCell="C8" sqref="C8:G21"/>
    </sheetView>
  </sheetViews>
  <sheetFormatPr defaultColWidth="9.140625" defaultRowHeight="12.75" x14ac:dyDescent="0.2"/>
  <cols>
    <col min="1" max="1" width="10.5703125" style="21" bestFit="1" customWidth="1"/>
    <col min="2" max="2" width="101.85546875" style="21" customWidth="1"/>
    <col min="3" max="3" width="13.7109375" style="21" customWidth="1"/>
    <col min="4" max="4" width="14.85546875" style="21" bestFit="1" customWidth="1"/>
    <col min="5" max="5" width="17.7109375" style="21" customWidth="1"/>
    <col min="6" max="6" width="15.85546875" style="21" customWidth="1"/>
    <col min="7" max="7" width="17.42578125" style="21" customWidth="1"/>
    <col min="8" max="8" width="15.28515625" style="21" customWidth="1"/>
    <col min="9" max="16384" width="9.140625" style="106"/>
  </cols>
  <sheetData>
    <row r="1" spans="1:9" x14ac:dyDescent="0.2">
      <c r="A1" s="21" t="s">
        <v>31</v>
      </c>
      <c r="B1" s="21" t="str">
        <f>'1. key ratios'!B1</f>
        <v>სს ტერაბანკი</v>
      </c>
    </row>
    <row r="2" spans="1:9" x14ac:dyDescent="0.2">
      <c r="A2" s="21" t="s">
        <v>33</v>
      </c>
      <c r="B2" s="60">
        <f>'1. key ratios'!B2</f>
        <v>42916</v>
      </c>
    </row>
    <row r="4" spans="1:9" ht="13.5" thickBot="1" x14ac:dyDescent="0.25">
      <c r="A4" s="21" t="s">
        <v>397</v>
      </c>
      <c r="B4" s="337" t="s">
        <v>398</v>
      </c>
    </row>
    <row r="5" spans="1:9" x14ac:dyDescent="0.2">
      <c r="A5" s="314"/>
      <c r="B5" s="338"/>
      <c r="C5" s="339" t="s">
        <v>254</v>
      </c>
      <c r="D5" s="339" t="s">
        <v>255</v>
      </c>
      <c r="E5" s="339" t="s">
        <v>256</v>
      </c>
      <c r="F5" s="339" t="s">
        <v>257</v>
      </c>
      <c r="G5" s="340" t="s">
        <v>342</v>
      </c>
      <c r="H5" s="341" t="s">
        <v>343</v>
      </c>
      <c r="I5" s="342"/>
    </row>
    <row r="6" spans="1:9" ht="15" customHeight="1" x14ac:dyDescent="0.2">
      <c r="A6" s="301"/>
      <c r="B6" s="343"/>
      <c r="C6" s="442" t="s">
        <v>399</v>
      </c>
      <c r="D6" s="444" t="s">
        <v>400</v>
      </c>
      <c r="E6" s="445"/>
      <c r="F6" s="442" t="s">
        <v>401</v>
      </c>
      <c r="G6" s="442" t="s">
        <v>402</v>
      </c>
      <c r="H6" s="427" t="s">
        <v>403</v>
      </c>
      <c r="I6" s="342"/>
    </row>
    <row r="7" spans="1:9" ht="76.5" x14ac:dyDescent="0.2">
      <c r="A7" s="301"/>
      <c r="B7" s="343"/>
      <c r="C7" s="443"/>
      <c r="D7" s="344" t="s">
        <v>404</v>
      </c>
      <c r="E7" s="344" t="s">
        <v>405</v>
      </c>
      <c r="F7" s="443"/>
      <c r="G7" s="443"/>
      <c r="H7" s="428"/>
      <c r="I7" s="342"/>
    </row>
    <row r="8" spans="1:9" x14ac:dyDescent="0.2">
      <c r="A8" s="345">
        <v>1</v>
      </c>
      <c r="B8" s="236" t="s">
        <v>359</v>
      </c>
      <c r="C8" s="346">
        <v>135843410.88</v>
      </c>
      <c r="D8" s="347">
        <v>0</v>
      </c>
      <c r="E8" s="346">
        <v>0</v>
      </c>
      <c r="F8" s="346">
        <f>C8+E8</f>
        <v>135843410.88</v>
      </c>
      <c r="G8" s="348">
        <f>'11. CRWA'!S8-'12. CRM'!V7</f>
        <v>68439990.816</v>
      </c>
      <c r="H8" s="349">
        <f>IFERROR(G8/(C8+E8),"")</f>
        <v>0.50381531479990471</v>
      </c>
    </row>
    <row r="9" spans="1:9" ht="15" customHeight="1" x14ac:dyDescent="0.2">
      <c r="A9" s="345">
        <v>2</v>
      </c>
      <c r="B9" s="236" t="s">
        <v>360</v>
      </c>
      <c r="C9" s="346">
        <v>0</v>
      </c>
      <c r="D9" s="347">
        <v>0</v>
      </c>
      <c r="E9" s="346">
        <v>0</v>
      </c>
      <c r="F9" s="346">
        <f t="shared" ref="F9:F13" si="0">C9+E9</f>
        <v>0</v>
      </c>
      <c r="G9" s="348">
        <f>'11. CRWA'!S9-'12. CRM'!V8</f>
        <v>0</v>
      </c>
      <c r="H9" s="349" t="str">
        <f t="shared" ref="H9:H22" si="1">IFERROR(G9/(C9+E9),"")</f>
        <v/>
      </c>
    </row>
    <row r="10" spans="1:9" x14ac:dyDescent="0.2">
      <c r="A10" s="345">
        <v>3</v>
      </c>
      <c r="B10" s="236" t="s">
        <v>361</v>
      </c>
      <c r="C10" s="346">
        <v>0</v>
      </c>
      <c r="D10" s="347">
        <v>0</v>
      </c>
      <c r="E10" s="346">
        <v>0</v>
      </c>
      <c r="F10" s="346">
        <f t="shared" si="0"/>
        <v>0</v>
      </c>
      <c r="G10" s="348">
        <f>'11. CRWA'!S10-'12. CRM'!V9</f>
        <v>0</v>
      </c>
      <c r="H10" s="349" t="str">
        <f t="shared" si="1"/>
        <v/>
      </c>
    </row>
    <row r="11" spans="1:9" x14ac:dyDescent="0.2">
      <c r="A11" s="345">
        <v>4</v>
      </c>
      <c r="B11" s="236" t="s">
        <v>362</v>
      </c>
      <c r="C11" s="346">
        <v>0</v>
      </c>
      <c r="D11" s="347">
        <v>0</v>
      </c>
      <c r="E11" s="346">
        <v>0</v>
      </c>
      <c r="F11" s="346">
        <f t="shared" si="0"/>
        <v>0</v>
      </c>
      <c r="G11" s="348">
        <f>'11. CRWA'!S11-'12. CRM'!V10</f>
        <v>0</v>
      </c>
      <c r="H11" s="349" t="str">
        <f t="shared" si="1"/>
        <v/>
      </c>
    </row>
    <row r="12" spans="1:9" x14ac:dyDescent="0.2">
      <c r="A12" s="345">
        <v>5</v>
      </c>
      <c r="B12" s="236" t="s">
        <v>363</v>
      </c>
      <c r="C12" s="346">
        <v>0</v>
      </c>
      <c r="D12" s="347">
        <v>0</v>
      </c>
      <c r="E12" s="346">
        <v>0</v>
      </c>
      <c r="F12" s="346">
        <f t="shared" si="0"/>
        <v>0</v>
      </c>
      <c r="G12" s="348">
        <f>'11. CRWA'!S12-'12. CRM'!V11</f>
        <v>0</v>
      </c>
      <c r="H12" s="349" t="str">
        <f t="shared" si="1"/>
        <v/>
      </c>
    </row>
    <row r="13" spans="1:9" x14ac:dyDescent="0.2">
      <c r="A13" s="345">
        <v>6</v>
      </c>
      <c r="B13" s="236" t="s">
        <v>364</v>
      </c>
      <c r="C13" s="346">
        <v>26865038.300000001</v>
      </c>
      <c r="D13" s="347">
        <v>0</v>
      </c>
      <c r="E13" s="346">
        <v>0</v>
      </c>
      <c r="F13" s="346">
        <f t="shared" si="0"/>
        <v>26865038.300000001</v>
      </c>
      <c r="G13" s="348">
        <f>'11. CRWA'!S13-'12. CRM'!V12</f>
        <v>7977914.7560000001</v>
      </c>
      <c r="H13" s="349">
        <f t="shared" si="1"/>
        <v>0.29696271663234514</v>
      </c>
    </row>
    <row r="14" spans="1:9" x14ac:dyDescent="0.2">
      <c r="A14" s="345">
        <v>7</v>
      </c>
      <c r="B14" s="236" t="s">
        <v>365</v>
      </c>
      <c r="C14" s="346">
        <v>94963965.090000004</v>
      </c>
      <c r="D14" s="347">
        <v>32928339.419999994</v>
      </c>
      <c r="E14" s="346">
        <v>17005647.664999999</v>
      </c>
      <c r="F14" s="346">
        <v>141985447.68477499</v>
      </c>
      <c r="G14" s="348">
        <v>118537299.48649502</v>
      </c>
      <c r="H14" s="349">
        <f t="shared" si="1"/>
        <v>1.0586559743299795</v>
      </c>
    </row>
    <row r="15" spans="1:9" x14ac:dyDescent="0.2">
      <c r="A15" s="345">
        <v>8</v>
      </c>
      <c r="B15" s="236" t="s">
        <v>366</v>
      </c>
      <c r="C15" s="346">
        <v>156281503.20999971</v>
      </c>
      <c r="D15" s="347">
        <v>9689236.8800000064</v>
      </c>
      <c r="E15" s="346">
        <v>4886437.6669999985</v>
      </c>
      <c r="F15" s="346">
        <v>208867594.5719997</v>
      </c>
      <c r="G15" s="348">
        <v>167152104.44557476</v>
      </c>
      <c r="H15" s="349">
        <f t="shared" si="1"/>
        <v>1.0371299871178603</v>
      </c>
    </row>
    <row r="16" spans="1:9" x14ac:dyDescent="0.2">
      <c r="A16" s="345">
        <v>9</v>
      </c>
      <c r="B16" s="236" t="s">
        <v>367</v>
      </c>
      <c r="C16" s="346">
        <v>0</v>
      </c>
      <c r="D16" s="347">
        <v>0</v>
      </c>
      <c r="E16" s="346">
        <v>0</v>
      </c>
      <c r="F16" s="346">
        <v>0</v>
      </c>
      <c r="G16" s="348">
        <v>0</v>
      </c>
      <c r="H16" s="349" t="str">
        <f t="shared" si="1"/>
        <v/>
      </c>
    </row>
    <row r="17" spans="1:8" x14ac:dyDescent="0.2">
      <c r="A17" s="345">
        <v>10</v>
      </c>
      <c r="B17" s="236" t="s">
        <v>368</v>
      </c>
      <c r="C17" s="346">
        <v>18035674.360000011</v>
      </c>
      <c r="D17" s="347">
        <v>0</v>
      </c>
      <c r="E17" s="346">
        <v>0</v>
      </c>
      <c r="F17" s="346">
        <v>23540198.912500009</v>
      </c>
      <c r="G17" s="348">
        <v>24640988.972500008</v>
      </c>
      <c r="H17" s="349">
        <f t="shared" si="1"/>
        <v>1.3662360763814541</v>
      </c>
    </row>
    <row r="18" spans="1:8" x14ac:dyDescent="0.2">
      <c r="A18" s="345">
        <v>11</v>
      </c>
      <c r="B18" s="236" t="s">
        <v>369</v>
      </c>
      <c r="C18" s="346">
        <v>0</v>
      </c>
      <c r="D18" s="347">
        <v>0</v>
      </c>
      <c r="E18" s="346">
        <v>0</v>
      </c>
      <c r="F18" s="346">
        <v>0</v>
      </c>
      <c r="G18" s="348">
        <v>0</v>
      </c>
      <c r="H18" s="349" t="str">
        <f t="shared" si="1"/>
        <v/>
      </c>
    </row>
    <row r="19" spans="1:8" x14ac:dyDescent="0.2">
      <c r="A19" s="345">
        <v>12</v>
      </c>
      <c r="B19" s="236" t="s">
        <v>370</v>
      </c>
      <c r="C19" s="346">
        <v>0</v>
      </c>
      <c r="D19" s="347">
        <v>0</v>
      </c>
      <c r="E19" s="346">
        <v>0</v>
      </c>
      <c r="F19" s="346">
        <v>0</v>
      </c>
      <c r="G19" s="348">
        <v>0</v>
      </c>
      <c r="H19" s="349" t="str">
        <f t="shared" si="1"/>
        <v/>
      </c>
    </row>
    <row r="20" spans="1:8" x14ac:dyDescent="0.2">
      <c r="A20" s="345">
        <v>13</v>
      </c>
      <c r="B20" s="236" t="s">
        <v>371</v>
      </c>
      <c r="C20" s="346">
        <v>0</v>
      </c>
      <c r="D20" s="347">
        <v>0</v>
      </c>
      <c r="E20" s="346">
        <v>0</v>
      </c>
      <c r="F20" s="346">
        <v>0</v>
      </c>
      <c r="G20" s="348">
        <v>0</v>
      </c>
      <c r="H20" s="349" t="str">
        <f t="shared" si="1"/>
        <v/>
      </c>
    </row>
    <row r="21" spans="1:8" x14ac:dyDescent="0.2">
      <c r="A21" s="345">
        <v>14</v>
      </c>
      <c r="B21" s="236" t="s">
        <v>372</v>
      </c>
      <c r="C21" s="346">
        <v>246534820.55999869</v>
      </c>
      <c r="D21" s="347">
        <v>8091976.8799999999</v>
      </c>
      <c r="E21" s="346">
        <v>4544589.6909999987</v>
      </c>
      <c r="F21" s="346">
        <v>358807641.26349783</v>
      </c>
      <c r="G21" s="348">
        <v>324126868.39493787</v>
      </c>
      <c r="H21" s="349">
        <f t="shared" si="1"/>
        <v>1.2909336853663755</v>
      </c>
    </row>
    <row r="22" spans="1:8" ht="13.5" thickBot="1" x14ac:dyDescent="0.25">
      <c r="A22" s="350"/>
      <c r="B22" s="351" t="s">
        <v>79</v>
      </c>
      <c r="C22" s="352">
        <f>SUM(C8:C21)</f>
        <v>678524412.39999843</v>
      </c>
      <c r="D22" s="352">
        <f t="shared" ref="D22:G22" si="2">SUM(D8:D21)</f>
        <v>50709553.18</v>
      </c>
      <c r="E22" s="352">
        <f t="shared" si="2"/>
        <v>26436675.022999998</v>
      </c>
      <c r="F22" s="352">
        <f t="shared" si="2"/>
        <v>895909331.61277258</v>
      </c>
      <c r="G22" s="352">
        <f t="shared" si="2"/>
        <v>710875166.87150764</v>
      </c>
      <c r="H22" s="400">
        <f t="shared" si="1"/>
        <v>1.0083892282198557</v>
      </c>
    </row>
    <row r="28" spans="1:8" ht="10.5" customHeight="1" x14ac:dyDescent="0.2"/>
  </sheetData>
  <mergeCells count="5">
    <mergeCell ref="C6:C7"/>
    <mergeCell ref="D6:E6"/>
    <mergeCell ref="F6:F7"/>
    <mergeCell ref="G6:G7"/>
    <mergeCell ref="H6:H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D17"/>
  <sheetViews>
    <sheetView workbookViewId="0">
      <pane xSplit="1" ySplit="6" topLeftCell="B7" activePane="bottomRight" state="frozen"/>
      <selection activeCell="B8" sqref="B8"/>
      <selection pane="topRight" activeCell="B8" sqref="B8"/>
      <selection pane="bottomLeft" activeCell="B8" sqref="B8"/>
      <selection pane="bottomRight" activeCell="D7" sqref="D7:D14"/>
    </sheetView>
  </sheetViews>
  <sheetFormatPr defaultColWidth="9.140625" defaultRowHeight="12.75" x14ac:dyDescent="0.2"/>
  <cols>
    <col min="1" max="1" width="10.5703125" style="21" bestFit="1" customWidth="1"/>
    <col min="2" max="2" width="104.140625" style="21" customWidth="1"/>
    <col min="3" max="3" width="23.5703125" style="21" customWidth="1"/>
    <col min="4" max="4" width="24.28515625" style="21" customWidth="1"/>
    <col min="5" max="16384" width="9.140625" style="106"/>
  </cols>
  <sheetData>
    <row r="1" spans="1:4" x14ac:dyDescent="0.2">
      <c r="A1" s="21" t="s">
        <v>31</v>
      </c>
      <c r="B1" s="21" t="str">
        <f>'1. key ratios'!B1</f>
        <v>სს ტერაბანკი</v>
      </c>
    </row>
    <row r="2" spans="1:4" x14ac:dyDescent="0.2">
      <c r="A2" s="21" t="s">
        <v>33</v>
      </c>
      <c r="B2" s="60">
        <f>'1. key ratios'!B2</f>
        <v>42916</v>
      </c>
      <c r="C2" s="19"/>
      <c r="D2" s="19"/>
    </row>
    <row r="3" spans="1:4" x14ac:dyDescent="0.2">
      <c r="B3" s="19"/>
      <c r="C3" s="19"/>
      <c r="D3" s="19"/>
    </row>
    <row r="4" spans="1:4" ht="13.5" thickBot="1" x14ac:dyDescent="0.25">
      <c r="A4" s="21" t="s">
        <v>406</v>
      </c>
      <c r="B4" s="353" t="s">
        <v>25</v>
      </c>
      <c r="C4" s="353"/>
      <c r="D4" s="354"/>
    </row>
    <row r="5" spans="1:4" x14ac:dyDescent="0.2">
      <c r="A5" s="355"/>
      <c r="B5" s="297"/>
      <c r="C5" s="356" t="s">
        <v>254</v>
      </c>
      <c r="D5" s="357" t="s">
        <v>255</v>
      </c>
    </row>
    <row r="6" spans="1:4" ht="66.75" customHeight="1" x14ac:dyDescent="0.2">
      <c r="A6" s="358"/>
      <c r="B6" s="359" t="s">
        <v>407</v>
      </c>
      <c r="C6" s="360" t="s">
        <v>408</v>
      </c>
      <c r="D6" s="361" t="s">
        <v>25</v>
      </c>
    </row>
    <row r="7" spans="1:4" ht="13.5" x14ac:dyDescent="0.25">
      <c r="A7" s="362">
        <v>1</v>
      </c>
      <c r="B7" s="236" t="s">
        <v>365</v>
      </c>
      <c r="C7" s="363">
        <v>53218672.270000011</v>
      </c>
      <c r="D7" s="364">
        <v>30015834.929775015</v>
      </c>
    </row>
    <row r="8" spans="1:4" ht="13.5" x14ac:dyDescent="0.25">
      <c r="A8" s="362">
        <v>2</v>
      </c>
      <c r="B8" s="236" t="s">
        <v>366</v>
      </c>
      <c r="C8" s="363">
        <v>64246033.259999998</v>
      </c>
      <c r="D8" s="364">
        <v>47699653.695</v>
      </c>
    </row>
    <row r="9" spans="1:4" ht="13.5" x14ac:dyDescent="0.25">
      <c r="A9" s="362">
        <v>3</v>
      </c>
      <c r="B9" s="236" t="s">
        <v>367</v>
      </c>
      <c r="C9" s="363">
        <v>0</v>
      </c>
      <c r="D9" s="364">
        <v>0</v>
      </c>
    </row>
    <row r="10" spans="1:4" ht="13.5" x14ac:dyDescent="0.25">
      <c r="A10" s="362">
        <v>4</v>
      </c>
      <c r="B10" s="236" t="s">
        <v>368</v>
      </c>
      <c r="C10" s="363">
        <v>7339366.0699999994</v>
      </c>
      <c r="D10" s="364">
        <v>5504524.5524999993</v>
      </c>
    </row>
    <row r="11" spans="1:4" ht="13.5" x14ac:dyDescent="0.25">
      <c r="A11" s="362">
        <v>5</v>
      </c>
      <c r="B11" s="236" t="s">
        <v>369</v>
      </c>
      <c r="C11" s="363">
        <v>0</v>
      </c>
      <c r="D11" s="364">
        <v>0</v>
      </c>
    </row>
    <row r="12" spans="1:4" ht="13.5" x14ac:dyDescent="0.25">
      <c r="A12" s="362">
        <v>6</v>
      </c>
      <c r="B12" s="236" t="s">
        <v>370</v>
      </c>
      <c r="C12" s="363">
        <v>0</v>
      </c>
      <c r="D12" s="364">
        <v>0</v>
      </c>
    </row>
    <row r="13" spans="1:4" ht="13.5" x14ac:dyDescent="0.25">
      <c r="A13" s="362">
        <v>7</v>
      </c>
      <c r="B13" s="365" t="s">
        <v>371</v>
      </c>
      <c r="C13" s="363">
        <v>0</v>
      </c>
      <c r="D13" s="364">
        <v>0</v>
      </c>
    </row>
    <row r="14" spans="1:4" ht="13.5" x14ac:dyDescent="0.25">
      <c r="A14" s="362">
        <v>8</v>
      </c>
      <c r="B14" s="365" t="s">
        <v>409</v>
      </c>
      <c r="C14" s="363">
        <v>151003561.35999891</v>
      </c>
      <c r="D14" s="364">
        <v>107728231.01249918</v>
      </c>
    </row>
    <row r="15" spans="1:4" ht="13.5" thickBot="1" x14ac:dyDescent="0.25">
      <c r="A15" s="366">
        <v>9</v>
      </c>
      <c r="B15" s="311" t="s">
        <v>79</v>
      </c>
      <c r="C15" s="367">
        <f>SUM(C7:C14)</f>
        <v>275807632.95999891</v>
      </c>
      <c r="D15" s="368">
        <f>SUM(D7:D14)</f>
        <v>190948244.18977422</v>
      </c>
    </row>
    <row r="17" spans="2:2" x14ac:dyDescent="0.2">
      <c r="B17" s="21" t="s">
        <v>410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499984740745262"/>
  </sheetPr>
  <dimension ref="A1:N22"/>
  <sheetViews>
    <sheetView tabSelected="1" workbookViewId="0">
      <pane xSplit="1" ySplit="5" topLeftCell="B6" activePane="bottomRight" state="frozen"/>
      <selection activeCell="B8" sqref="B8"/>
      <selection pane="topRight" activeCell="B8" sqref="B8"/>
      <selection pane="bottomLeft" activeCell="B8" sqref="B8"/>
      <selection pane="bottomRight" activeCell="N7" sqref="N7:N21"/>
    </sheetView>
  </sheetViews>
  <sheetFormatPr defaultColWidth="9.140625" defaultRowHeight="15" x14ac:dyDescent="0.3"/>
  <cols>
    <col min="1" max="1" width="10.5703125" style="253" bestFit="1" customWidth="1"/>
    <col min="2" max="2" width="95" style="253" customWidth="1"/>
    <col min="3" max="3" width="13.5703125" style="253" bestFit="1" customWidth="1"/>
    <col min="4" max="4" width="10" style="253" bestFit="1" customWidth="1"/>
    <col min="5" max="5" width="18.28515625" style="253" bestFit="1" customWidth="1"/>
    <col min="6" max="10" width="4.85546875" style="253" bestFit="1" customWidth="1"/>
    <col min="11" max="11" width="11" style="253" bestFit="1" customWidth="1"/>
    <col min="12" max="13" width="5.7109375" style="253" bestFit="1" customWidth="1"/>
    <col min="14" max="14" width="31" style="253" bestFit="1" customWidth="1"/>
    <col min="15" max="16384" width="9.140625" style="106"/>
  </cols>
  <sheetData>
    <row r="1" spans="1:14" x14ac:dyDescent="0.3">
      <c r="A1" s="253" t="s">
        <v>411</v>
      </c>
      <c r="B1" s="21" t="str">
        <f>'1. key ratios'!B1</f>
        <v>სს ტერაბანკი</v>
      </c>
    </row>
    <row r="2" spans="1:14" ht="14.25" customHeight="1" x14ac:dyDescent="0.3">
      <c r="A2" s="253" t="s">
        <v>33</v>
      </c>
      <c r="B2" s="60">
        <f>'1. key ratios'!B2</f>
        <v>42916</v>
      </c>
    </row>
    <row r="3" spans="1:14" ht="14.25" customHeight="1" x14ac:dyDescent="0.3"/>
    <row r="4" spans="1:14" ht="15.75" thickBot="1" x14ac:dyDescent="0.35">
      <c r="A4" s="21" t="s">
        <v>412</v>
      </c>
      <c r="B4" s="369" t="s">
        <v>26</v>
      </c>
    </row>
    <row r="5" spans="1:14" s="374" customFormat="1" ht="12.75" x14ac:dyDescent="0.2">
      <c r="A5" s="370"/>
      <c r="B5" s="371"/>
      <c r="C5" s="372" t="s">
        <v>254</v>
      </c>
      <c r="D5" s="372" t="s">
        <v>255</v>
      </c>
      <c r="E5" s="372" t="s">
        <v>256</v>
      </c>
      <c r="F5" s="372" t="s">
        <v>257</v>
      </c>
      <c r="G5" s="372" t="s">
        <v>342</v>
      </c>
      <c r="H5" s="372" t="s">
        <v>343</v>
      </c>
      <c r="I5" s="372" t="s">
        <v>344</v>
      </c>
      <c r="J5" s="372" t="s">
        <v>345</v>
      </c>
      <c r="K5" s="372" t="s">
        <v>346</v>
      </c>
      <c r="L5" s="372" t="s">
        <v>347</v>
      </c>
      <c r="M5" s="372" t="s">
        <v>348</v>
      </c>
      <c r="N5" s="373" t="s">
        <v>349</v>
      </c>
    </row>
    <row r="6" spans="1:14" ht="45" x14ac:dyDescent="0.3">
      <c r="A6" s="375"/>
      <c r="B6" s="376"/>
      <c r="C6" s="377" t="s">
        <v>413</v>
      </c>
      <c r="D6" s="378" t="s">
        <v>414</v>
      </c>
      <c r="E6" s="379" t="s">
        <v>415</v>
      </c>
      <c r="F6" s="380">
        <v>0</v>
      </c>
      <c r="G6" s="380">
        <v>0.2</v>
      </c>
      <c r="H6" s="380">
        <v>0.35</v>
      </c>
      <c r="I6" s="380">
        <v>0.5</v>
      </c>
      <c r="J6" s="380">
        <v>0.75</v>
      </c>
      <c r="K6" s="380">
        <v>1</v>
      </c>
      <c r="L6" s="380">
        <v>1.5</v>
      </c>
      <c r="M6" s="380">
        <v>2.5</v>
      </c>
      <c r="N6" s="381" t="s">
        <v>26</v>
      </c>
    </row>
    <row r="7" spans="1:14" x14ac:dyDescent="0.3">
      <c r="A7" s="382">
        <v>1</v>
      </c>
      <c r="B7" s="383" t="s">
        <v>416</v>
      </c>
      <c r="C7" s="384">
        <f>SUM(C8:C13)</f>
        <v>17358319.199999999</v>
      </c>
      <c r="D7" s="376"/>
      <c r="E7" s="385">
        <f>SUM(E8:E12)</f>
        <v>347166.38400000002</v>
      </c>
      <c r="F7" s="386">
        <v>0</v>
      </c>
      <c r="G7" s="386">
        <v>0</v>
      </c>
      <c r="H7" s="386">
        <v>0</v>
      </c>
      <c r="I7" s="386">
        <v>0</v>
      </c>
      <c r="J7" s="386">
        <v>0</v>
      </c>
      <c r="K7" s="386">
        <v>347166.38400000002</v>
      </c>
      <c r="L7" s="386">
        <v>0</v>
      </c>
      <c r="M7" s="386">
        <v>0</v>
      </c>
      <c r="N7" s="387">
        <v>347166.38400000002</v>
      </c>
    </row>
    <row r="8" spans="1:14" x14ac:dyDescent="0.3">
      <c r="A8" s="382">
        <v>1.1000000000000001</v>
      </c>
      <c r="B8" s="388" t="s">
        <v>417</v>
      </c>
      <c r="C8" s="386">
        <v>17358319.199999999</v>
      </c>
      <c r="D8" s="389">
        <v>0.02</v>
      </c>
      <c r="E8" s="385">
        <f>C8*D8</f>
        <v>347166.38400000002</v>
      </c>
      <c r="F8" s="386">
        <v>0</v>
      </c>
      <c r="G8" s="386">
        <v>0</v>
      </c>
      <c r="H8" s="386">
        <v>0</v>
      </c>
      <c r="I8" s="386">
        <v>0</v>
      </c>
      <c r="J8" s="386">
        <v>0</v>
      </c>
      <c r="K8" s="386">
        <v>347166.38400000002</v>
      </c>
      <c r="L8" s="386">
        <v>0</v>
      </c>
      <c r="M8" s="386">
        <v>0</v>
      </c>
      <c r="N8" s="387">
        <v>347166.38400000002</v>
      </c>
    </row>
    <row r="9" spans="1:14" x14ac:dyDescent="0.3">
      <c r="A9" s="382">
        <v>1.2</v>
      </c>
      <c r="B9" s="388" t="s">
        <v>418</v>
      </c>
      <c r="C9" s="386">
        <v>0</v>
      </c>
      <c r="D9" s="389">
        <v>0.05</v>
      </c>
      <c r="E9" s="385">
        <f t="shared" ref="E9:E12" si="0">C9*D9</f>
        <v>0</v>
      </c>
      <c r="F9" s="386">
        <v>0</v>
      </c>
      <c r="G9" s="386">
        <v>0</v>
      </c>
      <c r="H9" s="386">
        <v>0</v>
      </c>
      <c r="I9" s="386">
        <v>0</v>
      </c>
      <c r="J9" s="386">
        <v>0</v>
      </c>
      <c r="K9" s="386">
        <v>0</v>
      </c>
      <c r="L9" s="386">
        <v>0</v>
      </c>
      <c r="M9" s="386">
        <v>0</v>
      </c>
      <c r="N9" s="387">
        <v>0</v>
      </c>
    </row>
    <row r="10" spans="1:14" x14ac:dyDescent="0.3">
      <c r="A10" s="382">
        <v>1.3</v>
      </c>
      <c r="B10" s="388" t="s">
        <v>419</v>
      </c>
      <c r="C10" s="386">
        <v>0</v>
      </c>
      <c r="D10" s="389">
        <v>0.08</v>
      </c>
      <c r="E10" s="385">
        <f t="shared" si="0"/>
        <v>0</v>
      </c>
      <c r="F10" s="386">
        <v>0</v>
      </c>
      <c r="G10" s="386">
        <v>0</v>
      </c>
      <c r="H10" s="386">
        <v>0</v>
      </c>
      <c r="I10" s="386">
        <v>0</v>
      </c>
      <c r="J10" s="386">
        <v>0</v>
      </c>
      <c r="K10" s="386">
        <v>0</v>
      </c>
      <c r="L10" s="386">
        <v>0</v>
      </c>
      <c r="M10" s="386">
        <v>0</v>
      </c>
      <c r="N10" s="387">
        <v>0</v>
      </c>
    </row>
    <row r="11" spans="1:14" x14ac:dyDescent="0.3">
      <c r="A11" s="382">
        <v>1.4</v>
      </c>
      <c r="B11" s="388" t="s">
        <v>420</v>
      </c>
      <c r="C11" s="386">
        <v>0</v>
      </c>
      <c r="D11" s="389">
        <v>0.11</v>
      </c>
      <c r="E11" s="385">
        <f t="shared" si="0"/>
        <v>0</v>
      </c>
      <c r="F11" s="386">
        <v>0</v>
      </c>
      <c r="G11" s="386">
        <v>0</v>
      </c>
      <c r="H11" s="386">
        <v>0</v>
      </c>
      <c r="I11" s="386">
        <v>0</v>
      </c>
      <c r="J11" s="386">
        <v>0</v>
      </c>
      <c r="K11" s="386">
        <v>0</v>
      </c>
      <c r="L11" s="386">
        <v>0</v>
      </c>
      <c r="M11" s="386">
        <v>0</v>
      </c>
      <c r="N11" s="387">
        <v>0</v>
      </c>
    </row>
    <row r="12" spans="1:14" x14ac:dyDescent="0.3">
      <c r="A12" s="382">
        <v>1.5</v>
      </c>
      <c r="B12" s="388" t="s">
        <v>421</v>
      </c>
      <c r="C12" s="386">
        <v>0</v>
      </c>
      <c r="D12" s="389">
        <v>0.14000000000000001</v>
      </c>
      <c r="E12" s="385">
        <f t="shared" si="0"/>
        <v>0</v>
      </c>
      <c r="F12" s="386">
        <v>0</v>
      </c>
      <c r="G12" s="386">
        <v>0</v>
      </c>
      <c r="H12" s="386">
        <v>0</v>
      </c>
      <c r="I12" s="386">
        <v>0</v>
      </c>
      <c r="J12" s="386">
        <v>0</v>
      </c>
      <c r="K12" s="386">
        <v>0</v>
      </c>
      <c r="L12" s="386">
        <v>0</v>
      </c>
      <c r="M12" s="386">
        <v>0</v>
      </c>
      <c r="N12" s="387">
        <v>0</v>
      </c>
    </row>
    <row r="13" spans="1:14" x14ac:dyDescent="0.3">
      <c r="A13" s="382">
        <v>1.6</v>
      </c>
      <c r="B13" s="390" t="s">
        <v>422</v>
      </c>
      <c r="C13" s="386">
        <v>0</v>
      </c>
      <c r="D13" s="391"/>
      <c r="E13" s="386"/>
      <c r="F13" s="386">
        <v>0</v>
      </c>
      <c r="G13" s="386">
        <v>0</v>
      </c>
      <c r="H13" s="386">
        <v>0</v>
      </c>
      <c r="I13" s="386">
        <v>0</v>
      </c>
      <c r="J13" s="386">
        <v>0</v>
      </c>
      <c r="K13" s="386">
        <v>0</v>
      </c>
      <c r="L13" s="386">
        <v>0</v>
      </c>
      <c r="M13" s="386">
        <v>0</v>
      </c>
      <c r="N13" s="387">
        <v>0</v>
      </c>
    </row>
    <row r="14" spans="1:14" x14ac:dyDescent="0.3">
      <c r="A14" s="382">
        <v>2</v>
      </c>
      <c r="B14" s="392" t="s">
        <v>423</v>
      </c>
      <c r="C14" s="384">
        <f>SUM(C15:C20)</f>
        <v>0</v>
      </c>
      <c r="D14" s="376"/>
      <c r="E14" s="385">
        <f>SUM(E15:E19)</f>
        <v>0</v>
      </c>
      <c r="F14" s="386">
        <v>0</v>
      </c>
      <c r="G14" s="386">
        <v>0</v>
      </c>
      <c r="H14" s="386">
        <v>0</v>
      </c>
      <c r="I14" s="386">
        <v>0</v>
      </c>
      <c r="J14" s="386">
        <v>0</v>
      </c>
      <c r="K14" s="386">
        <v>0</v>
      </c>
      <c r="L14" s="386">
        <v>0</v>
      </c>
      <c r="M14" s="386">
        <v>0</v>
      </c>
      <c r="N14" s="387">
        <v>0</v>
      </c>
    </row>
    <row r="15" spans="1:14" x14ac:dyDescent="0.3">
      <c r="A15" s="382">
        <v>2.1</v>
      </c>
      <c r="B15" s="390" t="s">
        <v>417</v>
      </c>
      <c r="C15" s="386">
        <v>0</v>
      </c>
      <c r="D15" s="389">
        <v>5.0000000000000001E-3</v>
      </c>
      <c r="E15" s="385">
        <f>D15*C15</f>
        <v>0</v>
      </c>
      <c r="F15" s="386">
        <v>0</v>
      </c>
      <c r="G15" s="386">
        <v>0</v>
      </c>
      <c r="H15" s="386">
        <v>0</v>
      </c>
      <c r="I15" s="386">
        <v>0</v>
      </c>
      <c r="J15" s="386">
        <v>0</v>
      </c>
      <c r="K15" s="386">
        <v>0</v>
      </c>
      <c r="L15" s="386">
        <v>0</v>
      </c>
      <c r="M15" s="386">
        <v>0</v>
      </c>
      <c r="N15" s="387">
        <v>0</v>
      </c>
    </row>
    <row r="16" spans="1:14" x14ac:dyDescent="0.3">
      <c r="A16" s="382">
        <v>2.2000000000000002</v>
      </c>
      <c r="B16" s="390" t="s">
        <v>418</v>
      </c>
      <c r="C16" s="386">
        <v>0</v>
      </c>
      <c r="D16" s="389">
        <v>0.01</v>
      </c>
      <c r="E16" s="385">
        <f t="shared" ref="E16:E19" si="1">D16*C16</f>
        <v>0</v>
      </c>
      <c r="F16" s="386">
        <v>0</v>
      </c>
      <c r="G16" s="386">
        <v>0</v>
      </c>
      <c r="H16" s="386">
        <v>0</v>
      </c>
      <c r="I16" s="386">
        <v>0</v>
      </c>
      <c r="J16" s="386">
        <v>0</v>
      </c>
      <c r="K16" s="386">
        <v>0</v>
      </c>
      <c r="L16" s="386">
        <v>0</v>
      </c>
      <c r="M16" s="386">
        <v>0</v>
      </c>
      <c r="N16" s="387">
        <v>0</v>
      </c>
    </row>
    <row r="17" spans="1:14" x14ac:dyDescent="0.3">
      <c r="A17" s="382">
        <v>2.2999999999999998</v>
      </c>
      <c r="B17" s="390" t="s">
        <v>419</v>
      </c>
      <c r="C17" s="386">
        <v>0</v>
      </c>
      <c r="D17" s="389">
        <v>0.02</v>
      </c>
      <c r="E17" s="385">
        <f t="shared" si="1"/>
        <v>0</v>
      </c>
      <c r="F17" s="386">
        <v>0</v>
      </c>
      <c r="G17" s="386">
        <v>0</v>
      </c>
      <c r="H17" s="386">
        <v>0</v>
      </c>
      <c r="I17" s="386">
        <v>0</v>
      </c>
      <c r="J17" s="386">
        <v>0</v>
      </c>
      <c r="K17" s="386">
        <v>0</v>
      </c>
      <c r="L17" s="386">
        <v>0</v>
      </c>
      <c r="M17" s="386">
        <v>0</v>
      </c>
      <c r="N17" s="387">
        <v>0</v>
      </c>
    </row>
    <row r="18" spans="1:14" x14ac:dyDescent="0.3">
      <c r="A18" s="382">
        <v>2.4</v>
      </c>
      <c r="B18" s="390" t="s">
        <v>420</v>
      </c>
      <c r="C18" s="386">
        <v>0</v>
      </c>
      <c r="D18" s="389">
        <v>0.03</v>
      </c>
      <c r="E18" s="385">
        <f t="shared" si="1"/>
        <v>0</v>
      </c>
      <c r="F18" s="386">
        <v>0</v>
      </c>
      <c r="G18" s="386">
        <v>0</v>
      </c>
      <c r="H18" s="386">
        <v>0</v>
      </c>
      <c r="I18" s="386">
        <v>0</v>
      </c>
      <c r="J18" s="386">
        <v>0</v>
      </c>
      <c r="K18" s="386">
        <v>0</v>
      </c>
      <c r="L18" s="386">
        <v>0</v>
      </c>
      <c r="M18" s="386">
        <v>0</v>
      </c>
      <c r="N18" s="387">
        <v>0</v>
      </c>
    </row>
    <row r="19" spans="1:14" x14ac:dyDescent="0.3">
      <c r="A19" s="382">
        <v>2.5</v>
      </c>
      <c r="B19" s="390" t="s">
        <v>421</v>
      </c>
      <c r="C19" s="386">
        <v>0</v>
      </c>
      <c r="D19" s="389">
        <v>0.04</v>
      </c>
      <c r="E19" s="385">
        <f t="shared" si="1"/>
        <v>0</v>
      </c>
      <c r="F19" s="386">
        <v>0</v>
      </c>
      <c r="G19" s="386">
        <v>0</v>
      </c>
      <c r="H19" s="386">
        <v>0</v>
      </c>
      <c r="I19" s="386">
        <v>0</v>
      </c>
      <c r="J19" s="386">
        <v>0</v>
      </c>
      <c r="K19" s="386">
        <v>0</v>
      </c>
      <c r="L19" s="386">
        <v>0</v>
      </c>
      <c r="M19" s="386">
        <v>0</v>
      </c>
      <c r="N19" s="387">
        <v>0</v>
      </c>
    </row>
    <row r="20" spans="1:14" x14ac:dyDescent="0.3">
      <c r="A20" s="382">
        <v>2.6</v>
      </c>
      <c r="B20" s="390" t="s">
        <v>422</v>
      </c>
      <c r="C20" s="386">
        <v>0</v>
      </c>
      <c r="D20" s="391"/>
      <c r="E20" s="393"/>
      <c r="F20" s="386">
        <v>0</v>
      </c>
      <c r="G20" s="386">
        <v>0</v>
      </c>
      <c r="H20" s="386">
        <v>0</v>
      </c>
      <c r="I20" s="386">
        <v>0</v>
      </c>
      <c r="J20" s="386">
        <v>0</v>
      </c>
      <c r="K20" s="386">
        <v>0</v>
      </c>
      <c r="L20" s="386">
        <v>0</v>
      </c>
      <c r="M20" s="386">
        <v>0</v>
      </c>
      <c r="N20" s="387">
        <v>0</v>
      </c>
    </row>
    <row r="21" spans="1:14" ht="15.75" thickBot="1" x14ac:dyDescent="0.35">
      <c r="A21" s="394">
        <v>3</v>
      </c>
      <c r="B21" s="395" t="s">
        <v>79</v>
      </c>
      <c r="C21" s="396">
        <f>C7+C14</f>
        <v>17358319.199999999</v>
      </c>
      <c r="D21" s="397"/>
      <c r="E21" s="398">
        <f>SUM(E7+E14)</f>
        <v>347166.38400000002</v>
      </c>
      <c r="F21" s="386">
        <v>0</v>
      </c>
      <c r="G21" s="386">
        <v>0</v>
      </c>
      <c r="H21" s="386">
        <v>0</v>
      </c>
      <c r="I21" s="386">
        <v>0</v>
      </c>
      <c r="J21" s="386">
        <v>0</v>
      </c>
      <c r="K21" s="386">
        <v>0</v>
      </c>
      <c r="L21" s="386">
        <v>0</v>
      </c>
      <c r="M21" s="386">
        <v>0</v>
      </c>
      <c r="N21" s="387">
        <v>347166.38400000002</v>
      </c>
    </row>
    <row r="22" spans="1:14" x14ac:dyDescent="0.3">
      <c r="E22" s="399"/>
      <c r="F22" s="399"/>
      <c r="G22" s="399"/>
      <c r="H22" s="399"/>
      <c r="I22" s="399"/>
      <c r="J22" s="399"/>
      <c r="K22" s="399"/>
      <c r="L22" s="399"/>
      <c r="M22" s="39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sheetPr>
  <dimension ref="A1:I39"/>
  <sheetViews>
    <sheetView zoomScaleNormal="100" workbookViewId="0">
      <pane xSplit="1" ySplit="5" topLeftCell="B6" activePane="bottomRight" state="frozen"/>
      <selection activeCell="B8" sqref="B8"/>
      <selection pane="topRight" activeCell="B8" sqref="B8"/>
      <selection pane="bottomLeft" activeCell="B8" sqref="B8"/>
      <selection pane="bottomRight" activeCell="C16" sqref="C16:G38"/>
    </sheetView>
  </sheetViews>
  <sheetFormatPr defaultRowHeight="15.75" x14ac:dyDescent="0.3"/>
  <cols>
    <col min="1" max="1" width="9.5703125" style="59" bestFit="1" customWidth="1"/>
    <col min="2" max="2" width="86" style="23" customWidth="1"/>
    <col min="3" max="3" width="12.7109375" style="23" customWidth="1"/>
    <col min="4" max="7" width="12.7109375" style="21" customWidth="1"/>
    <col min="8" max="8" width="6.7109375" customWidth="1"/>
    <col min="9" max="9" width="12.5703125" bestFit="1" customWidth="1"/>
    <col min="10" max="13" width="6.7109375" customWidth="1"/>
  </cols>
  <sheetData>
    <row r="1" spans="1:8" x14ac:dyDescent="0.3">
      <c r="A1" s="22" t="s">
        <v>31</v>
      </c>
      <c r="B1" s="23" t="s">
        <v>32</v>
      </c>
    </row>
    <row r="2" spans="1:8" x14ac:dyDescent="0.3">
      <c r="A2" s="22" t="s">
        <v>33</v>
      </c>
      <c r="B2" s="24">
        <v>42916</v>
      </c>
      <c r="C2" s="25"/>
      <c r="D2" s="26"/>
      <c r="E2" s="26"/>
      <c r="F2" s="26"/>
      <c r="G2" s="26"/>
      <c r="H2" s="27"/>
    </row>
    <row r="3" spans="1:8" x14ac:dyDescent="0.3">
      <c r="A3" s="22"/>
      <c r="C3" s="25"/>
      <c r="D3" s="26"/>
      <c r="E3" s="26"/>
      <c r="F3" s="26"/>
      <c r="G3" s="26"/>
      <c r="H3" s="27"/>
    </row>
    <row r="4" spans="1:8" ht="16.5" thickBot="1" x14ac:dyDescent="0.35">
      <c r="A4" s="28" t="s">
        <v>34</v>
      </c>
      <c r="B4" s="29" t="s">
        <v>12</v>
      </c>
      <c r="C4" s="30"/>
      <c r="D4" s="31"/>
      <c r="E4" s="31"/>
      <c r="F4" s="31"/>
      <c r="G4" s="31"/>
      <c r="H4" s="27"/>
    </row>
    <row r="5" spans="1:8" ht="15" x14ac:dyDescent="0.25">
      <c r="A5" s="32" t="s">
        <v>35</v>
      </c>
      <c r="B5" s="33"/>
      <c r="C5" s="34" t="s">
        <v>36</v>
      </c>
      <c r="D5" s="35" t="s">
        <v>37</v>
      </c>
      <c r="E5" s="35" t="s">
        <v>38</v>
      </c>
      <c r="F5" s="35" t="s">
        <v>39</v>
      </c>
      <c r="G5" s="36" t="s">
        <v>40</v>
      </c>
    </row>
    <row r="6" spans="1:8" ht="15" x14ac:dyDescent="0.25">
      <c r="A6" s="37"/>
      <c r="B6" s="38" t="s">
        <v>41</v>
      </c>
      <c r="C6" s="39"/>
      <c r="D6" s="40"/>
      <c r="E6" s="40"/>
      <c r="F6" s="40"/>
      <c r="G6" s="41"/>
    </row>
    <row r="7" spans="1:8" ht="15" x14ac:dyDescent="0.25">
      <c r="A7" s="37"/>
      <c r="B7" s="42" t="s">
        <v>42</v>
      </c>
      <c r="C7" s="39"/>
      <c r="D7" s="40"/>
      <c r="E7" s="40"/>
      <c r="F7" s="40"/>
      <c r="G7" s="41"/>
    </row>
    <row r="8" spans="1:8" ht="15" x14ac:dyDescent="0.25">
      <c r="A8" s="43">
        <v>1</v>
      </c>
      <c r="B8" s="44" t="s">
        <v>43</v>
      </c>
      <c r="C8" s="45">
        <v>76989937.570000023</v>
      </c>
      <c r="D8" s="46">
        <v>74795606.299999595</v>
      </c>
      <c r="E8" s="46">
        <v>68835342.11999996</v>
      </c>
      <c r="F8" s="46">
        <v>56153697.349999994</v>
      </c>
      <c r="G8" s="47">
        <v>57361000.189999968</v>
      </c>
    </row>
    <row r="9" spans="1:8" ht="15" x14ac:dyDescent="0.25">
      <c r="A9" s="43">
        <v>2</v>
      </c>
      <c r="B9" s="44" t="s">
        <v>44</v>
      </c>
      <c r="C9" s="45">
        <v>76989937.570000023</v>
      </c>
      <c r="D9" s="45">
        <v>74795606.299999595</v>
      </c>
      <c r="E9" s="45">
        <v>68835342.11999996</v>
      </c>
      <c r="F9" s="45">
        <v>56153697.349999994</v>
      </c>
      <c r="G9" s="45">
        <v>57361000.189999968</v>
      </c>
    </row>
    <row r="10" spans="1:8" ht="15" x14ac:dyDescent="0.25">
      <c r="A10" s="43">
        <v>3</v>
      </c>
      <c r="B10" s="44" t="s">
        <v>20</v>
      </c>
      <c r="C10" s="45">
        <v>112842341.49569386</v>
      </c>
      <c r="D10" s="45">
        <v>110419299.5599997</v>
      </c>
      <c r="E10" s="45">
        <v>106835223.03000006</v>
      </c>
      <c r="F10" s="45">
        <v>95859701.140000105</v>
      </c>
      <c r="G10" s="45">
        <v>97690856.060000062</v>
      </c>
    </row>
    <row r="11" spans="1:8" ht="15" x14ac:dyDescent="0.25">
      <c r="A11" s="37"/>
      <c r="B11" s="38" t="s">
        <v>45</v>
      </c>
      <c r="C11" s="39"/>
      <c r="D11" s="40"/>
      <c r="E11" s="40"/>
      <c r="F11" s="40"/>
      <c r="G11" s="41"/>
    </row>
    <row r="12" spans="1:8" ht="15" customHeight="1" x14ac:dyDescent="0.25">
      <c r="A12" s="43">
        <v>4</v>
      </c>
      <c r="B12" s="44" t="s">
        <v>46</v>
      </c>
      <c r="C12" s="45">
        <v>774395368.41360295</v>
      </c>
      <c r="D12" s="45">
        <v>744854807.92622995</v>
      </c>
      <c r="E12" s="45">
        <v>797372457.71658361</v>
      </c>
      <c r="F12" s="45">
        <v>777356042.86795604</v>
      </c>
      <c r="G12" s="45">
        <v>785846092.69209743</v>
      </c>
    </row>
    <row r="13" spans="1:8" ht="15" customHeight="1" x14ac:dyDescent="0.25">
      <c r="A13" s="43">
        <v>5</v>
      </c>
      <c r="B13" s="44" t="s">
        <v>47</v>
      </c>
      <c r="C13" s="45">
        <v>694495238.74299943</v>
      </c>
      <c r="D13" s="45">
        <v>659502830.77420008</v>
      </c>
      <c r="E13" s="45">
        <v>711096383.0809989</v>
      </c>
      <c r="F13" s="45">
        <v>706012898.87400138</v>
      </c>
      <c r="G13" s="45">
        <v>714570140.56200087</v>
      </c>
    </row>
    <row r="14" spans="1:8" ht="15" x14ac:dyDescent="0.25">
      <c r="A14" s="37"/>
      <c r="B14" s="38" t="s">
        <v>48</v>
      </c>
      <c r="C14" s="39"/>
      <c r="D14" s="40"/>
      <c r="E14" s="40"/>
      <c r="F14" s="40"/>
      <c r="G14" s="41"/>
    </row>
    <row r="15" spans="1:8" s="20" customFormat="1" ht="15" x14ac:dyDescent="0.25">
      <c r="A15" s="43"/>
      <c r="B15" s="42" t="s">
        <v>42</v>
      </c>
      <c r="C15" s="48"/>
      <c r="D15" s="46"/>
      <c r="E15" s="46"/>
      <c r="F15" s="46"/>
      <c r="G15" s="47"/>
    </row>
    <row r="16" spans="1:8" ht="15" x14ac:dyDescent="0.25">
      <c r="A16" s="49">
        <v>6</v>
      </c>
      <c r="B16" s="50" t="s">
        <v>49</v>
      </c>
      <c r="C16" s="446">
        <f>C8/C12</f>
        <v>9.9419418956131794E-2</v>
      </c>
      <c r="D16" s="446">
        <f t="shared" ref="D16:G16" si="0">D8/D12</f>
        <v>0.10041635699209625</v>
      </c>
      <c r="E16" s="446">
        <f t="shared" si="0"/>
        <v>8.6327714801088168E-2</v>
      </c>
      <c r="F16" s="446">
        <f t="shared" si="0"/>
        <v>7.2236779870943152E-2</v>
      </c>
      <c r="G16" s="446">
        <f t="shared" si="0"/>
        <v>7.2992664496805734E-2</v>
      </c>
    </row>
    <row r="17" spans="1:9" ht="15" customHeight="1" x14ac:dyDescent="0.25">
      <c r="A17" s="49">
        <v>7</v>
      </c>
      <c r="B17" s="50" t="s">
        <v>50</v>
      </c>
      <c r="C17" s="446">
        <f>C9/C12</f>
        <v>9.9419418956131794E-2</v>
      </c>
      <c r="D17" s="446">
        <f t="shared" ref="D17:G17" si="1">D9/D12</f>
        <v>0.10041635699209625</v>
      </c>
      <c r="E17" s="446">
        <f t="shared" si="1"/>
        <v>8.6327714801088168E-2</v>
      </c>
      <c r="F17" s="446">
        <f t="shared" si="1"/>
        <v>7.2236779870943152E-2</v>
      </c>
      <c r="G17" s="446">
        <f t="shared" si="1"/>
        <v>7.2992664496805734E-2</v>
      </c>
    </row>
    <row r="18" spans="1:9" ht="15" x14ac:dyDescent="0.25">
      <c r="A18" s="49">
        <v>8</v>
      </c>
      <c r="B18" s="50" t="s">
        <v>51</v>
      </c>
      <c r="C18" s="446">
        <f>C10/C12</f>
        <v>0.14571670505578876</v>
      </c>
      <c r="D18" s="446">
        <f t="shared" ref="D18:G18" si="2">D10/D12</f>
        <v>0.14824271574136846</v>
      </c>
      <c r="E18" s="446">
        <f t="shared" si="2"/>
        <v>0.1339840898642794</v>
      </c>
      <c r="F18" s="446">
        <f t="shared" si="2"/>
        <v>0.12331505237463383</v>
      </c>
      <c r="G18" s="446">
        <f t="shared" si="2"/>
        <v>0.12431296276518657</v>
      </c>
    </row>
    <row r="19" spans="1:9" s="20" customFormat="1" ht="15" x14ac:dyDescent="0.25">
      <c r="A19" s="43"/>
      <c r="B19" s="42" t="s">
        <v>52</v>
      </c>
      <c r="C19" s="446"/>
      <c r="D19" s="446"/>
      <c r="E19" s="446"/>
      <c r="F19" s="446"/>
      <c r="G19" s="446"/>
    </row>
    <row r="20" spans="1:9" ht="15" x14ac:dyDescent="0.25">
      <c r="A20" s="49">
        <v>9</v>
      </c>
      <c r="B20" s="50" t="s">
        <v>53</v>
      </c>
      <c r="C20" s="446">
        <v>9.9440486078776799E-2</v>
      </c>
      <c r="D20" s="446">
        <v>0.10516748963545665</v>
      </c>
      <c r="E20" s="446">
        <v>0.11658265296022034</v>
      </c>
      <c r="F20" s="446">
        <v>0.10210282130109469</v>
      </c>
      <c r="G20" s="446">
        <v>0.10018217217094676</v>
      </c>
    </row>
    <row r="21" spans="1:9" ht="15" x14ac:dyDescent="0.25">
      <c r="A21" s="49">
        <v>10</v>
      </c>
      <c r="B21" s="50" t="s">
        <v>54</v>
      </c>
      <c r="C21" s="446">
        <v>0.16254369155117274</v>
      </c>
      <c r="D21" s="446">
        <v>0.16742809038495993</v>
      </c>
      <c r="E21" s="446">
        <v>0.15024014405348313</v>
      </c>
      <c r="F21" s="446">
        <v>0.13577613283395226</v>
      </c>
      <c r="G21" s="446">
        <v>0.13671275990229234</v>
      </c>
    </row>
    <row r="22" spans="1:9" ht="15" x14ac:dyDescent="0.25">
      <c r="A22" s="37"/>
      <c r="B22" s="38" t="s">
        <v>425</v>
      </c>
      <c r="C22" s="446"/>
      <c r="D22" s="446"/>
      <c r="E22" s="446"/>
      <c r="F22" s="446"/>
      <c r="G22" s="446"/>
    </row>
    <row r="23" spans="1:9" ht="15" customHeight="1" x14ac:dyDescent="0.25">
      <c r="A23" s="51">
        <v>11</v>
      </c>
      <c r="B23" s="52" t="s">
        <v>55</v>
      </c>
      <c r="C23" s="446">
        <v>8.3581928966828076E-2</v>
      </c>
      <c r="D23" s="447">
        <v>8.266983911440598E-2</v>
      </c>
      <c r="E23" s="446">
        <v>9.0782559195747015E-2</v>
      </c>
      <c r="F23" s="446">
        <v>9.0947142396889905E-2</v>
      </c>
      <c r="G23" s="446">
        <v>9.0883525514514119E-2</v>
      </c>
      <c r="I23" s="53"/>
    </row>
    <row r="24" spans="1:9" ht="15" x14ac:dyDescent="0.25">
      <c r="A24" s="51">
        <v>12</v>
      </c>
      <c r="B24" s="52" t="s">
        <v>56</v>
      </c>
      <c r="C24" s="446">
        <v>4.1196113379557274E-2</v>
      </c>
      <c r="D24" s="447">
        <v>4.2297634596985725E-2</v>
      </c>
      <c r="E24" s="446">
        <v>5.4756954309301921E-2</v>
      </c>
      <c r="F24" s="446">
        <v>5.6397215249469827E-2</v>
      </c>
      <c r="G24" s="446">
        <v>5.6919860507074982E-2</v>
      </c>
    </row>
    <row r="25" spans="1:9" ht="15" x14ac:dyDescent="0.25">
      <c r="A25" s="51">
        <v>13</v>
      </c>
      <c r="B25" s="52" t="s">
        <v>57</v>
      </c>
      <c r="C25" s="446">
        <v>2.8878472911685538E-2</v>
      </c>
      <c r="D25" s="447">
        <v>1.9789349218024686E-2</v>
      </c>
      <c r="E25" s="448">
        <v>1.4489234734212673E-2</v>
      </c>
      <c r="F25" s="446">
        <v>1.4235257617602944E-2</v>
      </c>
      <c r="G25" s="446">
        <v>1.0215241328092869E-2</v>
      </c>
      <c r="I25" s="54"/>
    </row>
    <row r="26" spans="1:9" ht="15" x14ac:dyDescent="0.25">
      <c r="A26" s="51">
        <v>14</v>
      </c>
      <c r="B26" s="52" t="s">
        <v>58</v>
      </c>
      <c r="C26" s="446">
        <v>4.2385815587270802E-2</v>
      </c>
      <c r="D26" s="447">
        <v>4.0372204517420268E-2</v>
      </c>
      <c r="E26" s="446">
        <v>3.602560488644508E-2</v>
      </c>
      <c r="F26" s="446">
        <v>3.4549927147420084E-2</v>
      </c>
      <c r="G26" s="446">
        <v>3.3963665007439144E-2</v>
      </c>
      <c r="I26" s="55"/>
    </row>
    <row r="27" spans="1:9" ht="15" x14ac:dyDescent="0.25">
      <c r="A27" s="51">
        <v>15</v>
      </c>
      <c r="B27" s="52" t="s">
        <v>59</v>
      </c>
      <c r="C27" s="446">
        <v>2.313427262294393E-2</v>
      </c>
      <c r="D27" s="447">
        <v>3.1943245079547419E-2</v>
      </c>
      <c r="E27" s="446">
        <v>-2.0513570475940841E-2</v>
      </c>
      <c r="F27" s="446">
        <v>-3.1242752200824161E-2</v>
      </c>
      <c r="G27" s="446">
        <v>-4.2159249748003003E-2</v>
      </c>
    </row>
    <row r="28" spans="1:9" ht="15" x14ac:dyDescent="0.25">
      <c r="A28" s="51">
        <v>16</v>
      </c>
      <c r="B28" s="52" t="s">
        <v>60</v>
      </c>
      <c r="C28" s="446">
        <v>0.15366679493746499</v>
      </c>
      <c r="D28" s="447">
        <v>0.21239922454252888</v>
      </c>
      <c r="E28" s="446">
        <v>-0.15003322133099659</v>
      </c>
      <c r="F28" s="446">
        <v>-0.22746791602065666</v>
      </c>
      <c r="G28" s="446">
        <v>-0.29382805134092344</v>
      </c>
    </row>
    <row r="29" spans="1:9" ht="15" x14ac:dyDescent="0.25">
      <c r="A29" s="37"/>
      <c r="B29" s="38" t="s">
        <v>61</v>
      </c>
      <c r="C29" s="446"/>
      <c r="D29" s="446"/>
      <c r="E29" s="449"/>
      <c r="F29" s="446"/>
      <c r="G29" s="446"/>
    </row>
    <row r="30" spans="1:9" ht="15" x14ac:dyDescent="0.25">
      <c r="A30" s="51">
        <v>17</v>
      </c>
      <c r="B30" s="52" t="s">
        <v>62</v>
      </c>
      <c r="C30" s="446">
        <v>0.10739597136539608</v>
      </c>
      <c r="D30" s="446">
        <v>0.11266427797653586</v>
      </c>
      <c r="E30" s="447">
        <v>0.11784423055789221</v>
      </c>
      <c r="F30" s="446">
        <v>0.11620942988721278</v>
      </c>
      <c r="G30" s="446">
        <v>0.12104978578214605</v>
      </c>
    </row>
    <row r="31" spans="1:9" ht="15" customHeight="1" x14ac:dyDescent="0.25">
      <c r="A31" s="51">
        <v>18</v>
      </c>
      <c r="B31" s="52" t="s">
        <v>63</v>
      </c>
      <c r="C31" s="446">
        <f>-'2. RC'!E13/'2. RC'!E12</f>
        <v>7.9771539451083062E-2</v>
      </c>
      <c r="D31" s="446">
        <v>8.3342300094396068E-2</v>
      </c>
      <c r="E31" s="447">
        <v>8.7354858522005668E-2</v>
      </c>
      <c r="F31" s="446">
        <v>8.14409841934461E-2</v>
      </c>
      <c r="G31" s="446">
        <v>7.9673822063081975E-2</v>
      </c>
    </row>
    <row r="32" spans="1:9" ht="15" x14ac:dyDescent="0.25">
      <c r="A32" s="51">
        <v>19</v>
      </c>
      <c r="B32" s="52" t="s">
        <v>64</v>
      </c>
      <c r="C32" s="446">
        <f>'2. RC'!D12/'2. RC'!E12</f>
        <v>0.59440885081266359</v>
      </c>
      <c r="D32" s="446">
        <v>0.62051160848880715</v>
      </c>
      <c r="E32" s="447">
        <v>0.63312424297501102</v>
      </c>
      <c r="F32" s="446">
        <v>0.61581997223197116</v>
      </c>
      <c r="G32" s="446">
        <v>0.6152223722691279</v>
      </c>
    </row>
    <row r="33" spans="1:7" ht="15" customHeight="1" x14ac:dyDescent="0.25">
      <c r="A33" s="51">
        <v>20</v>
      </c>
      <c r="B33" s="52" t="s">
        <v>65</v>
      </c>
      <c r="C33" s="446">
        <f>'2. RC'!D20/'2. RC'!E20</f>
        <v>0.5563357530136922</v>
      </c>
      <c r="D33" s="446">
        <v>0.58083741303898262</v>
      </c>
      <c r="E33" s="447">
        <v>0.60529217265042612</v>
      </c>
      <c r="F33" s="446">
        <v>0.56163827484532514</v>
      </c>
      <c r="G33" s="446">
        <v>0.55415932250808364</v>
      </c>
    </row>
    <row r="34" spans="1:7" ht="15" x14ac:dyDescent="0.25">
      <c r="A34" s="51">
        <v>21</v>
      </c>
      <c r="B34" s="52" t="s">
        <v>66</v>
      </c>
      <c r="C34" s="446">
        <v>9.8898369682243192E-4</v>
      </c>
      <c r="D34" s="446">
        <v>-6.7967914156280756E-2</v>
      </c>
      <c r="E34" s="447">
        <v>-2.8964424097628338E-3</v>
      </c>
      <c r="F34" s="446">
        <v>2.0126038019564696E-2</v>
      </c>
      <c r="G34" s="446">
        <v>1.6744906733383927E-3</v>
      </c>
    </row>
    <row r="35" spans="1:7" ht="15" customHeight="1" x14ac:dyDescent="0.25">
      <c r="A35" s="37"/>
      <c r="B35" s="38" t="s">
        <v>67</v>
      </c>
      <c r="C35" s="446"/>
      <c r="D35" s="446"/>
      <c r="E35" s="449"/>
      <c r="F35" s="446"/>
      <c r="G35" s="446"/>
    </row>
    <row r="36" spans="1:7" ht="15" x14ac:dyDescent="0.25">
      <c r="A36" s="51">
        <v>22</v>
      </c>
      <c r="B36" s="52" t="s">
        <v>68</v>
      </c>
      <c r="C36" s="446">
        <v>0.22801127678310126</v>
      </c>
      <c r="D36" s="446">
        <v>0.1892198861190354</v>
      </c>
      <c r="E36" s="446">
        <v>0.25303196982807985</v>
      </c>
      <c r="F36" s="446">
        <v>0.21131801720167318</v>
      </c>
      <c r="G36" s="446">
        <v>0.20524034522972051</v>
      </c>
    </row>
    <row r="37" spans="1:7" ht="15" customHeight="1" x14ac:dyDescent="0.25">
      <c r="A37" s="51">
        <v>23</v>
      </c>
      <c r="B37" s="52" t="s">
        <v>69</v>
      </c>
      <c r="C37" s="446">
        <f>'2. RC'!D31/'2. RC'!E31</f>
        <v>0.63566945281139131</v>
      </c>
      <c r="D37" s="446">
        <v>0.63496136663117886</v>
      </c>
      <c r="E37" s="446">
        <v>0.68896195757633838</v>
      </c>
      <c r="F37" s="446">
        <v>0.62042007517077569</v>
      </c>
      <c r="G37" s="446">
        <v>0.61615665419792442</v>
      </c>
    </row>
    <row r="38" spans="1:7" thickBot="1" x14ac:dyDescent="0.3">
      <c r="A38" s="56">
        <v>24</v>
      </c>
      <c r="B38" s="57" t="s">
        <v>70</v>
      </c>
      <c r="C38" s="446">
        <f>('2. RC'!E23+'2. RC'!E24)/'2. RC'!E20</f>
        <v>0.48095831033221031</v>
      </c>
      <c r="D38" s="446">
        <v>0.40677379176571599</v>
      </c>
      <c r="E38" s="446">
        <v>0.48651370302949992</v>
      </c>
      <c r="F38" s="446">
        <v>0.47749482080193206</v>
      </c>
      <c r="G38" s="446">
        <v>0.37517487029243551</v>
      </c>
    </row>
    <row r="39" spans="1:7" ht="27" x14ac:dyDescent="0.3">
      <c r="A39" s="58"/>
      <c r="B39" s="401" t="s">
        <v>426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H43"/>
  <sheetViews>
    <sheetView workbookViewId="0">
      <pane xSplit="1" ySplit="5" topLeftCell="B24" activePane="bottomRight" state="frozen"/>
      <selection activeCell="B8" sqref="B8"/>
      <selection pane="topRight" activeCell="B8" sqref="B8"/>
      <selection pane="bottomLeft" activeCell="B8" sqref="B8"/>
      <selection pane="bottomRight" activeCell="D32" sqref="D32"/>
    </sheetView>
  </sheetViews>
  <sheetFormatPr defaultRowHeight="15" x14ac:dyDescent="0.25"/>
  <cols>
    <col min="1" max="1" width="9.5703125" style="21" bestFit="1" customWidth="1"/>
    <col min="2" max="2" width="55.140625" style="21" bestFit="1" customWidth="1"/>
    <col min="3" max="3" width="11.7109375" style="21" customWidth="1"/>
    <col min="4" max="4" width="13.28515625" style="21" customWidth="1"/>
    <col min="5" max="5" width="14.5703125" style="21" customWidth="1"/>
    <col min="6" max="6" width="11.7109375" style="21" customWidth="1"/>
    <col min="7" max="7" width="13.28515625" style="21" customWidth="1"/>
    <col min="8" max="8" width="14.5703125" style="21" customWidth="1"/>
  </cols>
  <sheetData>
    <row r="1" spans="1:8" ht="15.75" x14ac:dyDescent="0.3">
      <c r="A1" s="22" t="s">
        <v>31</v>
      </c>
      <c r="B1" s="21" t="str">
        <f>'1. key ratios'!B1</f>
        <v>სს ტერაბანკი</v>
      </c>
    </row>
    <row r="2" spans="1:8" ht="15.75" x14ac:dyDescent="0.3">
      <c r="A2" s="22" t="s">
        <v>33</v>
      </c>
      <c r="B2" s="60">
        <f>'1. key ratios'!B2</f>
        <v>42916</v>
      </c>
    </row>
    <row r="3" spans="1:8" ht="15.75" x14ac:dyDescent="0.3">
      <c r="A3" s="22"/>
    </row>
    <row r="4" spans="1:8" ht="16.5" thickBot="1" x14ac:dyDescent="0.35">
      <c r="A4" s="61" t="s">
        <v>71</v>
      </c>
      <c r="B4" s="62" t="s">
        <v>72</v>
      </c>
      <c r="C4" s="61"/>
      <c r="D4" s="63"/>
      <c r="E4" s="63"/>
      <c r="F4" s="61"/>
      <c r="G4" s="63"/>
      <c r="H4" s="64" t="s">
        <v>73</v>
      </c>
    </row>
    <row r="5" spans="1:8" ht="15.75" x14ac:dyDescent="0.3">
      <c r="A5" s="65"/>
      <c r="B5" s="66"/>
      <c r="C5" s="406" t="s">
        <v>74</v>
      </c>
      <c r="D5" s="407"/>
      <c r="E5" s="408"/>
      <c r="F5" s="406" t="s">
        <v>75</v>
      </c>
      <c r="G5" s="407"/>
      <c r="H5" s="409"/>
    </row>
    <row r="6" spans="1:8" ht="15.75" x14ac:dyDescent="0.3">
      <c r="A6" s="67" t="s">
        <v>35</v>
      </c>
      <c r="B6" s="68" t="s">
        <v>76</v>
      </c>
      <c r="C6" s="69" t="s">
        <v>77</v>
      </c>
      <c r="D6" s="69" t="s">
        <v>78</v>
      </c>
      <c r="E6" s="69" t="s">
        <v>79</v>
      </c>
      <c r="F6" s="69" t="s">
        <v>77</v>
      </c>
      <c r="G6" s="69" t="s">
        <v>78</v>
      </c>
      <c r="H6" s="70" t="s">
        <v>79</v>
      </c>
    </row>
    <row r="7" spans="1:8" ht="15.75" x14ac:dyDescent="0.3">
      <c r="A7" s="67">
        <v>1</v>
      </c>
      <c r="B7" s="71" t="s">
        <v>80</v>
      </c>
      <c r="C7" s="72">
        <v>11525402.950000001</v>
      </c>
      <c r="D7" s="72">
        <v>14833150.109999999</v>
      </c>
      <c r="E7" s="73">
        <f>C7+D7</f>
        <v>26358553.060000002</v>
      </c>
      <c r="F7" s="72">
        <v>12701334.34</v>
      </c>
      <c r="G7" s="72">
        <v>19273709.060000002</v>
      </c>
      <c r="H7" s="74">
        <f>F7+G7</f>
        <v>31975043.400000002</v>
      </c>
    </row>
    <row r="8" spans="1:8" ht="15.75" x14ac:dyDescent="0.3">
      <c r="A8" s="67">
        <v>2</v>
      </c>
      <c r="B8" s="71" t="s">
        <v>81</v>
      </c>
      <c r="C8" s="72">
        <v>16986771.579999998</v>
      </c>
      <c r="D8" s="72">
        <v>76914991.799999997</v>
      </c>
      <c r="E8" s="73">
        <f t="shared" ref="E8:E20" si="0">C8+D8</f>
        <v>93901763.379999995</v>
      </c>
      <c r="F8" s="72">
        <v>12890437.48</v>
      </c>
      <c r="G8" s="72">
        <v>57459139.049999997</v>
      </c>
      <c r="H8" s="74">
        <f t="shared" ref="H8:H40" si="1">F8+G8</f>
        <v>70349576.530000001</v>
      </c>
    </row>
    <row r="9" spans="1:8" ht="15.75" x14ac:dyDescent="0.3">
      <c r="A9" s="67">
        <v>3</v>
      </c>
      <c r="B9" s="71" t="s">
        <v>82</v>
      </c>
      <c r="C9" s="72">
        <v>78799.38</v>
      </c>
      <c r="D9" s="72">
        <v>26723658.039999999</v>
      </c>
      <c r="E9" s="73">
        <f t="shared" si="0"/>
        <v>26802457.419999998</v>
      </c>
      <c r="F9" s="72">
        <v>55288.59</v>
      </c>
      <c r="G9" s="72">
        <v>23403312.740000002</v>
      </c>
      <c r="H9" s="74">
        <f t="shared" si="1"/>
        <v>23458601.330000002</v>
      </c>
    </row>
    <row r="10" spans="1:8" ht="15.75" x14ac:dyDescent="0.3">
      <c r="A10" s="67">
        <v>4</v>
      </c>
      <c r="B10" s="71" t="s">
        <v>83</v>
      </c>
      <c r="C10" s="72">
        <v>0</v>
      </c>
      <c r="D10" s="72">
        <v>0</v>
      </c>
      <c r="E10" s="73">
        <f t="shared" si="0"/>
        <v>0</v>
      </c>
      <c r="F10" s="72">
        <v>0</v>
      </c>
      <c r="G10" s="72">
        <v>0</v>
      </c>
      <c r="H10" s="74">
        <f t="shared" si="1"/>
        <v>0</v>
      </c>
    </row>
    <row r="11" spans="1:8" ht="15.75" x14ac:dyDescent="0.3">
      <c r="A11" s="67">
        <v>5</v>
      </c>
      <c r="B11" s="71" t="s">
        <v>84</v>
      </c>
      <c r="C11" s="72">
        <v>39835771.289999999</v>
      </c>
      <c r="D11" s="72">
        <v>0</v>
      </c>
      <c r="E11" s="73">
        <f t="shared" si="0"/>
        <v>39835771.289999999</v>
      </c>
      <c r="F11" s="72">
        <v>34349098.719999999</v>
      </c>
      <c r="G11" s="72">
        <v>0</v>
      </c>
      <c r="H11" s="74">
        <f t="shared" si="1"/>
        <v>34349098.719999999</v>
      </c>
    </row>
    <row r="12" spans="1:8" ht="15.75" x14ac:dyDescent="0.3">
      <c r="A12" s="67">
        <v>6.1</v>
      </c>
      <c r="B12" s="75" t="s">
        <v>85</v>
      </c>
      <c r="C12" s="72">
        <v>197225302.77999938</v>
      </c>
      <c r="D12" s="72">
        <v>289040985.76000023</v>
      </c>
      <c r="E12" s="73">
        <f t="shared" si="0"/>
        <v>486266288.5399996</v>
      </c>
      <c r="F12" s="72">
        <v>187776407.14000106</v>
      </c>
      <c r="G12" s="72">
        <v>300236391.95999992</v>
      </c>
      <c r="H12" s="74">
        <f t="shared" si="1"/>
        <v>488012799.10000098</v>
      </c>
    </row>
    <row r="13" spans="1:8" ht="15.75" x14ac:dyDescent="0.3">
      <c r="A13" s="67">
        <v>6.2</v>
      </c>
      <c r="B13" s="75" t="s">
        <v>86</v>
      </c>
      <c r="C13" s="76">
        <v>-16749108.029999036</v>
      </c>
      <c r="D13" s="76">
        <v>-22041102.390001282</v>
      </c>
      <c r="E13" s="77">
        <f t="shared" si="0"/>
        <v>-38790210.420000315</v>
      </c>
      <c r="F13" s="76">
        <v>-10184897.180000577</v>
      </c>
      <c r="G13" s="76">
        <v>-28696947.739999473</v>
      </c>
      <c r="H13" s="74">
        <f t="shared" si="1"/>
        <v>-38881844.920000046</v>
      </c>
    </row>
    <row r="14" spans="1:8" ht="15.75" x14ac:dyDescent="0.3">
      <c r="A14" s="67">
        <v>6</v>
      </c>
      <c r="B14" s="71" t="s">
        <v>87</v>
      </c>
      <c r="C14" s="73">
        <f>C12+C13</f>
        <v>180476194.75000033</v>
      </c>
      <c r="D14" s="73">
        <f>D12+D13</f>
        <v>266999883.36999893</v>
      </c>
      <c r="E14" s="73">
        <f t="shared" si="0"/>
        <v>447476078.11999929</v>
      </c>
      <c r="F14" s="73">
        <f>F12+F13</f>
        <v>177591509.96000049</v>
      </c>
      <c r="G14" s="73">
        <f>G12+G13</f>
        <v>271539444.22000045</v>
      </c>
      <c r="H14" s="74">
        <f t="shared" si="1"/>
        <v>449130954.1800009</v>
      </c>
    </row>
    <row r="15" spans="1:8" ht="15.75" x14ac:dyDescent="0.3">
      <c r="A15" s="67">
        <v>7</v>
      </c>
      <c r="B15" s="71" t="s">
        <v>88</v>
      </c>
      <c r="C15" s="72">
        <v>2636149.88</v>
      </c>
      <c r="D15" s="72">
        <v>2012385.91</v>
      </c>
      <c r="E15" s="73">
        <f t="shared" si="0"/>
        <v>4648535.79</v>
      </c>
      <c r="F15" s="72">
        <v>2569412.4000000004</v>
      </c>
      <c r="G15" s="72">
        <v>1162234.3100000003</v>
      </c>
      <c r="H15" s="74">
        <f t="shared" si="1"/>
        <v>3731646.7100000009</v>
      </c>
    </row>
    <row r="16" spans="1:8" ht="15.75" x14ac:dyDescent="0.3">
      <c r="A16" s="67">
        <v>8</v>
      </c>
      <c r="B16" s="71" t="s">
        <v>89</v>
      </c>
      <c r="C16" s="72">
        <v>10585519.940000001</v>
      </c>
      <c r="D16" s="72">
        <v>0</v>
      </c>
      <c r="E16" s="73">
        <f t="shared" si="0"/>
        <v>10585519.940000001</v>
      </c>
      <c r="F16" s="72">
        <v>9678589.620000001</v>
      </c>
      <c r="G16" s="72">
        <v>0</v>
      </c>
      <c r="H16" s="74">
        <f t="shared" si="1"/>
        <v>9678589.620000001</v>
      </c>
    </row>
    <row r="17" spans="1:8" ht="15.75" x14ac:dyDescent="0.3">
      <c r="A17" s="67">
        <v>9</v>
      </c>
      <c r="B17" s="71" t="s">
        <v>90</v>
      </c>
      <c r="C17" s="72">
        <v>2538</v>
      </c>
      <c r="D17" s="72">
        <v>0</v>
      </c>
      <c r="E17" s="73">
        <f t="shared" si="0"/>
        <v>2538</v>
      </c>
      <c r="F17" s="72">
        <v>2538</v>
      </c>
      <c r="G17" s="72">
        <v>0</v>
      </c>
      <c r="H17" s="74">
        <f t="shared" si="1"/>
        <v>2538</v>
      </c>
    </row>
    <row r="18" spans="1:8" ht="15.75" x14ac:dyDescent="0.3">
      <c r="A18" s="67">
        <v>10</v>
      </c>
      <c r="B18" s="71" t="s">
        <v>91</v>
      </c>
      <c r="C18" s="72">
        <v>45676191.169999994</v>
      </c>
      <c r="D18" s="72">
        <v>0</v>
      </c>
      <c r="E18" s="73">
        <f t="shared" si="0"/>
        <v>45676191.169999994</v>
      </c>
      <c r="F18" s="72">
        <v>46262345.699999996</v>
      </c>
      <c r="G18" s="72">
        <v>0</v>
      </c>
      <c r="H18" s="74">
        <f t="shared" si="1"/>
        <v>46262345.699999996</v>
      </c>
    </row>
    <row r="19" spans="1:8" ht="15.75" x14ac:dyDescent="0.3">
      <c r="A19" s="67">
        <v>11</v>
      </c>
      <c r="B19" s="71" t="s">
        <v>92</v>
      </c>
      <c r="C19" s="72">
        <v>2671411.7999999998</v>
      </c>
      <c r="D19" s="72">
        <v>1837823.2100000191</v>
      </c>
      <c r="E19" s="73">
        <f t="shared" si="0"/>
        <v>4509235.0100000184</v>
      </c>
      <c r="F19" s="72">
        <v>4083195.3560000001</v>
      </c>
      <c r="G19" s="72">
        <v>276665.46000000002</v>
      </c>
      <c r="H19" s="74">
        <f t="shared" si="1"/>
        <v>4359860.8160000006</v>
      </c>
    </row>
    <row r="20" spans="1:8" ht="15.75" x14ac:dyDescent="0.3">
      <c r="A20" s="67">
        <v>12</v>
      </c>
      <c r="B20" s="78" t="s">
        <v>93</v>
      </c>
      <c r="C20" s="73">
        <f>SUM(C7:C11)+SUM(C14:C19)</f>
        <v>310474750.74000031</v>
      </c>
      <c r="D20" s="73">
        <f>SUM(D7:D11)+SUM(D14:D19)</f>
        <v>389321892.43999898</v>
      </c>
      <c r="E20" s="73">
        <f t="shared" si="0"/>
        <v>699796643.17999935</v>
      </c>
      <c r="F20" s="73">
        <f>SUM(F7:F11)+SUM(F14:F19)</f>
        <v>300183750.16600049</v>
      </c>
      <c r="G20" s="73">
        <f>SUM(G7:G11)+SUM(G14:G19)</f>
        <v>373114504.84000039</v>
      </c>
      <c r="H20" s="74">
        <f t="shared" si="1"/>
        <v>673298255.00600088</v>
      </c>
    </row>
    <row r="21" spans="1:8" ht="15.75" x14ac:dyDescent="0.3">
      <c r="A21" s="67"/>
      <c r="B21" s="68" t="s">
        <v>94</v>
      </c>
      <c r="C21" s="79"/>
      <c r="D21" s="79"/>
      <c r="E21" s="79"/>
      <c r="F21" s="79"/>
      <c r="G21" s="79"/>
      <c r="H21" s="80"/>
    </row>
    <row r="22" spans="1:8" ht="15.75" x14ac:dyDescent="0.3">
      <c r="A22" s="67">
        <v>13</v>
      </c>
      <c r="B22" s="71" t="s">
        <v>95</v>
      </c>
      <c r="C22" s="72">
        <v>7000067.3499999996</v>
      </c>
      <c r="D22" s="72">
        <v>162864.97</v>
      </c>
      <c r="E22" s="73">
        <f>C22+D22</f>
        <v>7162932.3199999994</v>
      </c>
      <c r="F22" s="72">
        <v>5000000</v>
      </c>
      <c r="G22" s="72">
        <v>32201181.379999999</v>
      </c>
      <c r="H22" s="74">
        <f t="shared" si="1"/>
        <v>37201181.379999995</v>
      </c>
    </row>
    <row r="23" spans="1:8" ht="15.75" x14ac:dyDescent="0.3">
      <c r="A23" s="67">
        <v>14</v>
      </c>
      <c r="B23" s="71" t="s">
        <v>96</v>
      </c>
      <c r="C23" s="72">
        <v>66102884.289998956</v>
      </c>
      <c r="D23" s="72">
        <v>121686595.64000626</v>
      </c>
      <c r="E23" s="73">
        <f t="shared" ref="E23:E40" si="2">C23+D23</f>
        <v>187789479.93000522</v>
      </c>
      <c r="F23" s="72">
        <v>117658882.34999931</v>
      </c>
      <c r="G23" s="72">
        <v>58851951.589999929</v>
      </c>
      <c r="H23" s="74">
        <f t="shared" si="1"/>
        <v>176510833.93999922</v>
      </c>
    </row>
    <row r="24" spans="1:8" ht="15.75" x14ac:dyDescent="0.3">
      <c r="A24" s="67">
        <v>15</v>
      </c>
      <c r="B24" s="71" t="s">
        <v>97</v>
      </c>
      <c r="C24" s="72">
        <v>62371726.819999993</v>
      </c>
      <c r="D24" s="72">
        <v>86411804.329999954</v>
      </c>
      <c r="E24" s="73">
        <f t="shared" si="2"/>
        <v>148783531.14999995</v>
      </c>
      <c r="F24" s="72">
        <v>31564134.289999958</v>
      </c>
      <c r="G24" s="72">
        <v>44529617.260000385</v>
      </c>
      <c r="H24" s="74">
        <f t="shared" si="1"/>
        <v>76093751.55000034</v>
      </c>
    </row>
    <row r="25" spans="1:8" ht="15.75" x14ac:dyDescent="0.3">
      <c r="A25" s="67">
        <v>16</v>
      </c>
      <c r="B25" s="71" t="s">
        <v>98</v>
      </c>
      <c r="C25" s="72">
        <v>49718254.809999987</v>
      </c>
      <c r="D25" s="72">
        <v>122583907.4800003</v>
      </c>
      <c r="E25" s="73">
        <f t="shared" si="2"/>
        <v>172302162.29000029</v>
      </c>
      <c r="F25" s="72">
        <v>64844917.980000004</v>
      </c>
      <c r="G25" s="72">
        <v>163497987.89999992</v>
      </c>
      <c r="H25" s="74">
        <f t="shared" si="1"/>
        <v>228342905.87999994</v>
      </c>
    </row>
    <row r="26" spans="1:8" ht="15.75" x14ac:dyDescent="0.3">
      <c r="A26" s="67">
        <v>17</v>
      </c>
      <c r="B26" s="71" t="s">
        <v>99</v>
      </c>
      <c r="C26" s="72">
        <v>0</v>
      </c>
      <c r="D26" s="72">
        <v>0</v>
      </c>
      <c r="E26" s="73">
        <f t="shared" si="2"/>
        <v>0</v>
      </c>
      <c r="F26" s="72">
        <v>0</v>
      </c>
      <c r="G26" s="72">
        <v>0</v>
      </c>
      <c r="H26" s="74">
        <f t="shared" si="1"/>
        <v>0</v>
      </c>
    </row>
    <row r="27" spans="1:8" ht="15.75" x14ac:dyDescent="0.3">
      <c r="A27" s="67">
        <v>18</v>
      </c>
      <c r="B27" s="71" t="s">
        <v>100</v>
      </c>
      <c r="C27" s="72">
        <v>25475000</v>
      </c>
      <c r="D27" s="72">
        <v>7221600</v>
      </c>
      <c r="E27" s="73">
        <f t="shared" si="2"/>
        <v>32696600</v>
      </c>
      <c r="F27" s="72">
        <v>0</v>
      </c>
      <c r="G27" s="72">
        <v>19675320</v>
      </c>
      <c r="H27" s="74">
        <f t="shared" si="1"/>
        <v>19675320</v>
      </c>
    </row>
    <row r="28" spans="1:8" ht="15.75" x14ac:dyDescent="0.3">
      <c r="A28" s="67">
        <v>19</v>
      </c>
      <c r="B28" s="71" t="s">
        <v>101</v>
      </c>
      <c r="C28" s="72">
        <v>901129.37000000011</v>
      </c>
      <c r="D28" s="72">
        <v>1502588.5499999998</v>
      </c>
      <c r="E28" s="73">
        <f t="shared" si="2"/>
        <v>2403717.92</v>
      </c>
      <c r="F28" s="72">
        <v>1955647.91</v>
      </c>
      <c r="G28" s="72">
        <v>3506525.0799999996</v>
      </c>
      <c r="H28" s="74">
        <f t="shared" si="1"/>
        <v>5462172.9899999993</v>
      </c>
    </row>
    <row r="29" spans="1:8" ht="15.75" x14ac:dyDescent="0.3">
      <c r="A29" s="67">
        <v>20</v>
      </c>
      <c r="B29" s="71" t="s">
        <v>102</v>
      </c>
      <c r="C29" s="72">
        <v>4602957.45</v>
      </c>
      <c r="D29" s="72">
        <v>7025317.4599999879</v>
      </c>
      <c r="E29" s="73">
        <f t="shared" si="2"/>
        <v>11628274.909999989</v>
      </c>
      <c r="F29" s="72">
        <v>3641078.3000000003</v>
      </c>
      <c r="G29" s="72">
        <v>3238845.46</v>
      </c>
      <c r="H29" s="74">
        <f t="shared" si="1"/>
        <v>6879923.7599999998</v>
      </c>
    </row>
    <row r="30" spans="1:8" ht="15.75" x14ac:dyDescent="0.3">
      <c r="A30" s="67">
        <v>21</v>
      </c>
      <c r="B30" s="71" t="s">
        <v>103</v>
      </c>
      <c r="C30" s="72">
        <v>0</v>
      </c>
      <c r="D30" s="72">
        <v>30573667.140000001</v>
      </c>
      <c r="E30" s="73">
        <f t="shared" si="2"/>
        <v>30573667.140000001</v>
      </c>
      <c r="F30" s="72">
        <v>0</v>
      </c>
      <c r="G30" s="72">
        <v>35136907.899999999</v>
      </c>
      <c r="H30" s="74">
        <f t="shared" si="1"/>
        <v>35136907.899999999</v>
      </c>
    </row>
    <row r="31" spans="1:8" ht="15.75" x14ac:dyDescent="0.3">
      <c r="A31" s="67">
        <v>22</v>
      </c>
      <c r="B31" s="78" t="s">
        <v>104</v>
      </c>
      <c r="C31" s="73">
        <f>SUM(C22:C30)</f>
        <v>216172020.08999896</v>
      </c>
      <c r="D31" s="73">
        <f>SUM(D22:D30)</f>
        <v>377168345.57000649</v>
      </c>
      <c r="E31" s="73">
        <f>C31+D31</f>
        <v>593340365.66000545</v>
      </c>
      <c r="F31" s="73">
        <f>SUM(F22:F30)</f>
        <v>224664660.8299993</v>
      </c>
      <c r="G31" s="73">
        <f>SUM(G22:G30)</f>
        <v>360638336.57000017</v>
      </c>
      <c r="H31" s="74">
        <f t="shared" si="1"/>
        <v>585302997.3999995</v>
      </c>
    </row>
    <row r="32" spans="1:8" ht="15.75" x14ac:dyDescent="0.3">
      <c r="A32" s="67"/>
      <c r="B32" s="68" t="s">
        <v>105</v>
      </c>
      <c r="C32" s="79"/>
      <c r="D32" s="79"/>
      <c r="E32" s="72"/>
      <c r="F32" s="79"/>
      <c r="G32" s="79"/>
      <c r="H32" s="80"/>
    </row>
    <row r="33" spans="1:8" ht="15.75" x14ac:dyDescent="0.3">
      <c r="A33" s="67">
        <v>23</v>
      </c>
      <c r="B33" s="71" t="s">
        <v>106</v>
      </c>
      <c r="C33" s="72">
        <v>121372000</v>
      </c>
      <c r="D33" s="79"/>
      <c r="E33" s="73">
        <f t="shared" si="2"/>
        <v>121372000</v>
      </c>
      <c r="F33" s="72">
        <v>111000000</v>
      </c>
      <c r="G33" s="79"/>
      <c r="H33" s="74">
        <f t="shared" si="1"/>
        <v>111000000</v>
      </c>
    </row>
    <row r="34" spans="1:8" ht="15.75" x14ac:dyDescent="0.3">
      <c r="A34" s="67">
        <v>24</v>
      </c>
      <c r="B34" s="71" t="s">
        <v>107</v>
      </c>
      <c r="C34" s="72">
        <v>0</v>
      </c>
      <c r="D34" s="79"/>
      <c r="E34" s="73">
        <f t="shared" si="2"/>
        <v>0</v>
      </c>
      <c r="F34" s="72">
        <v>0</v>
      </c>
      <c r="G34" s="79"/>
      <c r="H34" s="74">
        <f t="shared" si="1"/>
        <v>0</v>
      </c>
    </row>
    <row r="35" spans="1:8" ht="15.75" x14ac:dyDescent="0.3">
      <c r="A35" s="67">
        <v>25</v>
      </c>
      <c r="B35" s="75" t="s">
        <v>108</v>
      </c>
      <c r="C35" s="72">
        <v>0</v>
      </c>
      <c r="D35" s="79"/>
      <c r="E35" s="73">
        <f t="shared" si="2"/>
        <v>0</v>
      </c>
      <c r="F35" s="72">
        <v>0</v>
      </c>
      <c r="G35" s="79"/>
      <c r="H35" s="74">
        <f t="shared" si="1"/>
        <v>0</v>
      </c>
    </row>
    <row r="36" spans="1:8" ht="15.75" x14ac:dyDescent="0.3">
      <c r="A36" s="67">
        <v>26</v>
      </c>
      <c r="B36" s="71" t="s">
        <v>109</v>
      </c>
      <c r="C36" s="72">
        <v>0</v>
      </c>
      <c r="D36" s="79"/>
      <c r="E36" s="73">
        <f t="shared" si="2"/>
        <v>0</v>
      </c>
      <c r="F36" s="72">
        <v>0</v>
      </c>
      <c r="G36" s="79"/>
      <c r="H36" s="74">
        <f t="shared" si="1"/>
        <v>0</v>
      </c>
    </row>
    <row r="37" spans="1:8" ht="15.75" x14ac:dyDescent="0.3">
      <c r="A37" s="67">
        <v>27</v>
      </c>
      <c r="B37" s="71" t="s">
        <v>110</v>
      </c>
      <c r="C37" s="72">
        <v>0</v>
      </c>
      <c r="D37" s="79"/>
      <c r="E37" s="73">
        <f t="shared" si="2"/>
        <v>0</v>
      </c>
      <c r="F37" s="72">
        <v>0</v>
      </c>
      <c r="G37" s="79"/>
      <c r="H37" s="74">
        <f t="shared" si="1"/>
        <v>0</v>
      </c>
    </row>
    <row r="38" spans="1:8" ht="15.75" x14ac:dyDescent="0.3">
      <c r="A38" s="67">
        <v>28</v>
      </c>
      <c r="B38" s="71" t="s">
        <v>111</v>
      </c>
      <c r="C38" s="72">
        <v>-14915722.42999999</v>
      </c>
      <c r="D38" s="79"/>
      <c r="E38" s="73">
        <f t="shared" si="2"/>
        <v>-14915722.42999999</v>
      </c>
      <c r="F38" s="72">
        <v>-23004743.809999987</v>
      </c>
      <c r="G38" s="79"/>
      <c r="H38" s="74">
        <f t="shared" si="1"/>
        <v>-23004743.809999987</v>
      </c>
    </row>
    <row r="39" spans="1:8" ht="15.75" x14ac:dyDescent="0.3">
      <c r="A39" s="67">
        <v>29</v>
      </c>
      <c r="B39" s="71" t="s">
        <v>112</v>
      </c>
      <c r="C39" s="72">
        <v>0</v>
      </c>
      <c r="D39" s="79"/>
      <c r="E39" s="73">
        <f t="shared" si="2"/>
        <v>0</v>
      </c>
      <c r="F39" s="72">
        <v>0</v>
      </c>
      <c r="G39" s="79"/>
      <c r="H39" s="74">
        <f t="shared" si="1"/>
        <v>0</v>
      </c>
    </row>
    <row r="40" spans="1:8" ht="15.75" x14ac:dyDescent="0.3">
      <c r="A40" s="67">
        <v>30</v>
      </c>
      <c r="B40" s="78" t="s">
        <v>113</v>
      </c>
      <c r="C40" s="72">
        <v>106456277.57000001</v>
      </c>
      <c r="D40" s="79"/>
      <c r="E40" s="73">
        <f t="shared" si="2"/>
        <v>106456277.57000001</v>
      </c>
      <c r="F40" s="72">
        <v>87995256.190000013</v>
      </c>
      <c r="G40" s="79"/>
      <c r="H40" s="74">
        <f t="shared" si="1"/>
        <v>87995256.190000013</v>
      </c>
    </row>
    <row r="41" spans="1:8" ht="16.5" thickBot="1" x14ac:dyDescent="0.35">
      <c r="A41" s="81">
        <v>31</v>
      </c>
      <c r="B41" s="82" t="s">
        <v>114</v>
      </c>
      <c r="C41" s="83">
        <f>C31+C40</f>
        <v>322628297.65999895</v>
      </c>
      <c r="D41" s="83">
        <f>D31+D40</f>
        <v>377168345.57000649</v>
      </c>
      <c r="E41" s="83">
        <f>C41+D41</f>
        <v>699796643.2300055</v>
      </c>
      <c r="F41" s="83">
        <f>F31+F40</f>
        <v>312659917.01999933</v>
      </c>
      <c r="G41" s="83">
        <f>G31+G40</f>
        <v>360638336.57000017</v>
      </c>
      <c r="H41" s="84">
        <f>F41+G41</f>
        <v>673298253.58999944</v>
      </c>
    </row>
    <row r="42" spans="1:8" x14ac:dyDescent="0.25">
      <c r="C42" s="85"/>
      <c r="D42" s="85"/>
      <c r="E42" s="85"/>
      <c r="F42" s="85"/>
      <c r="G42" s="85"/>
      <c r="H42" s="85"/>
    </row>
    <row r="43" spans="1:8" x14ac:dyDescent="0.25">
      <c r="B43" s="86"/>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J67"/>
  <sheetViews>
    <sheetView workbookViewId="0">
      <pane xSplit="1" ySplit="6" topLeftCell="B7" activePane="bottomRight" state="frozen"/>
      <selection activeCell="B8" sqref="B8"/>
      <selection pane="topRight" activeCell="B8" sqref="B8"/>
      <selection pane="bottomLeft" activeCell="B8" sqref="B8"/>
      <selection pane="bottomRight" activeCell="C34" sqref="C34"/>
    </sheetView>
  </sheetViews>
  <sheetFormatPr defaultColWidth="9.140625" defaultRowHeight="15" x14ac:dyDescent="0.25"/>
  <cols>
    <col min="1" max="1" width="9.5703125" style="21" bestFit="1" customWidth="1"/>
    <col min="2" max="2" width="89.140625" style="21" customWidth="1"/>
    <col min="3" max="8" width="12.7109375" style="21" customWidth="1"/>
    <col min="9" max="9" width="8.85546875" customWidth="1"/>
    <col min="10" max="10" width="12.5703125" style="106" bestFit="1" customWidth="1"/>
    <col min="11" max="16384" width="9.140625" style="106"/>
  </cols>
  <sheetData>
    <row r="1" spans="1:8" ht="15.75" x14ac:dyDescent="0.3">
      <c r="A1" s="22" t="s">
        <v>31</v>
      </c>
      <c r="B1" s="21" t="str">
        <f>'1. key ratios'!B1</f>
        <v>სს ტერაბანკი</v>
      </c>
      <c r="C1" s="23"/>
      <c r="F1" s="23"/>
    </row>
    <row r="2" spans="1:8" ht="15.75" x14ac:dyDescent="0.3">
      <c r="A2" s="22" t="s">
        <v>33</v>
      </c>
      <c r="B2" s="60">
        <f>'1. key ratios'!B2</f>
        <v>42916</v>
      </c>
      <c r="C2" s="25"/>
      <c r="D2" s="26"/>
      <c r="E2" s="26"/>
      <c r="F2" s="25"/>
      <c r="G2" s="26"/>
      <c r="H2" s="26"/>
    </row>
    <row r="3" spans="1:8" ht="15.75" x14ac:dyDescent="0.3">
      <c r="A3" s="22"/>
      <c r="B3" s="23"/>
      <c r="C3" s="25"/>
      <c r="D3" s="26"/>
      <c r="E3" s="26"/>
      <c r="F3" s="25"/>
      <c r="G3" s="26"/>
      <c r="H3" s="26"/>
    </row>
    <row r="4" spans="1:8" ht="16.5" thickBot="1" x14ac:dyDescent="0.35">
      <c r="A4" s="87" t="s">
        <v>115</v>
      </c>
      <c r="B4" s="88" t="s">
        <v>116</v>
      </c>
      <c r="C4" s="89"/>
      <c r="D4" s="89"/>
      <c r="E4" s="89"/>
      <c r="F4" s="89"/>
      <c r="G4" s="89"/>
      <c r="H4" s="90" t="s">
        <v>73</v>
      </c>
    </row>
    <row r="5" spans="1:8" ht="15.75" x14ac:dyDescent="0.3">
      <c r="A5" s="91"/>
      <c r="B5" s="92"/>
      <c r="C5" s="406" t="s">
        <v>74</v>
      </c>
      <c r="D5" s="407"/>
      <c r="E5" s="408"/>
      <c r="F5" s="406" t="s">
        <v>75</v>
      </c>
      <c r="G5" s="407"/>
      <c r="H5" s="409"/>
    </row>
    <row r="6" spans="1:8" x14ac:dyDescent="0.25">
      <c r="A6" s="93" t="s">
        <v>35</v>
      </c>
      <c r="B6" s="94"/>
      <c r="C6" s="95" t="s">
        <v>77</v>
      </c>
      <c r="D6" s="95" t="s">
        <v>117</v>
      </c>
      <c r="E6" s="95" t="s">
        <v>79</v>
      </c>
      <c r="F6" s="95" t="s">
        <v>77</v>
      </c>
      <c r="G6" s="95" t="s">
        <v>117</v>
      </c>
      <c r="H6" s="96" t="s">
        <v>79</v>
      </c>
    </row>
    <row r="7" spans="1:8" x14ac:dyDescent="0.25">
      <c r="A7" s="97"/>
      <c r="B7" s="98" t="s">
        <v>118</v>
      </c>
      <c r="C7" s="99"/>
      <c r="D7" s="99"/>
      <c r="E7" s="99"/>
      <c r="F7" s="99"/>
      <c r="G7" s="99"/>
      <c r="H7" s="100"/>
    </row>
    <row r="8" spans="1:8" ht="15.75" x14ac:dyDescent="0.3">
      <c r="A8" s="97">
        <v>1</v>
      </c>
      <c r="B8" s="101" t="s">
        <v>119</v>
      </c>
      <c r="C8" s="102">
        <v>419038.9</v>
      </c>
      <c r="D8" s="103">
        <v>-5460.13</v>
      </c>
      <c r="E8" s="73">
        <f>C8+D8</f>
        <v>413578.77</v>
      </c>
      <c r="F8" s="102">
        <v>416734.3</v>
      </c>
      <c r="G8" s="103">
        <v>5263.3</v>
      </c>
      <c r="H8" s="74">
        <f>F8+G8</f>
        <v>421997.6</v>
      </c>
    </row>
    <row r="9" spans="1:8" ht="15.75" x14ac:dyDescent="0.3">
      <c r="A9" s="97">
        <v>2</v>
      </c>
      <c r="B9" s="101" t="s">
        <v>120</v>
      </c>
      <c r="C9" s="104">
        <f>SUM(C10:C18)</f>
        <v>10650416.07</v>
      </c>
      <c r="D9" s="104">
        <f>SUM(D10:D18)</f>
        <v>14215047.689999999</v>
      </c>
      <c r="E9" s="73">
        <f t="shared" ref="E9:E67" si="0">C9+D9</f>
        <v>24865463.759999998</v>
      </c>
      <c r="F9" s="104">
        <f>SUM(F10:F18)</f>
        <v>12273861.669999998</v>
      </c>
      <c r="G9" s="104">
        <f>SUM(G10:G18)</f>
        <v>14927811.280000001</v>
      </c>
      <c r="H9" s="74">
        <f t="shared" ref="H9:H67" si="1">F9+G9</f>
        <v>27201672.949999999</v>
      </c>
    </row>
    <row r="10" spans="1:8" ht="15.75" x14ac:dyDescent="0.3">
      <c r="A10" s="97">
        <v>2.1</v>
      </c>
      <c r="B10" s="105" t="s">
        <v>121</v>
      </c>
      <c r="C10" s="102">
        <v>0</v>
      </c>
      <c r="D10" s="102">
        <v>0</v>
      </c>
      <c r="E10" s="73">
        <f t="shared" si="0"/>
        <v>0</v>
      </c>
      <c r="F10" s="102">
        <v>0</v>
      </c>
      <c r="G10" s="102">
        <v>0</v>
      </c>
      <c r="H10" s="74">
        <f t="shared" si="1"/>
        <v>0</v>
      </c>
    </row>
    <row r="11" spans="1:8" ht="15.75" x14ac:dyDescent="0.3">
      <c r="A11" s="97">
        <v>2.2000000000000002</v>
      </c>
      <c r="B11" s="105" t="s">
        <v>122</v>
      </c>
      <c r="C11" s="102">
        <v>2308052.37</v>
      </c>
      <c r="D11" s="102">
        <v>4891151.28</v>
      </c>
      <c r="E11" s="73">
        <f t="shared" si="0"/>
        <v>7199203.6500000004</v>
      </c>
      <c r="F11" s="102">
        <v>2561013.33</v>
      </c>
      <c r="G11" s="102">
        <v>2964356.689999999</v>
      </c>
      <c r="H11" s="74">
        <f t="shared" si="1"/>
        <v>5525370.0199999996</v>
      </c>
    </row>
    <row r="12" spans="1:8" ht="15.75" x14ac:dyDescent="0.3">
      <c r="A12" s="97">
        <v>2.2999999999999998</v>
      </c>
      <c r="B12" s="105" t="s">
        <v>123</v>
      </c>
      <c r="C12" s="102">
        <v>19551.2</v>
      </c>
      <c r="D12" s="102">
        <v>3630.59</v>
      </c>
      <c r="E12" s="73">
        <f t="shared" si="0"/>
        <v>23181.79</v>
      </c>
      <c r="F12" s="102">
        <v>22932.29</v>
      </c>
      <c r="G12" s="102">
        <v>0</v>
      </c>
      <c r="H12" s="74">
        <f t="shared" si="1"/>
        <v>22932.29</v>
      </c>
    </row>
    <row r="13" spans="1:8" ht="15.75" x14ac:dyDescent="0.3">
      <c r="A13" s="97">
        <v>2.4</v>
      </c>
      <c r="B13" s="105" t="s">
        <v>124</v>
      </c>
      <c r="C13" s="102">
        <v>374522.08000000007</v>
      </c>
      <c r="D13" s="102">
        <v>375095.12</v>
      </c>
      <c r="E13" s="73">
        <f t="shared" si="0"/>
        <v>749617.20000000007</v>
      </c>
      <c r="F13" s="102">
        <v>287688.81</v>
      </c>
      <c r="G13" s="102">
        <v>216586.7</v>
      </c>
      <c r="H13" s="74">
        <f t="shared" si="1"/>
        <v>504275.51</v>
      </c>
    </row>
    <row r="14" spans="1:8" ht="15.75" x14ac:dyDescent="0.3">
      <c r="A14" s="97">
        <v>2.5</v>
      </c>
      <c r="B14" s="105" t="s">
        <v>125</v>
      </c>
      <c r="C14" s="102">
        <v>371925.12</v>
      </c>
      <c r="D14" s="102">
        <v>1594630.3599999996</v>
      </c>
      <c r="E14" s="73">
        <f t="shared" si="0"/>
        <v>1966555.4799999995</v>
      </c>
      <c r="F14" s="102">
        <v>529969.35</v>
      </c>
      <c r="G14" s="102">
        <v>463141.29</v>
      </c>
      <c r="H14" s="74">
        <f t="shared" si="1"/>
        <v>993110.6399999999</v>
      </c>
    </row>
    <row r="15" spans="1:8" ht="15.75" x14ac:dyDescent="0.3">
      <c r="A15" s="97">
        <v>2.6</v>
      </c>
      <c r="B15" s="105" t="s">
        <v>126</v>
      </c>
      <c r="C15" s="102">
        <v>0</v>
      </c>
      <c r="D15" s="102">
        <v>0</v>
      </c>
      <c r="E15" s="73">
        <f t="shared" si="0"/>
        <v>0</v>
      </c>
      <c r="F15" s="102">
        <v>0</v>
      </c>
      <c r="G15" s="102">
        <v>0</v>
      </c>
      <c r="H15" s="74">
        <f t="shared" si="1"/>
        <v>0</v>
      </c>
    </row>
    <row r="16" spans="1:8" ht="15.75" x14ac:dyDescent="0.3">
      <c r="A16" s="97">
        <v>2.7</v>
      </c>
      <c r="B16" s="105" t="s">
        <v>127</v>
      </c>
      <c r="C16" s="102">
        <v>1672.1599999999999</v>
      </c>
      <c r="D16" s="102">
        <v>7581.04</v>
      </c>
      <c r="E16" s="73">
        <f t="shared" si="0"/>
        <v>9253.2000000000007</v>
      </c>
      <c r="F16" s="102">
        <v>1895.85</v>
      </c>
      <c r="G16" s="102">
        <v>8612.66</v>
      </c>
      <c r="H16" s="74">
        <f t="shared" si="1"/>
        <v>10508.51</v>
      </c>
    </row>
    <row r="17" spans="1:10" ht="15.75" x14ac:dyDescent="0.3">
      <c r="A17" s="97">
        <v>2.8</v>
      </c>
      <c r="B17" s="105" t="s">
        <v>128</v>
      </c>
      <c r="C17" s="102">
        <v>5586524.7799999993</v>
      </c>
      <c r="D17" s="102">
        <v>3546818.65</v>
      </c>
      <c r="E17" s="73">
        <f t="shared" si="0"/>
        <v>9133343.4299999997</v>
      </c>
      <c r="F17" s="102">
        <v>6239101.1299999999</v>
      </c>
      <c r="G17" s="102">
        <v>3274806.08</v>
      </c>
      <c r="H17" s="74">
        <f t="shared" si="1"/>
        <v>9513907.2100000009</v>
      </c>
    </row>
    <row r="18" spans="1:10" ht="15.75" x14ac:dyDescent="0.3">
      <c r="A18" s="97">
        <v>2.9</v>
      </c>
      <c r="B18" s="105" t="s">
        <v>129</v>
      </c>
      <c r="C18" s="102">
        <v>1988168.3599999999</v>
      </c>
      <c r="D18" s="102">
        <v>3796140.6500000004</v>
      </c>
      <c r="E18" s="73">
        <f t="shared" si="0"/>
        <v>5784309.0099999998</v>
      </c>
      <c r="F18" s="102">
        <v>2631260.9099999992</v>
      </c>
      <c r="G18" s="102">
        <v>8000307.8600000013</v>
      </c>
      <c r="H18" s="74">
        <f t="shared" si="1"/>
        <v>10631568.77</v>
      </c>
    </row>
    <row r="19" spans="1:10" ht="15.75" x14ac:dyDescent="0.3">
      <c r="A19" s="97">
        <v>3</v>
      </c>
      <c r="B19" s="101" t="s">
        <v>130</v>
      </c>
      <c r="C19" s="102">
        <v>591221.82000000007</v>
      </c>
      <c r="D19" s="102">
        <v>560605.55000000005</v>
      </c>
      <c r="E19" s="73">
        <f t="shared" si="0"/>
        <v>1151827.3700000001</v>
      </c>
      <c r="F19" s="102">
        <v>568964.1</v>
      </c>
      <c r="G19" s="102">
        <v>523768.12999999995</v>
      </c>
      <c r="H19" s="74">
        <f t="shared" si="1"/>
        <v>1092732.23</v>
      </c>
    </row>
    <row r="20" spans="1:10" ht="15.75" x14ac:dyDescent="0.3">
      <c r="A20" s="97">
        <v>4</v>
      </c>
      <c r="B20" s="101" t="s">
        <v>131</v>
      </c>
      <c r="C20" s="102">
        <v>1728668.13</v>
      </c>
      <c r="D20" s="102">
        <v>0</v>
      </c>
      <c r="E20" s="73">
        <f t="shared" si="0"/>
        <v>1728668.13</v>
      </c>
      <c r="F20" s="102">
        <v>1606567.15</v>
      </c>
      <c r="G20" s="102">
        <v>0</v>
      </c>
      <c r="H20" s="74">
        <f t="shared" si="1"/>
        <v>1606567.15</v>
      </c>
    </row>
    <row r="21" spans="1:10" ht="15.75" x14ac:dyDescent="0.3">
      <c r="A21" s="97">
        <v>5</v>
      </c>
      <c r="B21" s="101" t="s">
        <v>132</v>
      </c>
      <c r="C21" s="102">
        <v>390802.75</v>
      </c>
      <c r="D21" s="102">
        <v>96359.21</v>
      </c>
      <c r="E21" s="73">
        <f t="shared" si="0"/>
        <v>487161.96</v>
      </c>
      <c r="F21" s="102">
        <v>261735.35999999993</v>
      </c>
      <c r="G21" s="102">
        <v>82969.959999999992</v>
      </c>
      <c r="H21" s="74">
        <f>F21+G21</f>
        <v>344705.31999999995</v>
      </c>
    </row>
    <row r="22" spans="1:10" ht="15.75" x14ac:dyDescent="0.3">
      <c r="A22" s="97">
        <v>6</v>
      </c>
      <c r="B22" s="107" t="s">
        <v>133</v>
      </c>
      <c r="C22" s="104">
        <f>C8+C9+C19+C20+C21</f>
        <v>13780147.670000002</v>
      </c>
      <c r="D22" s="104">
        <f>D8+D9+D19+D20+D21</f>
        <v>14866552.32</v>
      </c>
      <c r="E22" s="73">
        <f>C22+D22</f>
        <v>28646699.990000002</v>
      </c>
      <c r="F22" s="104">
        <f>F8+F9+F19+F20+F21</f>
        <v>15127862.579999998</v>
      </c>
      <c r="G22" s="104">
        <f>G8+G9+G19+G20+G21</f>
        <v>15539812.670000004</v>
      </c>
      <c r="H22" s="74">
        <f>F22+G22</f>
        <v>30667675.25</v>
      </c>
      <c r="J22" s="108"/>
    </row>
    <row r="23" spans="1:10" ht="15.75" x14ac:dyDescent="0.3">
      <c r="A23" s="97"/>
      <c r="B23" s="98" t="s">
        <v>134</v>
      </c>
      <c r="C23" s="102"/>
      <c r="D23" s="102"/>
      <c r="E23" s="72"/>
      <c r="F23" s="102"/>
      <c r="G23" s="102"/>
      <c r="H23" s="80"/>
    </row>
    <row r="24" spans="1:10" ht="15.75" x14ac:dyDescent="0.3">
      <c r="A24" s="97">
        <v>7</v>
      </c>
      <c r="B24" s="101" t="s">
        <v>135</v>
      </c>
      <c r="C24" s="102">
        <v>3446705.4999999995</v>
      </c>
      <c r="D24" s="102">
        <v>2231187.7200000007</v>
      </c>
      <c r="E24" s="73">
        <f t="shared" si="0"/>
        <v>5677893.2200000007</v>
      </c>
      <c r="F24" s="102">
        <v>5829141.8399999999</v>
      </c>
      <c r="G24" s="102">
        <v>1344464.5099999998</v>
      </c>
      <c r="H24" s="74">
        <f t="shared" si="1"/>
        <v>7173606.3499999996</v>
      </c>
    </row>
    <row r="25" spans="1:10" ht="15.75" x14ac:dyDescent="0.3">
      <c r="A25" s="97">
        <v>8</v>
      </c>
      <c r="B25" s="101" t="s">
        <v>136</v>
      </c>
      <c r="C25" s="102">
        <v>2489073.9500000007</v>
      </c>
      <c r="D25" s="102">
        <v>3431625.7</v>
      </c>
      <c r="E25" s="73">
        <f t="shared" si="0"/>
        <v>5920699.6500000004</v>
      </c>
      <c r="F25" s="102">
        <v>4606791.5</v>
      </c>
      <c r="G25" s="102">
        <v>4710826.93</v>
      </c>
      <c r="H25" s="74">
        <f t="shared" si="1"/>
        <v>9317618.4299999997</v>
      </c>
    </row>
    <row r="26" spans="1:10" ht="15.75" x14ac:dyDescent="0.3">
      <c r="A26" s="97">
        <v>9</v>
      </c>
      <c r="B26" s="101" t="s">
        <v>137</v>
      </c>
      <c r="C26" s="102">
        <v>139941.57</v>
      </c>
      <c r="D26" s="102">
        <v>1857.87</v>
      </c>
      <c r="E26" s="73">
        <f t="shared" si="0"/>
        <v>141799.44</v>
      </c>
      <c r="F26" s="102">
        <v>111819.34</v>
      </c>
      <c r="G26" s="102">
        <v>277052.62</v>
      </c>
      <c r="H26" s="74">
        <f t="shared" si="1"/>
        <v>388871.95999999996</v>
      </c>
      <c r="J26" s="109"/>
    </row>
    <row r="27" spans="1:10" ht="15.75" x14ac:dyDescent="0.3">
      <c r="A27" s="97">
        <v>10</v>
      </c>
      <c r="B27" s="101" t="s">
        <v>138</v>
      </c>
      <c r="C27" s="102">
        <v>0</v>
      </c>
      <c r="D27" s="102">
        <v>0</v>
      </c>
      <c r="E27" s="73">
        <f t="shared" si="0"/>
        <v>0</v>
      </c>
      <c r="F27" s="102">
        <v>0</v>
      </c>
      <c r="G27" s="102">
        <v>0</v>
      </c>
      <c r="H27" s="74">
        <f t="shared" si="1"/>
        <v>0</v>
      </c>
    </row>
    <row r="28" spans="1:10" ht="15.75" x14ac:dyDescent="0.3">
      <c r="A28" s="97">
        <v>11</v>
      </c>
      <c r="B28" s="101" t="s">
        <v>139</v>
      </c>
      <c r="C28" s="102">
        <v>877484.05</v>
      </c>
      <c r="D28" s="102">
        <v>1501595.58</v>
      </c>
      <c r="E28" s="73">
        <f t="shared" si="0"/>
        <v>2379079.63</v>
      </c>
      <c r="F28" s="102">
        <v>330413.68</v>
      </c>
      <c r="G28" s="102">
        <v>1996488.73</v>
      </c>
      <c r="H28" s="74">
        <f t="shared" si="1"/>
        <v>2326902.41</v>
      </c>
    </row>
    <row r="29" spans="1:10" ht="15.75" x14ac:dyDescent="0.3">
      <c r="A29" s="97">
        <v>12</v>
      </c>
      <c r="B29" s="101" t="s">
        <v>140</v>
      </c>
      <c r="C29" s="102">
        <v>0</v>
      </c>
      <c r="D29" s="102">
        <v>0</v>
      </c>
      <c r="E29" s="73">
        <f t="shared" si="0"/>
        <v>0</v>
      </c>
      <c r="F29" s="102">
        <v>0</v>
      </c>
      <c r="G29" s="102">
        <v>0</v>
      </c>
      <c r="H29" s="74">
        <f t="shared" si="1"/>
        <v>0</v>
      </c>
    </row>
    <row r="30" spans="1:10" ht="15.75" x14ac:dyDescent="0.3">
      <c r="A30" s="97">
        <v>13</v>
      </c>
      <c r="B30" s="110" t="s">
        <v>141</v>
      </c>
      <c r="C30" s="104">
        <f>SUM(C24:C29)</f>
        <v>6953205.0700000003</v>
      </c>
      <c r="D30" s="104">
        <f>SUM(D24:D29)</f>
        <v>7166266.870000001</v>
      </c>
      <c r="E30" s="73">
        <f t="shared" si="0"/>
        <v>14119471.940000001</v>
      </c>
      <c r="F30" s="104">
        <f>SUM(F24:F29)</f>
        <v>10878166.359999999</v>
      </c>
      <c r="G30" s="104">
        <f>SUM(G24:G29)</f>
        <v>8328832.7899999991</v>
      </c>
      <c r="H30" s="74">
        <f t="shared" si="1"/>
        <v>19206999.149999999</v>
      </c>
    </row>
    <row r="31" spans="1:10" ht="15.75" x14ac:dyDescent="0.3">
      <c r="A31" s="97">
        <v>14</v>
      </c>
      <c r="B31" s="110" t="s">
        <v>142</v>
      </c>
      <c r="C31" s="104">
        <f>C22-C30</f>
        <v>6826942.6000000015</v>
      </c>
      <c r="D31" s="104">
        <f>D22-D30</f>
        <v>7700285.4499999993</v>
      </c>
      <c r="E31" s="73">
        <f t="shared" si="0"/>
        <v>14527228.050000001</v>
      </c>
      <c r="F31" s="104">
        <f>F22-F30</f>
        <v>4249696.2199999988</v>
      </c>
      <c r="G31" s="104">
        <f>G22-G30</f>
        <v>7210979.8800000045</v>
      </c>
      <c r="H31" s="74">
        <f t="shared" si="1"/>
        <v>11460676.100000003</v>
      </c>
    </row>
    <row r="32" spans="1:10" x14ac:dyDescent="0.25">
      <c r="A32" s="97"/>
      <c r="B32" s="98"/>
      <c r="C32" s="111"/>
      <c r="D32" s="111"/>
      <c r="E32" s="111"/>
      <c r="F32" s="111"/>
      <c r="G32" s="111"/>
      <c r="H32" s="112"/>
    </row>
    <row r="33" spans="1:8" ht="15.75" x14ac:dyDescent="0.3">
      <c r="A33" s="97"/>
      <c r="B33" s="98" t="s">
        <v>143</v>
      </c>
      <c r="C33" s="102"/>
      <c r="D33" s="102"/>
      <c r="E33" s="72"/>
      <c r="F33" s="102"/>
      <c r="G33" s="102"/>
      <c r="H33" s="80"/>
    </row>
    <row r="34" spans="1:8" ht="15.75" x14ac:dyDescent="0.3">
      <c r="A34" s="97">
        <v>15</v>
      </c>
      <c r="B34" s="113" t="s">
        <v>144</v>
      </c>
      <c r="C34" s="114">
        <f>C35-C36</f>
        <v>1355770.4899999998</v>
      </c>
      <c r="D34" s="114">
        <f>D35-D36</f>
        <v>402199.56000000006</v>
      </c>
      <c r="E34" s="73">
        <f t="shared" si="0"/>
        <v>1757970.0499999998</v>
      </c>
      <c r="F34" s="114">
        <f>F35-F36</f>
        <v>1281904.1199999999</v>
      </c>
      <c r="G34" s="114">
        <f>G35-G36</f>
        <v>306713.62999999989</v>
      </c>
      <c r="H34" s="74">
        <f t="shared" si="1"/>
        <v>1588617.7499999998</v>
      </c>
    </row>
    <row r="35" spans="1:8" ht="15.75" x14ac:dyDescent="0.3">
      <c r="A35" s="97">
        <v>15.1</v>
      </c>
      <c r="B35" s="105" t="s">
        <v>145</v>
      </c>
      <c r="C35" s="102">
        <v>2145057.5699999998</v>
      </c>
      <c r="D35" s="102">
        <v>1856942.68</v>
      </c>
      <c r="E35" s="73">
        <f t="shared" si="0"/>
        <v>4002000.25</v>
      </c>
      <c r="F35" s="102">
        <v>2005975.48</v>
      </c>
      <c r="G35" s="102">
        <v>1474476.0899999999</v>
      </c>
      <c r="H35" s="74">
        <f t="shared" si="1"/>
        <v>3480451.57</v>
      </c>
    </row>
    <row r="36" spans="1:8" ht="15.75" x14ac:dyDescent="0.3">
      <c r="A36" s="97">
        <v>15.2</v>
      </c>
      <c r="B36" s="105" t="s">
        <v>146</v>
      </c>
      <c r="C36" s="102">
        <v>789287.08</v>
      </c>
      <c r="D36" s="102">
        <v>1454743.1199999999</v>
      </c>
      <c r="E36" s="73">
        <f t="shared" si="0"/>
        <v>2244030.1999999997</v>
      </c>
      <c r="F36" s="102">
        <v>724071.3600000001</v>
      </c>
      <c r="G36" s="102">
        <v>1167762.46</v>
      </c>
      <c r="H36" s="74">
        <f t="shared" si="1"/>
        <v>1891833.82</v>
      </c>
    </row>
    <row r="37" spans="1:8" ht="15.75" x14ac:dyDescent="0.3">
      <c r="A37" s="97">
        <v>16</v>
      </c>
      <c r="B37" s="101" t="s">
        <v>147</v>
      </c>
      <c r="C37" s="102">
        <v>0</v>
      </c>
      <c r="D37" s="102">
        <v>0</v>
      </c>
      <c r="E37" s="73">
        <f t="shared" si="0"/>
        <v>0</v>
      </c>
      <c r="F37" s="102">
        <v>0</v>
      </c>
      <c r="G37" s="102">
        <v>0</v>
      </c>
      <c r="H37" s="74">
        <f t="shared" si="1"/>
        <v>0</v>
      </c>
    </row>
    <row r="38" spans="1:8" ht="15.75" x14ac:dyDescent="0.3">
      <c r="A38" s="97">
        <v>17</v>
      </c>
      <c r="B38" s="101" t="s">
        <v>148</v>
      </c>
      <c r="C38" s="102">
        <v>0</v>
      </c>
      <c r="D38" s="102">
        <v>0</v>
      </c>
      <c r="E38" s="73">
        <f t="shared" si="0"/>
        <v>0</v>
      </c>
      <c r="F38" s="102">
        <v>0</v>
      </c>
      <c r="G38" s="102">
        <v>0</v>
      </c>
      <c r="H38" s="74">
        <f t="shared" si="1"/>
        <v>0</v>
      </c>
    </row>
    <row r="39" spans="1:8" ht="15.75" x14ac:dyDescent="0.3">
      <c r="A39" s="97">
        <v>18</v>
      </c>
      <c r="B39" s="101" t="s">
        <v>149</v>
      </c>
      <c r="C39" s="102">
        <v>0</v>
      </c>
      <c r="D39" s="102">
        <v>0</v>
      </c>
      <c r="E39" s="73">
        <f t="shared" si="0"/>
        <v>0</v>
      </c>
      <c r="F39" s="102">
        <v>0</v>
      </c>
      <c r="G39" s="102">
        <v>0</v>
      </c>
      <c r="H39" s="74">
        <f t="shared" si="1"/>
        <v>0</v>
      </c>
    </row>
    <row r="40" spans="1:8" ht="15.75" x14ac:dyDescent="0.3">
      <c r="A40" s="97">
        <v>19</v>
      </c>
      <c r="B40" s="101" t="s">
        <v>150</v>
      </c>
      <c r="C40" s="102">
        <v>4672827.68</v>
      </c>
      <c r="D40" s="102">
        <v>0</v>
      </c>
      <c r="E40" s="73">
        <f t="shared" si="0"/>
        <v>4672827.68</v>
      </c>
      <c r="F40" s="102">
        <v>638628.91999999993</v>
      </c>
      <c r="G40" s="102">
        <v>0</v>
      </c>
      <c r="H40" s="74">
        <f t="shared" si="1"/>
        <v>638628.91999999993</v>
      </c>
    </row>
    <row r="41" spans="1:8" ht="15.75" x14ac:dyDescent="0.3">
      <c r="A41" s="97">
        <v>20</v>
      </c>
      <c r="B41" s="101" t="s">
        <v>151</v>
      </c>
      <c r="C41" s="102">
        <v>-3626528.9600000009</v>
      </c>
      <c r="D41" s="102">
        <v>0</v>
      </c>
      <c r="E41" s="73">
        <f t="shared" si="0"/>
        <v>-3626528.9600000009</v>
      </c>
      <c r="F41" s="102">
        <v>2164345.4299999997</v>
      </c>
      <c r="G41" s="102">
        <v>0</v>
      </c>
      <c r="H41" s="74">
        <f t="shared" si="1"/>
        <v>2164345.4299999997</v>
      </c>
    </row>
    <row r="42" spans="1:8" ht="15.75" x14ac:dyDescent="0.3">
      <c r="A42" s="97">
        <v>21</v>
      </c>
      <c r="B42" s="101" t="s">
        <v>152</v>
      </c>
      <c r="C42" s="102">
        <v>6708.58</v>
      </c>
      <c r="D42" s="102">
        <v>0</v>
      </c>
      <c r="E42" s="73">
        <f t="shared" si="0"/>
        <v>6708.58</v>
      </c>
      <c r="F42" s="102">
        <v>513520.69</v>
      </c>
      <c r="G42" s="102">
        <v>0</v>
      </c>
      <c r="H42" s="74">
        <f t="shared" si="1"/>
        <v>513520.69</v>
      </c>
    </row>
    <row r="43" spans="1:8" ht="15.75" x14ac:dyDescent="0.3">
      <c r="A43" s="97">
        <v>22</v>
      </c>
      <c r="B43" s="101" t="s">
        <v>153</v>
      </c>
      <c r="C43" s="102">
        <v>3965</v>
      </c>
      <c r="D43" s="102">
        <v>413702.29</v>
      </c>
      <c r="E43" s="73">
        <f t="shared" si="0"/>
        <v>417667.29</v>
      </c>
      <c r="F43" s="102">
        <v>0</v>
      </c>
      <c r="G43" s="102">
        <v>15722.43</v>
      </c>
      <c r="H43" s="74">
        <f t="shared" si="1"/>
        <v>15722.43</v>
      </c>
    </row>
    <row r="44" spans="1:8" ht="15.75" x14ac:dyDescent="0.3">
      <c r="A44" s="97">
        <v>23</v>
      </c>
      <c r="B44" s="101" t="s">
        <v>154</v>
      </c>
      <c r="C44" s="102">
        <v>24692.929999999993</v>
      </c>
      <c r="D44" s="102">
        <v>112.72</v>
      </c>
      <c r="E44" s="73">
        <f t="shared" si="0"/>
        <v>24805.649999999994</v>
      </c>
      <c r="F44" s="102">
        <v>2754.5699999999488</v>
      </c>
      <c r="G44" s="102">
        <v>39.19</v>
      </c>
      <c r="H44" s="74">
        <f t="shared" si="1"/>
        <v>2793.7599999999488</v>
      </c>
    </row>
    <row r="45" spans="1:8" ht="15.75" x14ac:dyDescent="0.3">
      <c r="A45" s="97">
        <v>24</v>
      </c>
      <c r="B45" s="110" t="s">
        <v>155</v>
      </c>
      <c r="C45" s="104">
        <f>C34+C37+C38+C39+C40+C41+C42+C43+C44</f>
        <v>2437435.7199999993</v>
      </c>
      <c r="D45" s="104">
        <f>D34+D37+D38+D39+D40+D41+D42+D43+D44</f>
        <v>816014.57000000007</v>
      </c>
      <c r="E45" s="73">
        <f t="shared" si="0"/>
        <v>3253450.2899999991</v>
      </c>
      <c r="F45" s="104">
        <f>F34+F37+F38+F39+F40+F41+F42+F43+F44</f>
        <v>4601153.7300000004</v>
      </c>
      <c r="G45" s="104">
        <f>G34+G37+G38+G39+G40+G41+G42+G43+G44</f>
        <v>322475.24999999988</v>
      </c>
      <c r="H45" s="74">
        <f t="shared" si="1"/>
        <v>4923628.9800000004</v>
      </c>
    </row>
    <row r="46" spans="1:8" x14ac:dyDescent="0.25">
      <c r="A46" s="97"/>
      <c r="B46" s="98" t="s">
        <v>156</v>
      </c>
      <c r="C46" s="102"/>
      <c r="D46" s="102"/>
      <c r="E46" s="102"/>
      <c r="F46" s="102"/>
      <c r="G46" s="102"/>
      <c r="H46" s="115"/>
    </row>
    <row r="47" spans="1:8" ht="15.75" x14ac:dyDescent="0.3">
      <c r="A47" s="97">
        <v>25</v>
      </c>
      <c r="B47" s="101" t="s">
        <v>157</v>
      </c>
      <c r="C47" s="102">
        <v>221156.66</v>
      </c>
      <c r="D47" s="102">
        <v>304801.03999999998</v>
      </c>
      <c r="E47" s="73">
        <f t="shared" si="0"/>
        <v>525957.69999999995</v>
      </c>
      <c r="F47" s="102">
        <v>210825.13</v>
      </c>
      <c r="G47" s="102">
        <v>17051.650000000001</v>
      </c>
      <c r="H47" s="74">
        <f t="shared" si="1"/>
        <v>227876.78</v>
      </c>
    </row>
    <row r="48" spans="1:8" ht="15.75" x14ac:dyDescent="0.3">
      <c r="A48" s="97">
        <v>26</v>
      </c>
      <c r="B48" s="101" t="s">
        <v>158</v>
      </c>
      <c r="C48" s="102">
        <v>903536.92</v>
      </c>
      <c r="D48" s="102">
        <v>10210.799999999999</v>
      </c>
      <c r="E48" s="73">
        <f t="shared" si="0"/>
        <v>913747.72000000009</v>
      </c>
      <c r="F48" s="102">
        <v>1506476.44</v>
      </c>
      <c r="G48" s="102">
        <v>116988.40000000001</v>
      </c>
      <c r="H48" s="74">
        <f t="shared" si="1"/>
        <v>1623464.8399999999</v>
      </c>
    </row>
    <row r="49" spans="1:9" ht="15.75" x14ac:dyDescent="0.3">
      <c r="A49" s="97">
        <v>27</v>
      </c>
      <c r="B49" s="101" t="s">
        <v>159</v>
      </c>
      <c r="C49" s="102">
        <v>5060187.1499999994</v>
      </c>
      <c r="D49" s="102">
        <v>0</v>
      </c>
      <c r="E49" s="73">
        <f t="shared" si="0"/>
        <v>5060187.1499999994</v>
      </c>
      <c r="F49" s="102">
        <v>4141186.4899999993</v>
      </c>
      <c r="G49" s="102">
        <v>0</v>
      </c>
      <c r="H49" s="74">
        <f t="shared" si="1"/>
        <v>4141186.4899999993</v>
      </c>
    </row>
    <row r="50" spans="1:9" ht="15.75" x14ac:dyDescent="0.3">
      <c r="A50" s="97">
        <v>28</v>
      </c>
      <c r="B50" s="101" t="s">
        <v>160</v>
      </c>
      <c r="C50" s="102">
        <v>1233.5</v>
      </c>
      <c r="D50" s="102">
        <v>0</v>
      </c>
      <c r="E50" s="73">
        <f t="shared" si="0"/>
        <v>1233.5</v>
      </c>
      <c r="F50" s="102">
        <v>5357.15</v>
      </c>
      <c r="G50" s="102">
        <v>0</v>
      </c>
      <c r="H50" s="74">
        <f t="shared" si="1"/>
        <v>5357.15</v>
      </c>
    </row>
    <row r="51" spans="1:9" ht="15.75" x14ac:dyDescent="0.3">
      <c r="A51" s="97">
        <v>29</v>
      </c>
      <c r="B51" s="101" t="s">
        <v>161</v>
      </c>
      <c r="C51" s="102">
        <v>2187267.06</v>
      </c>
      <c r="D51" s="102">
        <v>0</v>
      </c>
      <c r="E51" s="73">
        <f t="shared" si="0"/>
        <v>2187267.06</v>
      </c>
      <c r="F51" s="102">
        <v>1947765.9600000002</v>
      </c>
      <c r="G51" s="102">
        <v>0</v>
      </c>
      <c r="H51" s="74">
        <f t="shared" si="1"/>
        <v>1947765.9600000002</v>
      </c>
    </row>
    <row r="52" spans="1:9" ht="15.75" x14ac:dyDescent="0.3">
      <c r="A52" s="97">
        <v>30</v>
      </c>
      <c r="B52" s="101" t="s">
        <v>162</v>
      </c>
      <c r="C52" s="102">
        <v>2805472.83</v>
      </c>
      <c r="D52" s="102">
        <v>8883.8100000000013</v>
      </c>
      <c r="E52" s="73">
        <f t="shared" si="0"/>
        <v>2814356.64</v>
      </c>
      <c r="F52" s="102">
        <v>2313066.38</v>
      </c>
      <c r="G52" s="102">
        <v>697.25</v>
      </c>
      <c r="H52" s="74">
        <f t="shared" si="1"/>
        <v>2313763.63</v>
      </c>
    </row>
    <row r="53" spans="1:9" ht="15.75" x14ac:dyDescent="0.3">
      <c r="A53" s="97">
        <v>31</v>
      </c>
      <c r="B53" s="110" t="s">
        <v>163</v>
      </c>
      <c r="C53" s="104">
        <f>C47+C48+C49+C50+C51+C52</f>
        <v>11178854.119999999</v>
      </c>
      <c r="D53" s="104">
        <f>D47+D48+D49+D50+D51+D52</f>
        <v>323895.64999999997</v>
      </c>
      <c r="E53" s="73">
        <f t="shared" si="0"/>
        <v>11502749.77</v>
      </c>
      <c r="F53" s="104">
        <f>F47+F48+F49+F50+F51+F52</f>
        <v>10124677.549999999</v>
      </c>
      <c r="G53" s="104">
        <f>G47+G48+G49+G50+G51+G52</f>
        <v>134737.30000000002</v>
      </c>
      <c r="H53" s="74">
        <f t="shared" si="1"/>
        <v>10259414.85</v>
      </c>
    </row>
    <row r="54" spans="1:9" ht="15.75" x14ac:dyDescent="0.3">
      <c r="A54" s="97">
        <v>32</v>
      </c>
      <c r="B54" s="110" t="s">
        <v>164</v>
      </c>
      <c r="C54" s="104">
        <f>C45-C53</f>
        <v>-8741418.4000000004</v>
      </c>
      <c r="D54" s="104">
        <f>D45-D53</f>
        <v>492118.9200000001</v>
      </c>
      <c r="E54" s="73">
        <f t="shared" si="0"/>
        <v>-8249299.4800000004</v>
      </c>
      <c r="F54" s="104">
        <f>F45-F53</f>
        <v>-5523523.8199999984</v>
      </c>
      <c r="G54" s="104">
        <f>G45-G53</f>
        <v>187737.94999999987</v>
      </c>
      <c r="H54" s="74">
        <f t="shared" si="1"/>
        <v>-5335785.8699999982</v>
      </c>
    </row>
    <row r="55" spans="1:9" x14ac:dyDescent="0.25">
      <c r="A55" s="97"/>
      <c r="B55" s="98"/>
      <c r="C55" s="111"/>
      <c r="D55" s="111"/>
      <c r="E55" s="111"/>
      <c r="F55" s="111"/>
      <c r="G55" s="111"/>
      <c r="H55" s="112"/>
    </row>
    <row r="56" spans="1:9" ht="15.75" x14ac:dyDescent="0.3">
      <c r="A56" s="97">
        <v>33</v>
      </c>
      <c r="B56" s="110" t="s">
        <v>165</v>
      </c>
      <c r="C56" s="104">
        <f>C31+C54</f>
        <v>-1914475.7999999989</v>
      </c>
      <c r="D56" s="104">
        <f>D31+D54</f>
        <v>8192404.3699999992</v>
      </c>
      <c r="E56" s="73">
        <f t="shared" si="0"/>
        <v>6277928.5700000003</v>
      </c>
      <c r="F56" s="104">
        <f>F31+F54</f>
        <v>-1273827.5999999996</v>
      </c>
      <c r="G56" s="104">
        <f>G31+G54</f>
        <v>7398717.8300000047</v>
      </c>
      <c r="H56" s="74">
        <f t="shared" si="1"/>
        <v>6124890.2300000051</v>
      </c>
    </row>
    <row r="57" spans="1:9" x14ac:dyDescent="0.25">
      <c r="A57" s="97"/>
      <c r="B57" s="98"/>
      <c r="C57" s="102"/>
      <c r="D57" s="111"/>
      <c r="E57" s="111"/>
      <c r="F57" s="102"/>
      <c r="G57" s="111"/>
      <c r="H57" s="112"/>
    </row>
    <row r="58" spans="1:9" ht="15.75" x14ac:dyDescent="0.3">
      <c r="A58" s="97">
        <v>34</v>
      </c>
      <c r="B58" s="101" t="s">
        <v>166</v>
      </c>
      <c r="C58" s="102">
        <v>-2647186.1700000004</v>
      </c>
      <c r="D58" s="102" t="s">
        <v>424</v>
      </c>
      <c r="E58" s="73">
        <f>C58</f>
        <v>-2647186.1700000004</v>
      </c>
      <c r="F58" s="102">
        <v>18565750.989999998</v>
      </c>
      <c r="G58" s="102" t="s">
        <v>424</v>
      </c>
      <c r="H58" s="74">
        <f>F58</f>
        <v>18565750.989999998</v>
      </c>
    </row>
    <row r="59" spans="1:9" s="117" customFormat="1" ht="15.75" x14ac:dyDescent="0.3">
      <c r="A59" s="97">
        <v>35</v>
      </c>
      <c r="B59" s="113" t="s">
        <v>167</v>
      </c>
      <c r="C59" s="102">
        <v>0</v>
      </c>
      <c r="D59" s="102" t="s">
        <v>424</v>
      </c>
      <c r="E59" s="73">
        <f t="shared" ref="E59:E60" si="2">C59</f>
        <v>0</v>
      </c>
      <c r="F59" s="102">
        <v>0</v>
      </c>
      <c r="G59" s="102" t="s">
        <v>424</v>
      </c>
      <c r="H59" s="74">
        <f t="shared" ref="H59:H60" si="3">F59</f>
        <v>0</v>
      </c>
      <c r="I59" s="116"/>
    </row>
    <row r="60" spans="1:9" ht="15.75" x14ac:dyDescent="0.3">
      <c r="A60" s="97">
        <v>36</v>
      </c>
      <c r="B60" s="101" t="s">
        <v>168</v>
      </c>
      <c r="C60" s="102">
        <v>996121.29</v>
      </c>
      <c r="D60" s="102" t="s">
        <v>424</v>
      </c>
      <c r="E60" s="73">
        <f t="shared" si="2"/>
        <v>996121.29</v>
      </c>
      <c r="F60" s="102">
        <v>2617751.9</v>
      </c>
      <c r="G60" s="102" t="s">
        <v>424</v>
      </c>
      <c r="H60" s="74">
        <f t="shared" si="3"/>
        <v>2617751.9</v>
      </c>
    </row>
    <row r="61" spans="1:9" ht="15.75" x14ac:dyDescent="0.3">
      <c r="A61" s="97">
        <v>37</v>
      </c>
      <c r="B61" s="110" t="s">
        <v>169</v>
      </c>
      <c r="C61" s="104">
        <f>C58+C59+C60</f>
        <v>-1651064.8800000004</v>
      </c>
      <c r="D61" s="104">
        <v>0</v>
      </c>
      <c r="E61" s="73">
        <f t="shared" si="0"/>
        <v>-1651064.8800000004</v>
      </c>
      <c r="F61" s="104">
        <f>F58+F59+F60</f>
        <v>21183502.889999997</v>
      </c>
      <c r="G61" s="104">
        <v>0</v>
      </c>
      <c r="H61" s="74">
        <f t="shared" si="1"/>
        <v>21183502.889999997</v>
      </c>
    </row>
    <row r="62" spans="1:9" x14ac:dyDescent="0.25">
      <c r="A62" s="97"/>
      <c r="B62" s="118"/>
      <c r="C62" s="102"/>
      <c r="D62" s="102"/>
      <c r="E62" s="102"/>
      <c r="F62" s="102"/>
      <c r="G62" s="102"/>
      <c r="H62" s="115"/>
    </row>
    <row r="63" spans="1:9" ht="15.75" x14ac:dyDescent="0.3">
      <c r="A63" s="97">
        <v>38</v>
      </c>
      <c r="B63" s="119" t="s">
        <v>170</v>
      </c>
      <c r="C63" s="104">
        <f>C56-C61</f>
        <v>-263410.91999999853</v>
      </c>
      <c r="D63" s="104">
        <f>D56-D61</f>
        <v>8192404.3699999992</v>
      </c>
      <c r="E63" s="73">
        <f t="shared" si="0"/>
        <v>7928993.4500000011</v>
      </c>
      <c r="F63" s="104">
        <f>F56-F61</f>
        <v>-22457330.489999995</v>
      </c>
      <c r="G63" s="104">
        <f>G56-G61</f>
        <v>7398717.8300000047</v>
      </c>
      <c r="H63" s="74">
        <f t="shared" si="1"/>
        <v>-15058612.659999989</v>
      </c>
    </row>
    <row r="64" spans="1:9" ht="15.75" x14ac:dyDescent="0.3">
      <c r="A64" s="93">
        <v>39</v>
      </c>
      <c r="B64" s="101" t="s">
        <v>171</v>
      </c>
      <c r="C64" s="102">
        <v>0</v>
      </c>
      <c r="D64" s="102">
        <v>0</v>
      </c>
      <c r="E64" s="73">
        <f t="shared" si="0"/>
        <v>0</v>
      </c>
      <c r="F64" s="102">
        <v>-832424</v>
      </c>
      <c r="G64" s="102">
        <v>0</v>
      </c>
      <c r="H64" s="74">
        <f t="shared" si="1"/>
        <v>-832424</v>
      </c>
    </row>
    <row r="65" spans="1:8" ht="15.75" x14ac:dyDescent="0.3">
      <c r="A65" s="97">
        <v>40</v>
      </c>
      <c r="B65" s="110" t="s">
        <v>172</v>
      </c>
      <c r="C65" s="104">
        <f>C63-C64</f>
        <v>-263410.91999999853</v>
      </c>
      <c r="D65" s="104">
        <f>D63-D64</f>
        <v>8192404.3699999992</v>
      </c>
      <c r="E65" s="73">
        <f t="shared" si="0"/>
        <v>7928993.4500000011</v>
      </c>
      <c r="F65" s="104">
        <f>F63-F64</f>
        <v>-21624906.489999995</v>
      </c>
      <c r="G65" s="104">
        <f>G63-G64</f>
        <v>7398717.8300000047</v>
      </c>
      <c r="H65" s="74">
        <f t="shared" si="1"/>
        <v>-14226188.659999989</v>
      </c>
    </row>
    <row r="66" spans="1:8" ht="15.75" x14ac:dyDescent="0.3">
      <c r="A66" s="93">
        <v>41</v>
      </c>
      <c r="B66" s="101" t="s">
        <v>173</v>
      </c>
      <c r="C66" s="102">
        <v>0</v>
      </c>
      <c r="D66" s="102">
        <v>0</v>
      </c>
      <c r="E66" s="73">
        <f t="shared" si="0"/>
        <v>0</v>
      </c>
      <c r="F66" s="102">
        <v>0</v>
      </c>
      <c r="G66" s="102">
        <v>0</v>
      </c>
      <c r="H66" s="74">
        <f t="shared" si="1"/>
        <v>0</v>
      </c>
    </row>
    <row r="67" spans="1:8" ht="16.5" thickBot="1" x14ac:dyDescent="0.35">
      <c r="A67" s="120">
        <v>42</v>
      </c>
      <c r="B67" s="121" t="s">
        <v>174</v>
      </c>
      <c r="C67" s="122">
        <f>C65+C66</f>
        <v>-263410.91999999853</v>
      </c>
      <c r="D67" s="122">
        <f>D65+D66</f>
        <v>8192404.3699999992</v>
      </c>
      <c r="E67" s="83">
        <f t="shared" si="0"/>
        <v>7928993.4500000011</v>
      </c>
      <c r="F67" s="122">
        <f>F65+F66</f>
        <v>-21624906.489999995</v>
      </c>
      <c r="G67" s="122">
        <f>G65+G66</f>
        <v>7398717.8300000047</v>
      </c>
      <c r="H67" s="84">
        <f t="shared" si="1"/>
        <v>-14226188.659999989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J54"/>
  <sheetViews>
    <sheetView topLeftCell="A2" zoomScaleNormal="100" workbookViewId="0">
      <selection activeCell="F44" sqref="F44"/>
    </sheetView>
  </sheetViews>
  <sheetFormatPr defaultRowHeight="15" x14ac:dyDescent="0.25"/>
  <cols>
    <col min="1" max="1" width="9.5703125" bestFit="1" customWidth="1"/>
    <col min="2" max="2" width="72.28515625" customWidth="1"/>
    <col min="3" max="4" width="12.7109375" style="53" customWidth="1"/>
    <col min="5" max="5" width="13.5703125" style="53" bestFit="1" customWidth="1"/>
    <col min="6" max="6" width="12.7109375" style="53" customWidth="1"/>
    <col min="7" max="7" width="13.5703125" style="53" bestFit="1" customWidth="1"/>
    <col min="8" max="8" width="12.7109375" style="53" customWidth="1"/>
    <col min="9" max="9" width="14.85546875" style="53" customWidth="1"/>
    <col min="10" max="10" width="9.140625" style="53"/>
  </cols>
  <sheetData>
    <row r="1" spans="1:10" x14ac:dyDescent="0.25">
      <c r="A1" s="21" t="s">
        <v>31</v>
      </c>
      <c r="B1" s="21" t="s">
        <v>32</v>
      </c>
      <c r="C1"/>
      <c r="D1"/>
      <c r="E1"/>
      <c r="F1"/>
      <c r="G1"/>
      <c r="H1"/>
      <c r="I1"/>
      <c r="J1"/>
    </row>
    <row r="2" spans="1:10" x14ac:dyDescent="0.25">
      <c r="A2" s="21" t="s">
        <v>33</v>
      </c>
      <c r="B2" s="60">
        <v>42916</v>
      </c>
      <c r="C2"/>
      <c r="D2"/>
      <c r="E2"/>
      <c r="F2"/>
      <c r="G2"/>
      <c r="H2"/>
      <c r="I2"/>
      <c r="J2"/>
    </row>
    <row r="3" spans="1:10" x14ac:dyDescent="0.25">
      <c r="A3" s="21"/>
      <c r="C3"/>
      <c r="D3"/>
      <c r="E3"/>
      <c r="F3" s="123"/>
      <c r="G3"/>
      <c r="H3"/>
      <c r="I3"/>
      <c r="J3"/>
    </row>
    <row r="4" spans="1:10" ht="16.5" thickBot="1" x14ac:dyDescent="0.35">
      <c r="A4" s="21" t="s">
        <v>175</v>
      </c>
      <c r="B4" s="21"/>
      <c r="C4" s="124"/>
      <c r="D4" s="124"/>
      <c r="E4" s="124"/>
      <c r="F4" s="125"/>
      <c r="G4" s="125"/>
      <c r="H4" s="126" t="s">
        <v>73</v>
      </c>
      <c r="I4"/>
      <c r="J4"/>
    </row>
    <row r="5" spans="1:10" ht="15.75" x14ac:dyDescent="0.3">
      <c r="A5" s="410" t="s">
        <v>35</v>
      </c>
      <c r="B5" s="412" t="s">
        <v>176</v>
      </c>
      <c r="C5" s="414" t="s">
        <v>74</v>
      </c>
      <c r="D5" s="414"/>
      <c r="E5" s="414"/>
      <c r="F5" s="414" t="s">
        <v>75</v>
      </c>
      <c r="G5" s="414"/>
      <c r="H5" s="415"/>
      <c r="I5"/>
      <c r="J5"/>
    </row>
    <row r="6" spans="1:10" x14ac:dyDescent="0.25">
      <c r="A6" s="411"/>
      <c r="B6" s="413"/>
      <c r="C6" s="69" t="s">
        <v>77</v>
      </c>
      <c r="D6" s="69" t="s">
        <v>78</v>
      </c>
      <c r="E6" s="69" t="s">
        <v>79</v>
      </c>
      <c r="F6" s="69" t="s">
        <v>77</v>
      </c>
      <c r="G6" s="69" t="s">
        <v>78</v>
      </c>
      <c r="H6" s="70" t="s">
        <v>79</v>
      </c>
      <c r="I6"/>
      <c r="J6"/>
    </row>
    <row r="7" spans="1:10" s="20" customFormat="1" ht="15.75" x14ac:dyDescent="0.3">
      <c r="A7" s="127">
        <v>1</v>
      </c>
      <c r="B7" s="128" t="s">
        <v>177</v>
      </c>
      <c r="C7" s="72">
        <f>SUM(C8:C11)</f>
        <v>35123570.400000013</v>
      </c>
      <c r="D7" s="72">
        <f>SUM(D8:D11)</f>
        <v>15601008.790000001</v>
      </c>
      <c r="E7" s="73">
        <f>C7+D7</f>
        <v>50724579.190000013</v>
      </c>
      <c r="F7" s="72">
        <f>SUM(F8:F11)</f>
        <v>27980477.239999998</v>
      </c>
      <c r="G7" s="72">
        <f>SUM(G8:G11)</f>
        <v>27592620.000000011</v>
      </c>
      <c r="H7" s="74">
        <f t="shared" ref="H7:H53" si="0">F7+G7</f>
        <v>55573097.24000001</v>
      </c>
      <c r="I7" s="129"/>
      <c r="J7" s="129"/>
    </row>
    <row r="8" spans="1:10" s="20" customFormat="1" ht="15.75" x14ac:dyDescent="0.3">
      <c r="A8" s="127">
        <v>1.1000000000000001</v>
      </c>
      <c r="B8" s="130" t="s">
        <v>178</v>
      </c>
      <c r="C8" s="72">
        <v>26817035.280000001</v>
      </c>
      <c r="D8" s="72">
        <v>10315632.15</v>
      </c>
      <c r="E8" s="73">
        <f t="shared" ref="E8:E53" si="1">C8+D8</f>
        <v>37132667.43</v>
      </c>
      <c r="F8" s="72">
        <v>19140873.719999999</v>
      </c>
      <c r="G8" s="72">
        <v>6537120.5499999998</v>
      </c>
      <c r="H8" s="74">
        <f t="shared" si="0"/>
        <v>25677994.27</v>
      </c>
      <c r="I8" s="129"/>
      <c r="J8" s="129"/>
    </row>
    <row r="9" spans="1:10" s="20" customFormat="1" ht="15.75" x14ac:dyDescent="0.3">
      <c r="A9" s="127">
        <v>1.2</v>
      </c>
      <c r="B9" s="130" t="s">
        <v>179</v>
      </c>
      <c r="C9" s="72">
        <v>0</v>
      </c>
      <c r="D9" s="72">
        <v>0</v>
      </c>
      <c r="E9" s="73">
        <f t="shared" si="1"/>
        <v>0</v>
      </c>
      <c r="F9" s="72">
        <v>0</v>
      </c>
      <c r="G9" s="72">
        <v>358468.8</v>
      </c>
      <c r="H9" s="74">
        <f t="shared" si="0"/>
        <v>358468.8</v>
      </c>
      <c r="I9" s="129"/>
      <c r="J9" s="129"/>
    </row>
    <row r="10" spans="1:10" s="20" customFormat="1" ht="15.75" x14ac:dyDescent="0.3">
      <c r="A10" s="127">
        <v>1.3</v>
      </c>
      <c r="B10" s="130" t="s">
        <v>180</v>
      </c>
      <c r="C10" s="72">
        <v>8306535.1200000113</v>
      </c>
      <c r="D10" s="72">
        <v>5285376.6400000006</v>
      </c>
      <c r="E10" s="73">
        <f t="shared" si="1"/>
        <v>13591911.760000013</v>
      </c>
      <c r="F10" s="72">
        <v>8839603.5199999996</v>
      </c>
      <c r="G10" s="72">
        <v>20338561.850000009</v>
      </c>
      <c r="H10" s="74">
        <f t="shared" si="0"/>
        <v>29178165.370000008</v>
      </c>
      <c r="I10" s="129"/>
      <c r="J10" s="129"/>
    </row>
    <row r="11" spans="1:10" s="20" customFormat="1" ht="15.75" x14ac:dyDescent="0.3">
      <c r="A11" s="127">
        <v>1.4</v>
      </c>
      <c r="B11" s="130" t="s">
        <v>181</v>
      </c>
      <c r="C11" s="72">
        <v>0</v>
      </c>
      <c r="D11" s="72">
        <v>0</v>
      </c>
      <c r="E11" s="73">
        <f t="shared" si="1"/>
        <v>0</v>
      </c>
      <c r="F11" s="72">
        <v>0</v>
      </c>
      <c r="G11" s="72">
        <v>358468.8</v>
      </c>
      <c r="H11" s="74">
        <f t="shared" si="0"/>
        <v>358468.8</v>
      </c>
      <c r="I11" s="129"/>
      <c r="J11" s="129"/>
    </row>
    <row r="12" spans="1:10" s="20" customFormat="1" ht="29.25" customHeight="1" x14ac:dyDescent="0.3">
      <c r="A12" s="127">
        <v>2</v>
      </c>
      <c r="B12" s="128" t="s">
        <v>182</v>
      </c>
      <c r="C12" s="72">
        <v>0</v>
      </c>
      <c r="D12" s="72">
        <v>2046120</v>
      </c>
      <c r="E12" s="73">
        <f t="shared" si="1"/>
        <v>2046120</v>
      </c>
      <c r="F12" s="72">
        <v>0</v>
      </c>
      <c r="G12" s="72">
        <v>1990955</v>
      </c>
      <c r="H12" s="74">
        <f t="shared" si="0"/>
        <v>1990955</v>
      </c>
      <c r="I12" s="129"/>
      <c r="J12" s="129"/>
    </row>
    <row r="13" spans="1:10" s="20" customFormat="1" ht="25.5" x14ac:dyDescent="0.3">
      <c r="A13" s="127">
        <v>3</v>
      </c>
      <c r="B13" s="128" t="s">
        <v>183</v>
      </c>
      <c r="C13" s="72">
        <v>17964000</v>
      </c>
      <c r="D13" s="72">
        <v>10505593.710000001</v>
      </c>
      <c r="E13" s="73">
        <f t="shared" si="1"/>
        <v>28469593.710000001</v>
      </c>
      <c r="F13" s="72">
        <v>0</v>
      </c>
      <c r="G13" s="72">
        <v>0</v>
      </c>
      <c r="H13" s="74">
        <f t="shared" si="0"/>
        <v>0</v>
      </c>
      <c r="I13" s="129"/>
      <c r="J13" s="129"/>
    </row>
    <row r="14" spans="1:10" s="20" customFormat="1" ht="15.75" x14ac:dyDescent="0.3">
      <c r="A14" s="127">
        <v>3.1</v>
      </c>
      <c r="B14" s="130" t="s">
        <v>184</v>
      </c>
      <c r="C14" s="72">
        <f>C13</f>
        <v>17964000</v>
      </c>
      <c r="D14" s="72">
        <f>D13</f>
        <v>10505593.710000001</v>
      </c>
      <c r="E14" s="73">
        <f t="shared" si="1"/>
        <v>28469593.710000001</v>
      </c>
      <c r="F14" s="72">
        <f>F13</f>
        <v>0</v>
      </c>
      <c r="G14" s="72">
        <f>G13</f>
        <v>0</v>
      </c>
      <c r="H14" s="74">
        <f t="shared" si="0"/>
        <v>0</v>
      </c>
      <c r="I14" s="129"/>
      <c r="J14" s="129"/>
    </row>
    <row r="15" spans="1:10" s="20" customFormat="1" ht="15.75" x14ac:dyDescent="0.3">
      <c r="A15" s="127">
        <v>3.2</v>
      </c>
      <c r="B15" s="130" t="s">
        <v>185</v>
      </c>
      <c r="C15" s="72"/>
      <c r="D15" s="72"/>
      <c r="E15" s="73">
        <f t="shared" si="1"/>
        <v>0</v>
      </c>
      <c r="F15" s="72"/>
      <c r="G15" s="72"/>
      <c r="H15" s="74">
        <f t="shared" si="0"/>
        <v>0</v>
      </c>
      <c r="I15" s="129"/>
      <c r="J15" s="129"/>
    </row>
    <row r="16" spans="1:10" s="20" customFormat="1" ht="15.75" x14ac:dyDescent="0.3">
      <c r="A16" s="127">
        <v>4</v>
      </c>
      <c r="B16" s="128" t="s">
        <v>427</v>
      </c>
      <c r="C16" s="72">
        <v>121850648.90999998</v>
      </c>
      <c r="D16" s="72">
        <v>203034106.6000002</v>
      </c>
      <c r="E16" s="73">
        <f t="shared" si="1"/>
        <v>324884755.51000017</v>
      </c>
      <c r="F16" s="72">
        <f>SUM(F17:F18)</f>
        <v>83441273</v>
      </c>
      <c r="G16" s="72">
        <f>SUM(G17:G18)</f>
        <v>132032996</v>
      </c>
      <c r="H16" s="74">
        <f t="shared" si="0"/>
        <v>215474269</v>
      </c>
      <c r="J16" s="129"/>
    </row>
    <row r="17" spans="1:10" s="20" customFormat="1" ht="15.75" x14ac:dyDescent="0.3">
      <c r="A17" s="127">
        <v>4.0999999999999996</v>
      </c>
      <c r="B17" s="130" t="s">
        <v>428</v>
      </c>
      <c r="C17" s="72">
        <v>121850648.90999998</v>
      </c>
      <c r="D17" s="72">
        <v>203034106.6000002</v>
      </c>
      <c r="E17" s="73">
        <f t="shared" si="1"/>
        <v>324884755.51000017</v>
      </c>
      <c r="F17" s="72">
        <v>83441273</v>
      </c>
      <c r="G17" s="72">
        <v>132032996</v>
      </c>
      <c r="H17" s="74">
        <f t="shared" si="0"/>
        <v>215474269</v>
      </c>
      <c r="I17" s="20" t="s">
        <v>431</v>
      </c>
      <c r="J17" s="129"/>
    </row>
    <row r="18" spans="1:10" s="20" customFormat="1" ht="15.75" x14ac:dyDescent="0.3">
      <c r="A18" s="127">
        <v>4.2</v>
      </c>
      <c r="B18" s="130" t="s">
        <v>186</v>
      </c>
      <c r="C18" s="72">
        <v>0</v>
      </c>
      <c r="D18" s="72">
        <v>0</v>
      </c>
      <c r="E18" s="73">
        <f t="shared" si="1"/>
        <v>0</v>
      </c>
      <c r="F18" s="72">
        <v>0</v>
      </c>
      <c r="G18" s="72">
        <v>0</v>
      </c>
      <c r="H18" s="74">
        <f t="shared" si="0"/>
        <v>0</v>
      </c>
      <c r="I18" s="129"/>
      <c r="J18" s="129"/>
    </row>
    <row r="19" spans="1:10" s="20" customFormat="1" ht="25.5" x14ac:dyDescent="0.3">
      <c r="A19" s="127">
        <v>5</v>
      </c>
      <c r="B19" s="128" t="s">
        <v>187</v>
      </c>
      <c r="C19" s="72">
        <v>397939398.17000026</v>
      </c>
      <c r="D19" s="72">
        <v>536555114.40999997</v>
      </c>
      <c r="E19" s="73">
        <f t="shared" si="1"/>
        <v>934494512.58000016</v>
      </c>
      <c r="F19" s="72">
        <v>328969731.66999978</v>
      </c>
      <c r="G19" s="72">
        <v>494027009.59999985</v>
      </c>
      <c r="H19" s="74">
        <f t="shared" si="0"/>
        <v>822996741.26999962</v>
      </c>
      <c r="I19" s="129"/>
      <c r="J19" s="129"/>
    </row>
    <row r="20" spans="1:10" s="20" customFormat="1" ht="15.75" x14ac:dyDescent="0.3">
      <c r="A20" s="127">
        <v>5.0999999999999996</v>
      </c>
      <c r="B20" s="130" t="s">
        <v>188</v>
      </c>
      <c r="C20" s="72">
        <v>19549636.530000005</v>
      </c>
      <c r="D20" s="72">
        <v>30004886.529999994</v>
      </c>
      <c r="E20" s="73">
        <f t="shared" si="1"/>
        <v>49554523.060000002</v>
      </c>
      <c r="F20" s="72">
        <v>30606296.239999987</v>
      </c>
      <c r="G20" s="72">
        <v>9837639.7199999988</v>
      </c>
      <c r="H20" s="74">
        <f t="shared" si="0"/>
        <v>40443935.959999986</v>
      </c>
      <c r="I20" s="129"/>
      <c r="J20" s="129"/>
    </row>
    <row r="21" spans="1:10" s="20" customFormat="1" ht="15.75" x14ac:dyDescent="0.3">
      <c r="A21" s="127">
        <v>5.2</v>
      </c>
      <c r="B21" s="130" t="s">
        <v>189</v>
      </c>
      <c r="C21" s="72">
        <v>49481262.86999999</v>
      </c>
      <c r="D21" s="72">
        <v>57641138.959999979</v>
      </c>
      <c r="E21" s="73">
        <f t="shared" si="1"/>
        <v>107122401.82999997</v>
      </c>
      <c r="F21" s="72">
        <v>12660630.869999999</v>
      </c>
      <c r="G21" s="72">
        <v>82894574.670000002</v>
      </c>
      <c r="H21" s="74">
        <f t="shared" si="0"/>
        <v>95555205.540000007</v>
      </c>
      <c r="I21" s="129"/>
      <c r="J21" s="129"/>
    </row>
    <row r="22" spans="1:10" s="20" customFormat="1" ht="15.75" x14ac:dyDescent="0.3">
      <c r="A22" s="127">
        <v>5.3</v>
      </c>
      <c r="B22" s="130" t="s">
        <v>190</v>
      </c>
      <c r="C22" s="72">
        <v>270351584.88000029</v>
      </c>
      <c r="D22" s="72">
        <v>420248547.68000001</v>
      </c>
      <c r="E22" s="73">
        <f t="shared" si="1"/>
        <v>690600132.5600003</v>
      </c>
      <c r="F22" s="72">
        <v>244131785.83999982</v>
      </c>
      <c r="G22" s="72">
        <v>377661667.39999986</v>
      </c>
      <c r="H22" s="74">
        <f t="shared" si="0"/>
        <v>621793453.23999965</v>
      </c>
      <c r="I22" s="129"/>
      <c r="J22" s="129"/>
    </row>
    <row r="23" spans="1:10" s="20" customFormat="1" ht="15.75" x14ac:dyDescent="0.3">
      <c r="A23" s="127" t="s">
        <v>191</v>
      </c>
      <c r="B23" s="131" t="s">
        <v>192</v>
      </c>
      <c r="C23" s="72">
        <v>160091865.21000037</v>
      </c>
      <c r="D23" s="72">
        <v>221030767.21999988</v>
      </c>
      <c r="E23" s="73">
        <f t="shared" si="1"/>
        <v>381122632.43000025</v>
      </c>
      <c r="F23" s="72">
        <v>109212974.63999984</v>
      </c>
      <c r="G23" s="72">
        <v>219457837.11999986</v>
      </c>
      <c r="H23" s="74">
        <f t="shared" si="0"/>
        <v>328670811.75999969</v>
      </c>
      <c r="I23" s="129"/>
      <c r="J23" s="129"/>
    </row>
    <row r="24" spans="1:10" s="20" customFormat="1" ht="15.75" x14ac:dyDescent="0.3">
      <c r="A24" s="127" t="s">
        <v>193</v>
      </c>
      <c r="B24" s="131" t="s">
        <v>194</v>
      </c>
      <c r="C24" s="72">
        <v>66074841.349999934</v>
      </c>
      <c r="D24" s="72">
        <v>164056665.1500001</v>
      </c>
      <c r="E24" s="73">
        <f t="shared" si="1"/>
        <v>230131506.50000003</v>
      </c>
      <c r="F24" s="72">
        <v>102163227.99000001</v>
      </c>
      <c r="G24" s="72">
        <v>134375454.86999997</v>
      </c>
      <c r="H24" s="74">
        <f t="shared" si="0"/>
        <v>236538682.85999998</v>
      </c>
      <c r="I24" s="129"/>
      <c r="J24" s="129"/>
    </row>
    <row r="25" spans="1:10" s="20" customFormat="1" ht="15.75" x14ac:dyDescent="0.3">
      <c r="A25" s="127" t="s">
        <v>195</v>
      </c>
      <c r="B25" s="132" t="s">
        <v>196</v>
      </c>
      <c r="C25" s="72">
        <v>18622899.469999999</v>
      </c>
      <c r="D25" s="72">
        <v>10226771.860000001</v>
      </c>
      <c r="E25" s="73">
        <f t="shared" si="1"/>
        <v>28849671.329999998</v>
      </c>
      <c r="F25" s="72">
        <v>19197735.699999999</v>
      </c>
      <c r="G25" s="72">
        <v>9731457.8100000024</v>
      </c>
      <c r="H25" s="74">
        <f t="shared" si="0"/>
        <v>28929193.510000002</v>
      </c>
      <c r="I25" s="129"/>
      <c r="J25" s="129"/>
    </row>
    <row r="26" spans="1:10" s="20" customFormat="1" ht="15.75" x14ac:dyDescent="0.3">
      <c r="A26" s="127" t="s">
        <v>197</v>
      </c>
      <c r="B26" s="131" t="s">
        <v>198</v>
      </c>
      <c r="C26" s="72">
        <v>16669005.340000009</v>
      </c>
      <c r="D26" s="72">
        <v>23686300.899999995</v>
      </c>
      <c r="E26" s="73">
        <f t="shared" si="1"/>
        <v>40355306.240000002</v>
      </c>
      <c r="F26" s="72">
        <v>13447759.410000004</v>
      </c>
      <c r="G26" s="72">
        <v>14096917.600000001</v>
      </c>
      <c r="H26" s="74">
        <f t="shared" si="0"/>
        <v>27544677.010000005</v>
      </c>
      <c r="I26" s="129"/>
      <c r="J26" s="129"/>
    </row>
    <row r="27" spans="1:10" s="20" customFormat="1" ht="15.75" x14ac:dyDescent="0.3">
      <c r="A27" s="127" t="s">
        <v>199</v>
      </c>
      <c r="B27" s="131" t="s">
        <v>200</v>
      </c>
      <c r="C27" s="72">
        <v>8892973.5100000016</v>
      </c>
      <c r="D27" s="72">
        <v>1248042.55</v>
      </c>
      <c r="E27" s="73">
        <f t="shared" si="1"/>
        <v>10141016.060000002</v>
      </c>
      <c r="F27" s="72">
        <v>110088.1</v>
      </c>
      <c r="G27" s="72">
        <v>0</v>
      </c>
      <c r="H27" s="74">
        <f t="shared" si="0"/>
        <v>110088.1</v>
      </c>
      <c r="I27" s="129"/>
      <c r="J27" s="129"/>
    </row>
    <row r="28" spans="1:10" s="20" customFormat="1" ht="15.75" x14ac:dyDescent="0.3">
      <c r="A28" s="127">
        <v>5.4</v>
      </c>
      <c r="B28" s="130" t="s">
        <v>201</v>
      </c>
      <c r="C28" s="72">
        <v>6484457.4199999999</v>
      </c>
      <c r="D28" s="72">
        <v>10205322.879999997</v>
      </c>
      <c r="E28" s="73">
        <f t="shared" si="1"/>
        <v>16689780.299999997</v>
      </c>
      <c r="F28" s="72">
        <v>4892271.76</v>
      </c>
      <c r="G28" s="72">
        <v>7918899.3399999989</v>
      </c>
      <c r="H28" s="74">
        <f t="shared" si="0"/>
        <v>12811171.099999998</v>
      </c>
      <c r="I28" s="129"/>
      <c r="J28" s="129"/>
    </row>
    <row r="29" spans="1:10" s="20" customFormat="1" ht="15.75" x14ac:dyDescent="0.3">
      <c r="A29" s="127">
        <v>5.5</v>
      </c>
      <c r="B29" s="130" t="s">
        <v>202</v>
      </c>
      <c r="C29" s="72">
        <v>0</v>
      </c>
      <c r="D29" s="72">
        <v>0</v>
      </c>
      <c r="E29" s="73">
        <f t="shared" si="1"/>
        <v>0</v>
      </c>
      <c r="F29" s="72">
        <v>0</v>
      </c>
      <c r="G29" s="72">
        <v>0</v>
      </c>
      <c r="H29" s="74">
        <f t="shared" si="0"/>
        <v>0</v>
      </c>
      <c r="I29" s="129"/>
      <c r="J29" s="129"/>
    </row>
    <row r="30" spans="1:10" s="20" customFormat="1" ht="15.75" x14ac:dyDescent="0.3">
      <c r="A30" s="127">
        <v>5.6</v>
      </c>
      <c r="B30" s="130" t="s">
        <v>203</v>
      </c>
      <c r="C30" s="72">
        <v>4000000</v>
      </c>
      <c r="D30" s="72">
        <v>0</v>
      </c>
      <c r="E30" s="73">
        <f t="shared" si="1"/>
        <v>4000000</v>
      </c>
      <c r="F30" s="72">
        <v>0</v>
      </c>
      <c r="G30" s="72">
        <v>0</v>
      </c>
      <c r="H30" s="74">
        <f t="shared" si="0"/>
        <v>0</v>
      </c>
      <c r="I30" s="129"/>
      <c r="J30" s="129"/>
    </row>
    <row r="31" spans="1:10" s="20" customFormat="1" ht="15.75" x14ac:dyDescent="0.3">
      <c r="A31" s="127">
        <v>5.7</v>
      </c>
      <c r="B31" s="130" t="s">
        <v>204</v>
      </c>
      <c r="C31" s="72">
        <v>48072456.470000006</v>
      </c>
      <c r="D31" s="72">
        <v>18455218.359999999</v>
      </c>
      <c r="E31" s="73">
        <f t="shared" si="1"/>
        <v>66527674.830000006</v>
      </c>
      <c r="F31" s="72">
        <v>36678746.959999993</v>
      </c>
      <c r="G31" s="72">
        <v>15714228.470000003</v>
      </c>
      <c r="H31" s="74">
        <f t="shared" si="0"/>
        <v>52392975.429999992</v>
      </c>
      <c r="I31" s="129"/>
      <c r="J31" s="129"/>
    </row>
    <row r="32" spans="1:10" s="20" customFormat="1" ht="15.75" x14ac:dyDescent="0.3">
      <c r="A32" s="127">
        <v>6</v>
      </c>
      <c r="B32" s="128" t="s">
        <v>205</v>
      </c>
      <c r="C32" s="72">
        <f>SUM(C33:C39)</f>
        <v>17491758.5</v>
      </c>
      <c r="D32" s="72">
        <f>SUM(D33:D39)</f>
        <v>17358319.199999999</v>
      </c>
      <c r="E32" s="73">
        <f t="shared" si="1"/>
        <v>34850077.700000003</v>
      </c>
      <c r="F32" s="72">
        <f>SUM(F33:F39)</f>
        <v>24936581</v>
      </c>
      <c r="G32" s="72">
        <f>SUM(G33:G39)</f>
        <v>24027313.399999999</v>
      </c>
      <c r="H32" s="74">
        <f t="shared" si="0"/>
        <v>48963894.399999999</v>
      </c>
      <c r="I32" s="129"/>
      <c r="J32" s="129"/>
    </row>
    <row r="33" spans="1:10" s="20" customFormat="1" ht="25.5" x14ac:dyDescent="0.3">
      <c r="A33" s="127">
        <v>6.1</v>
      </c>
      <c r="B33" s="130" t="s">
        <v>206</v>
      </c>
      <c r="C33" s="72">
        <v>17491758.5</v>
      </c>
      <c r="D33" s="72">
        <v>0</v>
      </c>
      <c r="E33" s="73">
        <f t="shared" si="1"/>
        <v>17491758.5</v>
      </c>
      <c r="F33" s="72">
        <v>24936581</v>
      </c>
      <c r="G33" s="72">
        <v>0</v>
      </c>
      <c r="H33" s="74">
        <f t="shared" si="0"/>
        <v>24936581</v>
      </c>
      <c r="I33" s="129"/>
      <c r="J33" s="129"/>
    </row>
    <row r="34" spans="1:10" s="20" customFormat="1" ht="25.5" x14ac:dyDescent="0.3">
      <c r="A34" s="127">
        <v>6.2</v>
      </c>
      <c r="B34" s="130" t="s">
        <v>207</v>
      </c>
      <c r="C34" s="72">
        <v>0</v>
      </c>
      <c r="D34" s="72">
        <v>17358319.199999999</v>
      </c>
      <c r="E34" s="73">
        <f t="shared" si="1"/>
        <v>17358319.199999999</v>
      </c>
      <c r="F34" s="72">
        <v>0</v>
      </c>
      <c r="G34" s="72">
        <v>24027313.399999999</v>
      </c>
      <c r="H34" s="74">
        <f t="shared" si="0"/>
        <v>24027313.399999999</v>
      </c>
      <c r="I34" s="129"/>
      <c r="J34" s="129"/>
    </row>
    <row r="35" spans="1:10" s="20" customFormat="1" ht="25.5" x14ac:dyDescent="0.3">
      <c r="A35" s="127">
        <v>6.3</v>
      </c>
      <c r="B35" s="130" t="s">
        <v>208</v>
      </c>
      <c r="C35" s="72">
        <v>0</v>
      </c>
      <c r="D35" s="72">
        <v>0</v>
      </c>
      <c r="E35" s="73">
        <f t="shared" si="1"/>
        <v>0</v>
      </c>
      <c r="F35" s="72">
        <v>0</v>
      </c>
      <c r="G35" s="72">
        <v>0</v>
      </c>
      <c r="H35" s="74">
        <f t="shared" si="0"/>
        <v>0</v>
      </c>
      <c r="I35" s="129"/>
      <c r="J35" s="129"/>
    </row>
    <row r="36" spans="1:10" s="20" customFormat="1" ht="15.75" x14ac:dyDescent="0.3">
      <c r="A36" s="127">
        <v>6.4</v>
      </c>
      <c r="B36" s="130" t="s">
        <v>209</v>
      </c>
      <c r="C36" s="72"/>
      <c r="D36" s="72"/>
      <c r="E36" s="73">
        <f t="shared" si="1"/>
        <v>0</v>
      </c>
      <c r="F36" s="72"/>
      <c r="G36" s="72"/>
      <c r="H36" s="74">
        <f t="shared" si="0"/>
        <v>0</v>
      </c>
      <c r="I36" s="129"/>
      <c r="J36" s="129"/>
    </row>
    <row r="37" spans="1:10" s="20" customFormat="1" ht="15.75" x14ac:dyDescent="0.3">
      <c r="A37" s="127">
        <v>6.5</v>
      </c>
      <c r="B37" s="130" t="s">
        <v>210</v>
      </c>
      <c r="C37" s="72"/>
      <c r="D37" s="72"/>
      <c r="E37" s="73">
        <f t="shared" si="1"/>
        <v>0</v>
      </c>
      <c r="F37" s="72"/>
      <c r="G37" s="72"/>
      <c r="H37" s="74">
        <f t="shared" si="0"/>
        <v>0</v>
      </c>
      <c r="I37" s="129"/>
      <c r="J37" s="129"/>
    </row>
    <row r="38" spans="1:10" s="20" customFormat="1" ht="25.5" x14ac:dyDescent="0.3">
      <c r="A38" s="127">
        <v>6.6</v>
      </c>
      <c r="B38" s="130" t="s">
        <v>211</v>
      </c>
      <c r="C38" s="72"/>
      <c r="D38" s="72"/>
      <c r="E38" s="73">
        <f t="shared" si="1"/>
        <v>0</v>
      </c>
      <c r="F38" s="72"/>
      <c r="G38" s="72"/>
      <c r="H38" s="74">
        <f t="shared" si="0"/>
        <v>0</v>
      </c>
      <c r="I38" s="129"/>
      <c r="J38" s="129"/>
    </row>
    <row r="39" spans="1:10" s="20" customFormat="1" ht="25.5" x14ac:dyDescent="0.3">
      <c r="A39" s="127">
        <v>6.7</v>
      </c>
      <c r="B39" s="130" t="s">
        <v>212</v>
      </c>
      <c r="C39" s="72"/>
      <c r="D39" s="72"/>
      <c r="E39" s="73">
        <f t="shared" si="1"/>
        <v>0</v>
      </c>
      <c r="F39" s="72"/>
      <c r="G39" s="72"/>
      <c r="H39" s="74">
        <f t="shared" si="0"/>
        <v>0</v>
      </c>
      <c r="I39" s="129"/>
      <c r="J39" s="129"/>
    </row>
    <row r="40" spans="1:10" s="20" customFormat="1" ht="15.75" x14ac:dyDescent="0.3">
      <c r="A40" s="127">
        <v>7</v>
      </c>
      <c r="B40" s="128" t="s">
        <v>213</v>
      </c>
      <c r="C40" s="72">
        <f>SUM(C41:C44)</f>
        <v>51068063.480000071</v>
      </c>
      <c r="D40" s="72">
        <f>SUM(D41:D44)</f>
        <v>59256220.539999962</v>
      </c>
      <c r="E40" s="73">
        <f t="shared" si="1"/>
        <v>110324284.02000004</v>
      </c>
      <c r="F40" s="72">
        <f>SUM(F41:F44)</f>
        <v>16149995.459999999</v>
      </c>
      <c r="G40" s="72">
        <f>SUM(G41:G44)</f>
        <v>50029998.410000004</v>
      </c>
      <c r="H40" s="74">
        <f t="shared" si="0"/>
        <v>66179993.870000005</v>
      </c>
      <c r="I40" s="129"/>
      <c r="J40" s="129"/>
    </row>
    <row r="41" spans="1:10" s="20" customFormat="1" ht="25.5" x14ac:dyDescent="0.3">
      <c r="A41" s="127">
        <v>7.1</v>
      </c>
      <c r="B41" s="130" t="s">
        <v>214</v>
      </c>
      <c r="C41" s="72">
        <v>477324.67999999993</v>
      </c>
      <c r="D41" s="72">
        <v>62008.93</v>
      </c>
      <c r="E41" s="73">
        <f t="shared" si="1"/>
        <v>539333.61</v>
      </c>
      <c r="F41" s="72">
        <v>721103.01000000036</v>
      </c>
      <c r="G41" s="72">
        <v>111470.87</v>
      </c>
      <c r="H41" s="74">
        <f t="shared" si="0"/>
        <v>832573.88000000035</v>
      </c>
      <c r="I41" s="129"/>
      <c r="J41" s="129"/>
    </row>
    <row r="42" spans="1:10" s="20" customFormat="1" ht="25.5" x14ac:dyDescent="0.3">
      <c r="A42" s="127">
        <v>7.2</v>
      </c>
      <c r="B42" s="130" t="s">
        <v>215</v>
      </c>
      <c r="C42" s="72">
        <v>9557782.5099999979</v>
      </c>
      <c r="D42" s="72">
        <v>7570885.9499999993</v>
      </c>
      <c r="E42" s="73">
        <f t="shared" si="1"/>
        <v>17128668.459999997</v>
      </c>
      <c r="F42" s="72">
        <v>1256324.1099999989</v>
      </c>
      <c r="G42" s="72">
        <v>2989333.25</v>
      </c>
      <c r="H42" s="74">
        <f t="shared" si="0"/>
        <v>4245657.3599999994</v>
      </c>
      <c r="I42" s="403"/>
      <c r="J42" s="129"/>
    </row>
    <row r="43" spans="1:10" s="20" customFormat="1" ht="25.5" x14ac:dyDescent="0.3">
      <c r="A43" s="127">
        <v>7.3</v>
      </c>
      <c r="B43" s="130" t="s">
        <v>216</v>
      </c>
      <c r="C43" s="72">
        <v>5223991.1900000069</v>
      </c>
      <c r="D43" s="72">
        <v>6455776.9300000006</v>
      </c>
      <c r="E43" s="73">
        <f t="shared" si="1"/>
        <v>11679768.120000008</v>
      </c>
      <c r="F43" s="72">
        <v>4049597.560000008</v>
      </c>
      <c r="G43" s="72">
        <v>7622047.6300000008</v>
      </c>
      <c r="H43" s="74">
        <f t="shared" si="0"/>
        <v>11671645.190000009</v>
      </c>
      <c r="I43" s="129"/>
      <c r="J43" s="129"/>
    </row>
    <row r="44" spans="1:10" s="20" customFormat="1" ht="25.5" x14ac:dyDescent="0.3">
      <c r="A44" s="127">
        <v>7.4</v>
      </c>
      <c r="B44" s="130" t="s">
        <v>217</v>
      </c>
      <c r="C44" s="72">
        <v>35808965.100000069</v>
      </c>
      <c r="D44" s="72">
        <v>45167548.729999959</v>
      </c>
      <c r="E44" s="73">
        <f t="shared" si="1"/>
        <v>80976513.830000028</v>
      </c>
      <c r="F44" s="72">
        <v>10122970.779999992</v>
      </c>
      <c r="G44" s="72">
        <v>39307146.660000004</v>
      </c>
      <c r="H44" s="74">
        <f t="shared" si="0"/>
        <v>49430117.439999998</v>
      </c>
      <c r="I44" s="403"/>
      <c r="J44" s="129"/>
    </row>
    <row r="45" spans="1:10" s="20" customFormat="1" ht="15.75" x14ac:dyDescent="0.3">
      <c r="A45" s="127">
        <v>8</v>
      </c>
      <c r="B45" s="128" t="s">
        <v>218</v>
      </c>
      <c r="C45" s="72"/>
      <c r="D45" s="72"/>
      <c r="E45" s="73">
        <f t="shared" si="1"/>
        <v>0</v>
      </c>
      <c r="F45" s="72"/>
      <c r="G45" s="72"/>
      <c r="H45" s="74">
        <f t="shared" si="0"/>
        <v>0</v>
      </c>
      <c r="I45" s="129"/>
      <c r="J45" s="129"/>
    </row>
    <row r="46" spans="1:10" s="20" customFormat="1" ht="15.75" x14ac:dyDescent="0.3">
      <c r="A46" s="127">
        <v>8.1</v>
      </c>
      <c r="B46" s="130" t="s">
        <v>219</v>
      </c>
      <c r="C46" s="72"/>
      <c r="D46" s="72"/>
      <c r="E46" s="73">
        <f t="shared" si="1"/>
        <v>0</v>
      </c>
      <c r="F46" s="72"/>
      <c r="G46" s="72"/>
      <c r="H46" s="74">
        <f t="shared" si="0"/>
        <v>0</v>
      </c>
      <c r="I46" s="129"/>
      <c r="J46" s="129"/>
    </row>
    <row r="47" spans="1:10" s="20" customFormat="1" ht="15.75" x14ac:dyDescent="0.3">
      <c r="A47" s="127">
        <v>8.1999999999999993</v>
      </c>
      <c r="B47" s="130" t="s">
        <v>220</v>
      </c>
      <c r="C47" s="72"/>
      <c r="D47" s="72"/>
      <c r="E47" s="73">
        <f t="shared" si="1"/>
        <v>0</v>
      </c>
      <c r="F47" s="72"/>
      <c r="G47" s="72"/>
      <c r="H47" s="74">
        <f t="shared" si="0"/>
        <v>0</v>
      </c>
      <c r="I47" s="129"/>
      <c r="J47" s="129"/>
    </row>
    <row r="48" spans="1:10" s="20" customFormat="1" ht="15.75" x14ac:dyDescent="0.3">
      <c r="A48" s="127">
        <v>8.3000000000000007</v>
      </c>
      <c r="B48" s="130" t="s">
        <v>221</v>
      </c>
      <c r="C48" s="72"/>
      <c r="D48" s="72"/>
      <c r="E48" s="73">
        <f t="shared" si="1"/>
        <v>0</v>
      </c>
      <c r="F48" s="72"/>
      <c r="G48" s="72"/>
      <c r="H48" s="74">
        <f t="shared" si="0"/>
        <v>0</v>
      </c>
      <c r="I48" s="129"/>
      <c r="J48" s="129"/>
    </row>
    <row r="49" spans="1:10" s="20" customFormat="1" ht="15.75" x14ac:dyDescent="0.3">
      <c r="A49" s="127">
        <v>8.4</v>
      </c>
      <c r="B49" s="130" t="s">
        <v>222</v>
      </c>
      <c r="C49" s="72"/>
      <c r="D49" s="72"/>
      <c r="E49" s="73">
        <f t="shared" si="1"/>
        <v>0</v>
      </c>
      <c r="F49" s="72"/>
      <c r="G49" s="72"/>
      <c r="H49" s="74">
        <f t="shared" si="0"/>
        <v>0</v>
      </c>
      <c r="I49" s="129"/>
      <c r="J49" s="129"/>
    </row>
    <row r="50" spans="1:10" s="20" customFormat="1" ht="15.75" x14ac:dyDescent="0.3">
      <c r="A50" s="127">
        <v>8.5</v>
      </c>
      <c r="B50" s="130" t="s">
        <v>223</v>
      </c>
      <c r="C50" s="72"/>
      <c r="D50" s="72"/>
      <c r="E50" s="73">
        <f t="shared" si="1"/>
        <v>0</v>
      </c>
      <c r="F50" s="72"/>
      <c r="G50" s="72"/>
      <c r="H50" s="74">
        <f t="shared" si="0"/>
        <v>0</v>
      </c>
      <c r="I50" s="129"/>
      <c r="J50" s="129"/>
    </row>
    <row r="51" spans="1:10" s="20" customFormat="1" ht="15.75" x14ac:dyDescent="0.3">
      <c r="A51" s="127">
        <v>8.6</v>
      </c>
      <c r="B51" s="130" t="s">
        <v>224</v>
      </c>
      <c r="C51" s="72"/>
      <c r="D51" s="72"/>
      <c r="E51" s="73">
        <f t="shared" si="1"/>
        <v>0</v>
      </c>
      <c r="F51" s="72"/>
      <c r="G51" s="72"/>
      <c r="H51" s="74">
        <f t="shared" si="0"/>
        <v>0</v>
      </c>
      <c r="I51" s="129"/>
      <c r="J51" s="129"/>
    </row>
    <row r="52" spans="1:10" s="20" customFormat="1" ht="15.75" x14ac:dyDescent="0.3">
      <c r="A52" s="127">
        <v>8.6999999999999993</v>
      </c>
      <c r="B52" s="130" t="s">
        <v>225</v>
      </c>
      <c r="C52" s="72"/>
      <c r="D52" s="72"/>
      <c r="E52" s="73">
        <f t="shared" si="1"/>
        <v>0</v>
      </c>
      <c r="F52" s="72"/>
      <c r="G52" s="72"/>
      <c r="H52" s="74">
        <f t="shared" si="0"/>
        <v>0</v>
      </c>
      <c r="I52" s="129"/>
      <c r="J52" s="129"/>
    </row>
    <row r="53" spans="1:10" s="20" customFormat="1" ht="26.25" thickBot="1" x14ac:dyDescent="0.35">
      <c r="A53" s="133">
        <v>9</v>
      </c>
      <c r="B53" s="134" t="s">
        <v>226</v>
      </c>
      <c r="C53" s="135"/>
      <c r="D53" s="135"/>
      <c r="E53" s="83">
        <f t="shared" si="1"/>
        <v>0</v>
      </c>
      <c r="F53" s="135"/>
      <c r="G53" s="135"/>
      <c r="H53" s="84">
        <f t="shared" si="0"/>
        <v>0</v>
      </c>
      <c r="I53" s="129"/>
      <c r="J53" s="129"/>
    </row>
    <row r="54" spans="1:10" ht="39" x14ac:dyDescent="0.25">
      <c r="B54" s="401" t="s">
        <v>429</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sheetPr>
  <dimension ref="A1:H21"/>
  <sheetViews>
    <sheetView zoomScaleNormal="100" workbookViewId="0">
      <pane xSplit="1" ySplit="4" topLeftCell="B5" activePane="bottomRight" state="frozen"/>
      <selection activeCell="B8" sqref="B8"/>
      <selection pane="topRight" activeCell="B8" sqref="B8"/>
      <selection pane="bottomLeft" activeCell="B8" sqref="B8"/>
      <selection pane="bottomRight" activeCell="C7" sqref="C7:D13"/>
    </sheetView>
  </sheetViews>
  <sheetFormatPr defaultColWidth="9.140625" defaultRowHeight="12.75" x14ac:dyDescent="0.2"/>
  <cols>
    <col min="1" max="1" width="9.5703125" style="21" bestFit="1" customWidth="1"/>
    <col min="2" max="2" width="93.5703125" style="21" customWidth="1"/>
    <col min="3" max="4" width="12.7109375" style="21" customWidth="1"/>
    <col min="5" max="11" width="9.7109375" style="106" customWidth="1"/>
    <col min="12" max="16384" width="9.140625" style="106"/>
  </cols>
  <sheetData>
    <row r="1" spans="1:8" ht="15" x14ac:dyDescent="0.3">
      <c r="A1" s="22" t="s">
        <v>31</v>
      </c>
      <c r="B1" s="21" t="str">
        <f>'1. key ratios'!B1</f>
        <v>სს ტერაბანკი</v>
      </c>
      <c r="C1" s="23"/>
    </row>
    <row r="2" spans="1:8" ht="15" x14ac:dyDescent="0.3">
      <c r="A2" s="22" t="s">
        <v>33</v>
      </c>
      <c r="B2" s="60">
        <f>'1. key ratios'!B2</f>
        <v>42916</v>
      </c>
      <c r="C2" s="25"/>
      <c r="D2" s="26"/>
      <c r="E2" s="136"/>
      <c r="F2" s="136"/>
      <c r="G2" s="136"/>
      <c r="H2" s="136"/>
    </row>
    <row r="3" spans="1:8" ht="15" x14ac:dyDescent="0.3">
      <c r="A3" s="22"/>
      <c r="B3" s="23"/>
      <c r="C3" s="25"/>
      <c r="D3" s="26"/>
      <c r="E3" s="136"/>
      <c r="F3" s="136"/>
      <c r="G3" s="136"/>
      <c r="H3" s="136"/>
    </row>
    <row r="4" spans="1:8" ht="15" customHeight="1" thickBot="1" x14ac:dyDescent="0.35">
      <c r="A4" s="137" t="s">
        <v>227</v>
      </c>
      <c r="B4" s="138" t="s">
        <v>16</v>
      </c>
      <c r="C4" s="137"/>
      <c r="D4" s="139" t="s">
        <v>73</v>
      </c>
    </row>
    <row r="5" spans="1:8" ht="15" customHeight="1" x14ac:dyDescent="0.2">
      <c r="A5" s="140" t="s">
        <v>35</v>
      </c>
      <c r="B5" s="141"/>
      <c r="C5" s="142" t="s">
        <v>36</v>
      </c>
      <c r="D5" s="143" t="s">
        <v>37</v>
      </c>
    </row>
    <row r="6" spans="1:8" ht="15" customHeight="1" x14ac:dyDescent="0.2">
      <c r="A6" s="144">
        <v>1</v>
      </c>
      <c r="B6" s="145" t="s">
        <v>228</v>
      </c>
      <c r="C6" s="146">
        <f>C7+C9+C10+C11</f>
        <v>711222333.25550759</v>
      </c>
      <c r="D6" s="147">
        <f>D7+D9+D10+D11</f>
        <v>679492035.55813479</v>
      </c>
    </row>
    <row r="7" spans="1:8" ht="15" customHeight="1" x14ac:dyDescent="0.2">
      <c r="A7" s="144">
        <v>1.1000000000000001</v>
      </c>
      <c r="B7" s="148" t="s">
        <v>229</v>
      </c>
      <c r="C7" s="149">
        <v>506542791.25123346</v>
      </c>
      <c r="D7" s="149">
        <v>478917707.55568981</v>
      </c>
    </row>
    <row r="8" spans="1:8" ht="25.5" x14ac:dyDescent="0.2">
      <c r="A8" s="144" t="s">
        <v>230</v>
      </c>
      <c r="B8" s="150" t="s">
        <v>231</v>
      </c>
      <c r="C8" s="151">
        <v>2538</v>
      </c>
      <c r="D8" s="151">
        <v>2538</v>
      </c>
    </row>
    <row r="9" spans="1:8" ht="15" customHeight="1" x14ac:dyDescent="0.2">
      <c r="A9" s="144">
        <v>1.2</v>
      </c>
      <c r="B9" s="148" t="s">
        <v>232</v>
      </c>
      <c r="C9" s="149">
        <v>13384131.430499999</v>
      </c>
      <c r="D9" s="149">
        <v>11712056.592870003</v>
      </c>
    </row>
    <row r="10" spans="1:8" ht="15" customHeight="1" x14ac:dyDescent="0.2">
      <c r="A10" s="144">
        <v>1.3</v>
      </c>
      <c r="B10" s="148" t="s">
        <v>233</v>
      </c>
      <c r="C10" s="151">
        <v>190948244.18977422</v>
      </c>
      <c r="D10" s="151">
        <v>188217574.2513749</v>
      </c>
    </row>
    <row r="11" spans="1:8" ht="15" customHeight="1" x14ac:dyDescent="0.2">
      <c r="A11" s="144">
        <v>1.4</v>
      </c>
      <c r="B11" s="152" t="s">
        <v>26</v>
      </c>
      <c r="C11" s="151">
        <v>347166.38400000002</v>
      </c>
      <c r="D11" s="151">
        <v>644697.15820000006</v>
      </c>
    </row>
    <row r="12" spans="1:8" ht="15" customHeight="1" x14ac:dyDescent="0.2">
      <c r="A12" s="144">
        <v>2</v>
      </c>
      <c r="B12" s="145" t="s">
        <v>234</v>
      </c>
      <c r="C12" s="149">
        <v>17568663.120000046</v>
      </c>
      <c r="D12" s="149">
        <v>19758400.329999931</v>
      </c>
    </row>
    <row r="13" spans="1:8" ht="15" customHeight="1" x14ac:dyDescent="0.2">
      <c r="A13" s="144">
        <v>3</v>
      </c>
      <c r="B13" s="145" t="s">
        <v>235</v>
      </c>
      <c r="C13" s="151">
        <v>45604372.038095236</v>
      </c>
      <c r="D13" s="151">
        <v>45604372.038095236</v>
      </c>
    </row>
    <row r="14" spans="1:8" ht="15" customHeight="1" thickBot="1" x14ac:dyDescent="0.25">
      <c r="A14" s="153">
        <v>4</v>
      </c>
      <c r="B14" s="154" t="s">
        <v>236</v>
      </c>
      <c r="C14" s="155">
        <f>C6+C12+C13</f>
        <v>774395368.41360283</v>
      </c>
      <c r="D14" s="156">
        <f>D6+D12+D13</f>
        <v>744854807.92622995</v>
      </c>
    </row>
    <row r="15" spans="1:8" ht="15" customHeight="1" x14ac:dyDescent="0.2">
      <c r="A15" s="157"/>
      <c r="B15" s="158"/>
      <c r="C15" s="159"/>
      <c r="D15" s="159"/>
    </row>
    <row r="16" spans="1:8" x14ac:dyDescent="0.2">
      <c r="B16" s="160"/>
    </row>
    <row r="17" spans="2:2" x14ac:dyDescent="0.2">
      <c r="B17" s="161"/>
    </row>
    <row r="18" spans="2:2" x14ac:dyDescent="0.2">
      <c r="B18" s="161"/>
    </row>
    <row r="19" spans="2:2" x14ac:dyDescent="0.2">
      <c r="B19" s="161"/>
    </row>
    <row r="20" spans="2:2" x14ac:dyDescent="0.2">
      <c r="B20" s="161"/>
    </row>
    <row r="21" spans="2:2" x14ac:dyDescent="0.2">
      <c r="B21" s="16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sheetPr>
  <dimension ref="A1:C30"/>
  <sheetViews>
    <sheetView zoomScaleNormal="100" workbookViewId="0">
      <pane xSplit="1" ySplit="4" topLeftCell="B5" activePane="bottomRight" state="frozen"/>
      <selection activeCell="B8" sqref="B8"/>
      <selection pane="topRight" activeCell="B8" sqref="B8"/>
      <selection pane="bottomLeft" activeCell="B8" sqref="B8"/>
      <selection pane="bottomRight" activeCell="F20" sqref="F20"/>
    </sheetView>
  </sheetViews>
  <sheetFormatPr defaultRowHeight="15" x14ac:dyDescent="0.25"/>
  <cols>
    <col min="1" max="1" width="9.5703125" style="21" bestFit="1" customWidth="1"/>
    <col min="2" max="2" width="89.28515625" style="21" customWidth="1"/>
    <col min="3" max="3" width="9.140625" style="21"/>
  </cols>
  <sheetData>
    <row r="1" spans="1:3" x14ac:dyDescent="0.25">
      <c r="A1" s="21" t="s">
        <v>31</v>
      </c>
      <c r="B1" s="21" t="str">
        <f>'1. key ratios'!B1</f>
        <v>სს ტერაბანკი</v>
      </c>
    </row>
    <row r="2" spans="1:3" x14ac:dyDescent="0.25">
      <c r="A2" s="21" t="s">
        <v>33</v>
      </c>
      <c r="B2" s="60">
        <f>'1. key ratios'!B2</f>
        <v>42916</v>
      </c>
    </row>
    <row r="4" spans="1:3" ht="16.5" customHeight="1" thickBot="1" x14ac:dyDescent="0.35">
      <c r="A4" s="162" t="s">
        <v>237</v>
      </c>
      <c r="B4" s="163" t="s">
        <v>17</v>
      </c>
      <c r="C4" s="164"/>
    </row>
    <row r="5" spans="1:3" ht="15.75" x14ac:dyDescent="0.3">
      <c r="A5" s="165"/>
      <c r="B5" s="416" t="s">
        <v>238</v>
      </c>
      <c r="C5" s="417"/>
    </row>
    <row r="6" spans="1:3" x14ac:dyDescent="0.25">
      <c r="A6" s="166">
        <v>1</v>
      </c>
      <c r="B6" s="167" t="s">
        <v>239</v>
      </c>
      <c r="C6" s="168"/>
    </row>
    <row r="7" spans="1:3" x14ac:dyDescent="0.25">
      <c r="A7" s="166">
        <v>2</v>
      </c>
      <c r="B7" s="167" t="s">
        <v>240</v>
      </c>
      <c r="C7" s="168"/>
    </row>
    <row r="8" spans="1:3" x14ac:dyDescent="0.25">
      <c r="A8" s="166">
        <v>3</v>
      </c>
      <c r="B8" s="167" t="s">
        <v>241</v>
      </c>
      <c r="C8" s="168"/>
    </row>
    <row r="9" spans="1:3" x14ac:dyDescent="0.25">
      <c r="A9" s="166">
        <v>4</v>
      </c>
      <c r="B9" s="167" t="s">
        <v>430</v>
      </c>
      <c r="C9" s="168"/>
    </row>
    <row r="10" spans="1:3" x14ac:dyDescent="0.25">
      <c r="A10" s="166"/>
      <c r="B10" s="418"/>
      <c r="C10" s="419"/>
    </row>
    <row r="11" spans="1:3" ht="15.75" x14ac:dyDescent="0.3">
      <c r="A11" s="166"/>
      <c r="B11" s="420" t="s">
        <v>242</v>
      </c>
      <c r="C11" s="421"/>
    </row>
    <row r="12" spans="1:3" ht="15.75" x14ac:dyDescent="0.3">
      <c r="A12" s="166">
        <v>1</v>
      </c>
      <c r="B12" s="169" t="s">
        <v>6</v>
      </c>
      <c r="C12" s="170"/>
    </row>
    <row r="13" spans="1:3" ht="15.75" x14ac:dyDescent="0.3">
      <c r="A13" s="166">
        <v>2</v>
      </c>
      <c r="B13" s="169" t="s">
        <v>243</v>
      </c>
      <c r="C13" s="170"/>
    </row>
    <row r="14" spans="1:3" ht="15.75" x14ac:dyDescent="0.3">
      <c r="A14" s="166">
        <v>3</v>
      </c>
      <c r="B14" s="169" t="s">
        <v>244</v>
      </c>
      <c r="C14" s="170"/>
    </row>
    <row r="15" spans="1:3" ht="15.75" x14ac:dyDescent="0.3">
      <c r="A15" s="166">
        <v>4</v>
      </c>
      <c r="B15" s="169" t="s">
        <v>245</v>
      </c>
      <c r="C15" s="170"/>
    </row>
    <row r="16" spans="1:3" ht="15.75" x14ac:dyDescent="0.3">
      <c r="A16" s="166">
        <v>5</v>
      </c>
      <c r="B16" s="169" t="s">
        <v>246</v>
      </c>
      <c r="C16" s="170"/>
    </row>
    <row r="17" spans="1:3" ht="15.75" customHeight="1" x14ac:dyDescent="0.3">
      <c r="A17" s="166"/>
      <c r="B17" s="169"/>
      <c r="C17" s="171"/>
    </row>
    <row r="18" spans="1:3" ht="30" customHeight="1" x14ac:dyDescent="0.25">
      <c r="A18" s="166"/>
      <c r="B18" s="422" t="s">
        <v>247</v>
      </c>
      <c r="C18" s="423"/>
    </row>
    <row r="19" spans="1:3" x14ac:dyDescent="0.25">
      <c r="A19" s="166">
        <v>1</v>
      </c>
      <c r="B19" s="167" t="s">
        <v>4</v>
      </c>
      <c r="C19" s="172">
        <v>0.45</v>
      </c>
    </row>
    <row r="20" spans="1:3" x14ac:dyDescent="0.25">
      <c r="A20" s="166">
        <v>2</v>
      </c>
      <c r="B20" s="167" t="s">
        <v>248</v>
      </c>
      <c r="C20" s="172">
        <v>0.2</v>
      </c>
    </row>
    <row r="21" spans="1:3" x14ac:dyDescent="0.25">
      <c r="A21" s="166">
        <v>3</v>
      </c>
      <c r="B21" s="167" t="s">
        <v>249</v>
      </c>
      <c r="C21" s="172">
        <v>0.15</v>
      </c>
    </row>
    <row r="22" spans="1:3" x14ac:dyDescent="0.25">
      <c r="A22" s="166">
        <v>4</v>
      </c>
      <c r="B22" s="167" t="s">
        <v>250</v>
      </c>
      <c r="C22" s="172">
        <v>0.15</v>
      </c>
    </row>
    <row r="23" spans="1:3" x14ac:dyDescent="0.25">
      <c r="A23" s="166">
        <v>5</v>
      </c>
      <c r="B23" s="167" t="s">
        <v>251</v>
      </c>
      <c r="C23" s="172">
        <v>0.05</v>
      </c>
    </row>
    <row r="24" spans="1:3" ht="15.75" customHeight="1" x14ac:dyDescent="0.25">
      <c r="A24" s="166"/>
      <c r="B24" s="167"/>
      <c r="C24" s="168"/>
    </row>
    <row r="25" spans="1:3" ht="29.25" customHeight="1" x14ac:dyDescent="0.25">
      <c r="A25" s="166"/>
      <c r="B25" s="422" t="s">
        <v>252</v>
      </c>
      <c r="C25" s="423"/>
    </row>
    <row r="26" spans="1:3" x14ac:dyDescent="0.25">
      <c r="A26" s="166">
        <v>1</v>
      </c>
      <c r="B26" s="167" t="s">
        <v>4</v>
      </c>
      <c r="C26" s="172">
        <v>0.45</v>
      </c>
    </row>
    <row r="27" spans="1:3" x14ac:dyDescent="0.25">
      <c r="A27" s="173">
        <v>2</v>
      </c>
      <c r="B27" s="174" t="s">
        <v>248</v>
      </c>
      <c r="C27" s="175">
        <v>0.2</v>
      </c>
    </row>
    <row r="28" spans="1:3" x14ac:dyDescent="0.25">
      <c r="A28" s="173">
        <v>3</v>
      </c>
      <c r="B28" s="174" t="s">
        <v>249</v>
      </c>
      <c r="C28" s="175">
        <v>0.15</v>
      </c>
    </row>
    <row r="29" spans="1:3" x14ac:dyDescent="0.25">
      <c r="A29" s="173">
        <v>4</v>
      </c>
      <c r="B29" s="174" t="s">
        <v>250</v>
      </c>
      <c r="C29" s="175">
        <v>0.15</v>
      </c>
    </row>
    <row r="30" spans="1:3" ht="16.5" thickBot="1" x14ac:dyDescent="0.35">
      <c r="A30" s="176"/>
      <c r="B30" s="177"/>
      <c r="C30" s="178"/>
    </row>
  </sheetData>
  <mergeCells count="5">
    <mergeCell ref="B5:C5"/>
    <mergeCell ref="B10:C10"/>
    <mergeCell ref="B11:C11"/>
    <mergeCell ref="B18:C18"/>
    <mergeCell ref="B25:C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sheetPr>
  <dimension ref="A1:G27"/>
  <sheetViews>
    <sheetView zoomScaleNormal="100" workbookViewId="0">
      <selection activeCell="C8" sqref="C8:G20"/>
    </sheetView>
  </sheetViews>
  <sheetFormatPr defaultRowHeight="15" x14ac:dyDescent="0.25"/>
  <cols>
    <col min="1" max="1" width="9.5703125" style="21" bestFit="1" customWidth="1"/>
    <col min="2" max="2" width="47.5703125" style="21" customWidth="1"/>
    <col min="3" max="3" width="28" style="21" customWidth="1"/>
    <col min="4" max="4" width="22.42578125" style="21" customWidth="1"/>
    <col min="5" max="5" width="18.85546875" style="21" customWidth="1"/>
    <col min="6" max="6" width="25.42578125" style="21" customWidth="1"/>
    <col min="7" max="7" width="21.28515625" customWidth="1"/>
  </cols>
  <sheetData>
    <row r="1" spans="1:7" ht="15.75" x14ac:dyDescent="0.3">
      <c r="A1" s="22" t="s">
        <v>31</v>
      </c>
      <c r="B1" s="21" t="str">
        <f>'1. key ratios'!B1</f>
        <v>სს ტერაბანკი</v>
      </c>
    </row>
    <row r="2" spans="1:7" s="179" customFormat="1" ht="15.75" customHeight="1" x14ac:dyDescent="0.3">
      <c r="A2" s="179" t="s">
        <v>33</v>
      </c>
      <c r="B2" s="60">
        <f>'1. key ratios'!B2</f>
        <v>42916</v>
      </c>
    </row>
    <row r="3" spans="1:7" s="179" customFormat="1" ht="15.75" customHeight="1" x14ac:dyDescent="0.3"/>
    <row r="4" spans="1:7" s="179" customFormat="1" ht="15.75" customHeight="1" thickBot="1" x14ac:dyDescent="0.35">
      <c r="A4" s="180" t="s">
        <v>253</v>
      </c>
      <c r="B4" s="181" t="s">
        <v>18</v>
      </c>
      <c r="C4" s="182"/>
      <c r="D4" s="182"/>
      <c r="E4" s="182"/>
      <c r="F4" s="182"/>
      <c r="G4" s="183" t="s">
        <v>73</v>
      </c>
    </row>
    <row r="5" spans="1:7" s="187" customFormat="1" ht="17.45" customHeight="1" x14ac:dyDescent="0.25">
      <c r="A5" s="184"/>
      <c r="B5" s="184"/>
      <c r="C5" s="185" t="s">
        <v>254</v>
      </c>
      <c r="D5" s="185" t="s">
        <v>255</v>
      </c>
      <c r="E5" s="185" t="s">
        <v>256</v>
      </c>
      <c r="F5" s="185" t="s">
        <v>257</v>
      </c>
      <c r="G5" s="186" t="s">
        <v>258</v>
      </c>
    </row>
    <row r="6" spans="1:7" s="189" customFormat="1" ht="14.45" customHeight="1" x14ac:dyDescent="0.25">
      <c r="A6" s="188"/>
      <c r="B6" s="424" t="s">
        <v>259</v>
      </c>
      <c r="C6" s="424" t="s">
        <v>260</v>
      </c>
      <c r="D6" s="425" t="s">
        <v>261</v>
      </c>
      <c r="E6" s="426"/>
      <c r="F6" s="426"/>
      <c r="G6" s="427" t="s">
        <v>262</v>
      </c>
    </row>
    <row r="7" spans="1:7" s="189" customFormat="1" ht="99.6" customHeight="1" x14ac:dyDescent="0.25">
      <c r="A7" s="188"/>
      <c r="B7" s="424"/>
      <c r="C7" s="424"/>
      <c r="D7" s="35" t="s">
        <v>263</v>
      </c>
      <c r="E7" s="35" t="s">
        <v>264</v>
      </c>
      <c r="F7" s="190" t="s">
        <v>265</v>
      </c>
      <c r="G7" s="428"/>
    </row>
    <row r="8" spans="1:7" x14ac:dyDescent="0.25">
      <c r="A8" s="188"/>
      <c r="B8" s="191" t="s">
        <v>80</v>
      </c>
      <c r="C8" s="192">
        <f>'2. RC'!E7</f>
        <v>26358553.060000002</v>
      </c>
      <c r="D8" s="192"/>
      <c r="E8" s="192">
        <f>C8-D8</f>
        <v>26358553.060000002</v>
      </c>
      <c r="F8" s="192">
        <v>11476.92</v>
      </c>
      <c r="G8" s="192">
        <f>E8+F8</f>
        <v>26370029.980000004</v>
      </c>
    </row>
    <row r="9" spans="1:7" x14ac:dyDescent="0.25">
      <c r="A9" s="188"/>
      <c r="B9" s="191" t="s">
        <v>81</v>
      </c>
      <c r="C9" s="192">
        <f>'2. RC'!E8</f>
        <v>93901763.379999995</v>
      </c>
      <c r="D9" s="192"/>
      <c r="E9" s="192">
        <f t="shared" ref="E9:E20" si="0">C9-D9</f>
        <v>93901763.379999995</v>
      </c>
      <c r="F9" s="192">
        <v>0</v>
      </c>
      <c r="G9" s="192">
        <f>F9+E9</f>
        <v>93901763.379999995</v>
      </c>
    </row>
    <row r="10" spans="1:7" x14ac:dyDescent="0.25">
      <c r="A10" s="188"/>
      <c r="B10" s="191" t="s">
        <v>266</v>
      </c>
      <c r="C10" s="192">
        <f>'2. RC'!E9</f>
        <v>26802457.419999998</v>
      </c>
      <c r="D10" s="192"/>
      <c r="E10" s="192">
        <f t="shared" si="0"/>
        <v>26802457.419999998</v>
      </c>
      <c r="F10" s="192">
        <v>0</v>
      </c>
      <c r="G10" s="192">
        <f t="shared" ref="G10:G20" si="1">E10+F10</f>
        <v>26802457.419999998</v>
      </c>
    </row>
    <row r="11" spans="1:7" ht="25.5" x14ac:dyDescent="0.25">
      <c r="A11" s="188"/>
      <c r="B11" s="191" t="s">
        <v>83</v>
      </c>
      <c r="C11" s="192">
        <f>'2. RC'!E10</f>
        <v>0</v>
      </c>
      <c r="D11" s="192"/>
      <c r="E11" s="192">
        <f t="shared" si="0"/>
        <v>0</v>
      </c>
      <c r="F11" s="192">
        <v>0</v>
      </c>
      <c r="G11" s="192">
        <f t="shared" si="1"/>
        <v>0</v>
      </c>
    </row>
    <row r="12" spans="1:7" x14ac:dyDescent="0.25">
      <c r="A12" s="188"/>
      <c r="B12" s="191" t="s">
        <v>84</v>
      </c>
      <c r="C12" s="192">
        <f>'2. RC'!E11</f>
        <v>39835771.289999999</v>
      </c>
      <c r="D12" s="192"/>
      <c r="E12" s="192">
        <f t="shared" si="0"/>
        <v>39835771.289999999</v>
      </c>
      <c r="F12" s="192">
        <v>0</v>
      </c>
      <c r="G12" s="192">
        <f t="shared" si="1"/>
        <v>39835771.289999999</v>
      </c>
    </row>
    <row r="13" spans="1:7" x14ac:dyDescent="0.25">
      <c r="A13" s="188"/>
      <c r="B13" s="191" t="s">
        <v>85</v>
      </c>
      <c r="C13" s="192">
        <f>'2. RC'!E12</f>
        <v>486266288.5399996</v>
      </c>
      <c r="D13" s="192"/>
      <c r="E13" s="192">
        <f t="shared" si="0"/>
        <v>486266288.5399996</v>
      </c>
      <c r="F13" s="192">
        <v>289040985.75999993</v>
      </c>
      <c r="G13" s="192">
        <f t="shared" si="1"/>
        <v>775307274.29999948</v>
      </c>
    </row>
    <row r="14" spans="1:7" x14ac:dyDescent="0.25">
      <c r="A14" s="188"/>
      <c r="B14" s="193" t="s">
        <v>86</v>
      </c>
      <c r="C14" s="194">
        <f>'2. RC'!E13</f>
        <v>-38790210.420000315</v>
      </c>
      <c r="D14" s="194"/>
      <c r="E14" s="194">
        <f t="shared" si="0"/>
        <v>-38790210.420000315</v>
      </c>
      <c r="F14" s="194">
        <v>-22041102.39000129</v>
      </c>
      <c r="G14" s="194">
        <f t="shared" si="1"/>
        <v>-60831312.810001604</v>
      </c>
    </row>
    <row r="15" spans="1:7" x14ac:dyDescent="0.25">
      <c r="A15" s="188"/>
      <c r="B15" s="191" t="s">
        <v>267</v>
      </c>
      <c r="C15" s="192">
        <f>'2. RC'!E14</f>
        <v>447476078.11999929</v>
      </c>
      <c r="D15" s="192"/>
      <c r="E15" s="192">
        <f t="shared" si="0"/>
        <v>447476078.11999929</v>
      </c>
      <c r="F15" s="192">
        <f>F13+F14</f>
        <v>266999883.36999863</v>
      </c>
      <c r="G15" s="192">
        <f t="shared" si="1"/>
        <v>714475961.48999786</v>
      </c>
    </row>
    <row r="16" spans="1:7" ht="25.5" x14ac:dyDescent="0.25">
      <c r="A16" s="188"/>
      <c r="B16" s="191" t="s">
        <v>88</v>
      </c>
      <c r="C16" s="192">
        <f>'2. RC'!E15</f>
        <v>4648535.79</v>
      </c>
      <c r="D16" s="192"/>
      <c r="E16" s="192">
        <f t="shared" si="0"/>
        <v>4648535.79</v>
      </c>
      <c r="F16" s="192">
        <v>1913908.5999999999</v>
      </c>
      <c r="G16" s="192">
        <f t="shared" si="1"/>
        <v>6562444.3899999997</v>
      </c>
    </row>
    <row r="17" spans="1:7" x14ac:dyDescent="0.25">
      <c r="A17" s="188"/>
      <c r="B17" s="191" t="s">
        <v>89</v>
      </c>
      <c r="C17" s="192">
        <f>'2. RC'!E16</f>
        <v>10585519.940000001</v>
      </c>
      <c r="D17" s="192"/>
      <c r="E17" s="192">
        <f t="shared" si="0"/>
        <v>10585519.940000001</v>
      </c>
      <c r="F17" s="192">
        <v>0</v>
      </c>
      <c r="G17" s="192">
        <f t="shared" si="1"/>
        <v>10585519.940000001</v>
      </c>
    </row>
    <row r="18" spans="1:7" x14ac:dyDescent="0.25">
      <c r="A18" s="188"/>
      <c r="B18" s="191" t="s">
        <v>90</v>
      </c>
      <c r="C18" s="192">
        <f>'2. RC'!E17</f>
        <v>2538</v>
      </c>
      <c r="D18" s="192"/>
      <c r="E18" s="192">
        <f t="shared" si="0"/>
        <v>2538</v>
      </c>
      <c r="F18" s="192"/>
      <c r="G18" s="192">
        <f t="shared" si="1"/>
        <v>2538</v>
      </c>
    </row>
    <row r="19" spans="1:7" ht="25.5" x14ac:dyDescent="0.25">
      <c r="A19" s="188"/>
      <c r="B19" s="191" t="s">
        <v>91</v>
      </c>
      <c r="C19" s="192">
        <f>'2. RC'!E18</f>
        <v>45676191.169999994</v>
      </c>
      <c r="D19" s="192">
        <f>'9. Capital'!C15</f>
        <v>29466340</v>
      </c>
      <c r="E19" s="192">
        <f t="shared" si="0"/>
        <v>16209851.169999994</v>
      </c>
      <c r="F19" s="192">
        <v>0</v>
      </c>
      <c r="G19" s="192">
        <f t="shared" si="1"/>
        <v>16209851.169999994</v>
      </c>
    </row>
    <row r="20" spans="1:7" x14ac:dyDescent="0.25">
      <c r="A20" s="188"/>
      <c r="B20" s="191" t="s">
        <v>92</v>
      </c>
      <c r="C20" s="192">
        <f>'2. RC'!E19</f>
        <v>4509235.0100000184</v>
      </c>
      <c r="D20" s="192"/>
      <c r="E20" s="192">
        <f t="shared" si="0"/>
        <v>4509235.0100000184</v>
      </c>
      <c r="F20" s="192">
        <v>1936300.5200000107</v>
      </c>
      <c r="G20" s="192">
        <f t="shared" si="1"/>
        <v>6445535.5300000291</v>
      </c>
    </row>
    <row r="21" spans="1:7" ht="51.75" thickBot="1" x14ac:dyDescent="0.3">
      <c r="A21" s="195"/>
      <c r="B21" s="196" t="s">
        <v>268</v>
      </c>
      <c r="C21" s="197">
        <f>SUM(C8:C12)+SUM(C15:C20)</f>
        <v>699796643.17999935</v>
      </c>
      <c r="D21" s="197">
        <f>SUM(D8:D12)+SUM(D15:D20)</f>
        <v>29466340</v>
      </c>
      <c r="E21" s="197">
        <f>SUM(E8:E12)+SUM(E15:E20)</f>
        <v>670330303.17999935</v>
      </c>
      <c r="F21" s="197">
        <f>SUM(F8:F12)+SUM(F15:F20)</f>
        <v>270861569.40999871</v>
      </c>
      <c r="G21" s="197">
        <f>SUM(G8:G12)+SUM(G15:G20)</f>
        <v>941191872.58999777</v>
      </c>
    </row>
    <row r="22" spans="1:7" s="21" customFormat="1" x14ac:dyDescent="0.25">
      <c r="B22" s="199"/>
      <c r="G22"/>
    </row>
    <row r="23" spans="1:7" s="21" customFormat="1" x14ac:dyDescent="0.25">
      <c r="B23" s="199"/>
      <c r="G23"/>
    </row>
    <row r="24" spans="1:7" s="21" customFormat="1" x14ac:dyDescent="0.25">
      <c r="B24" s="199"/>
      <c r="G24"/>
    </row>
    <row r="25" spans="1:7" s="21" customFormat="1" x14ac:dyDescent="0.25">
      <c r="B25" s="199"/>
      <c r="G25"/>
    </row>
    <row r="26" spans="1:7" s="21" customFormat="1" x14ac:dyDescent="0.25">
      <c r="B26" s="199"/>
      <c r="G26"/>
    </row>
    <row r="27" spans="1:7" s="21" customFormat="1" x14ac:dyDescent="0.25">
      <c r="B27" s="199"/>
      <c r="G2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sheetPr>
  <dimension ref="A1:G27"/>
  <sheetViews>
    <sheetView zoomScaleNormal="100" workbookViewId="0">
      <pane xSplit="1" ySplit="4" topLeftCell="B5" activePane="bottomRight" state="frozen"/>
      <selection activeCell="B8" sqref="B8"/>
      <selection pane="topRight" activeCell="B8" sqref="B8"/>
      <selection pane="bottomLeft" activeCell="B8" sqref="B8"/>
      <selection pane="bottomRight" activeCell="C9" sqref="C9:C12"/>
    </sheetView>
  </sheetViews>
  <sheetFormatPr defaultRowHeight="15" outlineLevelRow="1" x14ac:dyDescent="0.25"/>
  <cols>
    <col min="1" max="1" width="9.5703125" style="21" bestFit="1" customWidth="1"/>
    <col min="2" max="2" width="114.28515625" style="21" customWidth="1"/>
    <col min="3" max="3" width="18.85546875" customWidth="1"/>
    <col min="4" max="4" width="24" customWidth="1"/>
    <col min="5" max="5" width="10" bestFit="1" customWidth="1"/>
    <col min="6" max="6" width="12" bestFit="1" customWidth="1"/>
    <col min="7" max="7" width="12.5703125" bestFit="1" customWidth="1"/>
  </cols>
  <sheetData>
    <row r="1" spans="1:7" ht="15.75" x14ac:dyDescent="0.3">
      <c r="A1" s="22" t="s">
        <v>31</v>
      </c>
      <c r="B1" s="21" t="str">
        <f>'1. key ratios'!B1</f>
        <v>სს ტერაბანკი</v>
      </c>
    </row>
    <row r="2" spans="1:7" s="179" customFormat="1" ht="15.75" customHeight="1" x14ac:dyDescent="0.3">
      <c r="A2" s="179" t="s">
        <v>33</v>
      </c>
      <c r="B2" s="60">
        <f>'1. key ratios'!B2</f>
        <v>42916</v>
      </c>
      <c r="C2"/>
      <c r="D2"/>
    </row>
    <row r="3" spans="1:7" s="179" customFormat="1" ht="15.75" customHeight="1" x14ac:dyDescent="0.3">
      <c r="C3"/>
      <c r="D3"/>
    </row>
    <row r="4" spans="1:7" s="179" customFormat="1" ht="26.25" thickBot="1" x14ac:dyDescent="0.35">
      <c r="A4" s="179" t="s">
        <v>269</v>
      </c>
      <c r="B4" s="201" t="s">
        <v>19</v>
      </c>
      <c r="C4" s="183" t="s">
        <v>73</v>
      </c>
      <c r="D4"/>
    </row>
    <row r="5" spans="1:7" ht="26.25" x14ac:dyDescent="0.25">
      <c r="A5" s="202">
        <v>1</v>
      </c>
      <c r="B5" s="203" t="s">
        <v>262</v>
      </c>
      <c r="C5" s="204">
        <f>'7. LI1'!G21</f>
        <v>941191872.58999777</v>
      </c>
    </row>
    <row r="6" spans="1:7" s="15" customFormat="1" x14ac:dyDescent="0.25">
      <c r="A6" s="205">
        <v>2.1</v>
      </c>
      <c r="B6" s="206" t="s">
        <v>270</v>
      </c>
      <c r="C6" s="207">
        <v>50709553.180000015</v>
      </c>
    </row>
    <row r="7" spans="1:7" s="211" customFormat="1" ht="25.5" outlineLevel="1" x14ac:dyDescent="0.25">
      <c r="A7" s="208">
        <v>2.2000000000000002</v>
      </c>
      <c r="B7" s="209" t="s">
        <v>271</v>
      </c>
      <c r="C7" s="210">
        <v>17358319.199999999</v>
      </c>
    </row>
    <row r="8" spans="1:7" s="211" customFormat="1" ht="26.25" x14ac:dyDescent="0.25">
      <c r="A8" s="208">
        <v>3</v>
      </c>
      <c r="B8" s="212" t="s">
        <v>272</v>
      </c>
      <c r="C8" s="213">
        <f>SUM(C5:C7)</f>
        <v>1009259744.9699979</v>
      </c>
    </row>
    <row r="9" spans="1:7" s="15" customFormat="1" x14ac:dyDescent="0.25">
      <c r="A9" s="205">
        <v>4</v>
      </c>
      <c r="B9" s="214" t="s">
        <v>273</v>
      </c>
      <c r="C9" s="210">
        <v>13140172.750000153</v>
      </c>
    </row>
    <row r="10" spans="1:7" s="211" customFormat="1" ht="25.5" outlineLevel="1" x14ac:dyDescent="0.25">
      <c r="A10" s="208">
        <v>5.0999999999999996</v>
      </c>
      <c r="B10" s="209" t="s">
        <v>274</v>
      </c>
      <c r="C10" s="402">
        <v>-24272878.157000016</v>
      </c>
    </row>
    <row r="11" spans="1:7" s="211" customFormat="1" ht="25.5" outlineLevel="1" x14ac:dyDescent="0.25">
      <c r="A11" s="208">
        <v>5.2</v>
      </c>
      <c r="B11" s="209" t="s">
        <v>275</v>
      </c>
      <c r="C11" s="402">
        <f>-(C7-'15. CCR'!N21)</f>
        <v>-17011152.816</v>
      </c>
    </row>
    <row r="12" spans="1:7" s="211" customFormat="1" x14ac:dyDescent="0.25">
      <c r="A12" s="208">
        <v>6</v>
      </c>
      <c r="B12" s="215" t="s">
        <v>276</v>
      </c>
      <c r="C12" s="402">
        <v>-21209974.040299982</v>
      </c>
    </row>
    <row r="13" spans="1:7" s="211" customFormat="1" ht="15.75" thickBot="1" x14ac:dyDescent="0.3">
      <c r="A13" s="216">
        <v>7</v>
      </c>
      <c r="B13" s="217" t="s">
        <v>277</v>
      </c>
      <c r="C13" s="218">
        <f>SUM(C8:C12)</f>
        <v>959905912.70669794</v>
      </c>
    </row>
    <row r="14" spans="1:7" x14ac:dyDescent="0.25">
      <c r="C14" s="219"/>
    </row>
    <row r="15" spans="1:7" s="21" customFormat="1" x14ac:dyDescent="0.25">
      <c r="B15" s="198"/>
      <c r="C15"/>
      <c r="D15"/>
      <c r="E15"/>
      <c r="F15"/>
      <c r="G15"/>
    </row>
    <row r="16" spans="1:7" s="21" customFormat="1" x14ac:dyDescent="0.25">
      <c r="B16" s="199"/>
      <c r="C16"/>
      <c r="D16"/>
      <c r="E16"/>
      <c r="F16"/>
      <c r="G16"/>
    </row>
    <row r="17" spans="2:7" s="21" customFormat="1" x14ac:dyDescent="0.25">
      <c r="B17" s="198"/>
      <c r="C17"/>
      <c r="D17"/>
      <c r="E17"/>
      <c r="F17"/>
      <c r="G17"/>
    </row>
    <row r="18" spans="2:7" s="21" customFormat="1" x14ac:dyDescent="0.25">
      <c r="B18" s="198"/>
      <c r="C18"/>
      <c r="D18"/>
      <c r="E18"/>
      <c r="F18"/>
      <c r="G18"/>
    </row>
    <row r="19" spans="2:7" s="21" customFormat="1" x14ac:dyDescent="0.25">
      <c r="B19" s="198"/>
      <c r="C19"/>
      <c r="D19"/>
      <c r="E19"/>
      <c r="F19"/>
      <c r="G19"/>
    </row>
    <row r="20" spans="2:7" s="21" customFormat="1" x14ac:dyDescent="0.25">
      <c r="B20" s="198"/>
      <c r="C20"/>
      <c r="D20"/>
      <c r="E20"/>
      <c r="F20"/>
      <c r="G20"/>
    </row>
    <row r="21" spans="2:7" s="21" customFormat="1" x14ac:dyDescent="0.25">
      <c r="B21" s="198"/>
      <c r="C21"/>
      <c r="D21"/>
      <c r="E21"/>
      <c r="F21"/>
      <c r="G21"/>
    </row>
    <row r="22" spans="2:7" s="21" customFormat="1" x14ac:dyDescent="0.25">
      <c r="B22" s="199"/>
      <c r="C22"/>
      <c r="D22"/>
      <c r="E22"/>
      <c r="F22"/>
      <c r="G22"/>
    </row>
    <row r="23" spans="2:7" s="21" customFormat="1" x14ac:dyDescent="0.25">
      <c r="B23" s="199"/>
      <c r="C23"/>
      <c r="D23"/>
      <c r="E23"/>
      <c r="F23"/>
      <c r="G23"/>
    </row>
    <row r="24" spans="2:7" s="21" customFormat="1" x14ac:dyDescent="0.25">
      <c r="B24" s="199"/>
      <c r="C24"/>
      <c r="D24"/>
      <c r="E24"/>
      <c r="F24"/>
      <c r="G24"/>
    </row>
    <row r="25" spans="2:7" s="21" customFormat="1" x14ac:dyDescent="0.25">
      <c r="B25" s="199"/>
      <c r="C25"/>
      <c r="D25"/>
      <c r="E25"/>
      <c r="F25"/>
      <c r="G25"/>
    </row>
    <row r="26" spans="2:7" s="21" customFormat="1" x14ac:dyDescent="0.25">
      <c r="B26" s="199"/>
      <c r="C26"/>
      <c r="D26"/>
      <c r="E26"/>
      <c r="F26"/>
      <c r="G26"/>
    </row>
    <row r="27" spans="2:7" s="21" customFormat="1" x14ac:dyDescent="0.25">
      <c r="B27" s="199"/>
      <c r="C27"/>
      <c r="D27"/>
      <c r="E27"/>
      <c r="F27"/>
      <c r="G27"/>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xy4JiSzIcuiUN9dcaKYITGWfOcqXdKZRsOKRw52yBv8=</DigestValue>
    </Reference>
    <Reference Type="http://www.w3.org/2000/09/xmldsig#Object" URI="#idOfficeObject">
      <DigestMethod Algorithm="http://www.w3.org/2001/04/xmlenc#sha256"/>
      <DigestValue>mxA8WTpUHgzd4HsNSmwElz/W4+v7IXB4Ics2ZP+sp98=</DigestValue>
    </Reference>
    <Reference Type="http://uri.etsi.org/01903#SignedProperties" URI="#idSignedProperties">
      <Transforms>
        <Transform Algorithm="http://www.w3.org/TR/2001/REC-xml-c14n-20010315"/>
      </Transforms>
      <DigestMethod Algorithm="http://www.w3.org/2001/04/xmlenc#sha256"/>
      <DigestValue>GYp/AIMA50kJEfxpmbCbNG4g5QySTiJAZBVU0mYYDIE=</DigestValue>
    </Reference>
  </SignedInfo>
  <SignatureValue>ZwCkXCMiTL+g1lXqebnhIu/+hJIiSmhVp46RDAgMIWYC/bbpJ6S7LYljiAOhu9/rM++6Saj1X60f
6jbPcdV2MOyqhCve5qFC67iI55ikEHXW5i9b4Uek9wEJDl+ryFacjvWF4LNfrhpok/t1GOXHWoDZ
Ikctp+ibNHR0HiGSVO7V5xELhZxM5e6bBLpVIP0SEEmYv6r4OkJ5Pw1gyUkFp6j0TKTcmgGVVRsC
n7wS7UMTxiehI7WIjuoj5tIXVyuFWJXv9ykdnEgeDowmfW5VRFv8wdZJcGhPyRaaGdymSA1jCyTv
nn6JTqpVNsQbHqfxvHnsMapIoUTTM+5pQtJePg==</SignatureValue>
  <KeyInfo>
    <X509Data>
      <X509Certificate>MIIGNzCCBR+gAwIBAgIKFOrxTAACAAAdDTANBgkqhkiG9w0BAQsFADBKMRIwEAYKCZImiZPyLGQBGRYCZ2UxEzARBgoJkiaJk/IsZAEZFgNuYmcxHzAdBgNVBAMTFk5CRyBDbGFzcyAyIElOVCBTdWIgQ0EwHhcNMTcwMjIwMDkwOTE4WhcNMTkwMjIwMDkwOTE4WjA1MRUwEwYDVQQKEwxKU0MgVGVyYWJhbmsxHDAaBgNVBAMTE0JLUyAtIFNvcGhpZSBKdWdlbGkwggEiMA0GCSqGSIb3DQEBAQUAA4IBDwAwggEKAoIBAQDrruSc+xlnlZgsoy5/eWuF5qtikjhkYMlDazt+E8Ky3S+1bjUdvQYDMHSvp66ioaAXPjoNAllesaOPdelaiIeN0w8hixYELkOEn7KuYphxdoO3zSpRbHQOgk8jdGBWKuqzqcfkNYCkE1N14hjE0b7Yl6moAPThSXRwMQYMrJMvOqRfUY7HUGOWJED5W8/xVy65uQ7EnhD9bYufx9CG/cmd+vqfVDRPtsdr0LMpa9xXcVBRjtDyChTvCqASOMRVwFoWaxDoWmWr6o9vthHjKENbBAEy8saePBvRKyIbyF8vT8x3tquUA2mr/DDgAHuwUu5XQqvDieKyKbNzfMSPXD89AgMBAAGjggMyMIIDLjA8BgkrBgEEAYI3FQcELzAtBiUrBgEEAYI3FQjmsmCDjfVEhoGZCYO4oUqDvoRxBIPEkTOEg4hdAgFkAgEdMB0GA1UdJQQWMBQGCCsGAQUFBwMCBggrBgEFBQcDBDALBgNVHQ8EBAMCB4AwJwYJKwYBBAGCNxUKBBowGDAKBggrBgEFBQcDAjAKBggrBgEFBQcDBDAdBgNVHQ4EFgQUIAMauxzp9iaJHOv5jwm9Ta7Q6G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4IKL6f7CEXxMDdsRDDRtKbfmEtYtjAVpVowTr/OoUKuLFE+DHVUxTcu3Z+7u/Ln1epifas0l/674oPjwHvSnqb/eJw7LM1Thh6pnCZRmTOVR69K6PFDAlhCYl9N5WoJQw5hHpqVCihG8EHE3isoh1PUWy2mqEkSXtOcars3iF2BWKRfPPtLUiZoYnuXnN8cfdaqYORlx//MkKXq0jjT1e22i0cgotGBcgHeJdohmdb1JTL/VfSkJU7xeYKKYlG13ZkY2cGFtNhulnsugOJhQ0yuxBUlpEUPJ1QVaGvH5n6ruZJkkIF/ESIYg9dQWtLmIOoPfHrN9pnZtO8fTcfD0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ROl+Yvw9Z9WOhaumR6DZXbiEty97Df3hClZHH52tLXs=</DigestValue>
      </Reference>
      <Reference URI="/xl/comments1.xml?ContentType=application/vnd.openxmlformats-officedocument.spreadsheetml.comments+xml">
        <DigestMethod Algorithm="http://www.w3.org/2001/04/xmlenc#sha256"/>
        <DigestValue>G6dN/z2PfVg+eq3pV23rejD4JzrZTQcW85GqBw21Qbc=</DigestValue>
      </Reference>
      <Reference URI="/xl/drawings/drawing1.xml?ContentType=application/vnd.openxmlformats-officedocument.drawing+xml">
        <DigestMethod Algorithm="http://www.w3.org/2001/04/xmlenc#sha256"/>
        <DigestValue>kywbfkNn/06bMo3OSI7TLq1cZHgauKR3svsufboKoqc=</DigestValue>
      </Reference>
      <Reference URI="/xl/drawings/vmlDrawing1.vml?ContentType=application/vnd.openxmlformats-officedocument.vmlDrawing">
        <DigestMethod Algorithm="http://www.w3.org/2001/04/xmlenc#sha256"/>
        <DigestValue>XAJ+E4Nh99qe22wjQ9Bk/GFjhLAso3saPxQlhF6fWLE=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tnnH4r8j/1OVm3cgCWOQ7icIms+PZtILFZLLZj5B2hQ=</DigestValue>
      </Reference>
      <Reference URI="/xl/styles.xml?ContentType=application/vnd.openxmlformats-officedocument.spreadsheetml.styles+xml">
        <DigestMethod Algorithm="http://www.w3.org/2001/04/xmlenc#sha256"/>
        <DigestValue>8rfdRlkjUsW/8sUkje10t6I79hMe13gvlyolpy3WlnY=</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nhtANtmBj8q9n/XAPWs5ikQXxqGMeWqEv5be785mXqI=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n96bGATSnrh5b7dIqEjPAxXSQ7XpLEWDeJFsy8buvpY=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MNgvjks6HOEBGaNHLFp154cD3BSlUjjd11g1RMh16uc=</DigestValue>
      </Reference>
      <Reference URI="/xl/worksheets/sheet10.xml?ContentType=application/vnd.openxmlformats-officedocument.spreadsheetml.worksheet+xml">
        <DigestMethod Algorithm="http://www.w3.org/2001/04/xmlenc#sha256"/>
        <DigestValue>+9/01wJ5ddKQCd5d2ZxH1aJnXOIt1JrrXqT4+p0pXvg=</DigestValue>
      </Reference>
      <Reference URI="/xl/worksheets/sheet11.xml?ContentType=application/vnd.openxmlformats-officedocument.spreadsheetml.worksheet+xml">
        <DigestMethod Algorithm="http://www.w3.org/2001/04/xmlenc#sha256"/>
        <DigestValue>lV0q3VRlBjW4Qoqkd0bfiwg181KAj1AYtVxLvol4Zvk=</DigestValue>
      </Reference>
      <Reference URI="/xl/worksheets/sheet12.xml?ContentType=application/vnd.openxmlformats-officedocument.spreadsheetml.worksheet+xml">
        <DigestMethod Algorithm="http://www.w3.org/2001/04/xmlenc#sha256"/>
        <DigestValue>E9Npu5V+umMcUTfxGNN1aZkcFaQLUVF8dCxz7+bNOfg=</DigestValue>
      </Reference>
      <Reference URI="/xl/worksheets/sheet13.xml?ContentType=application/vnd.openxmlformats-officedocument.spreadsheetml.worksheet+xml">
        <DigestMethod Algorithm="http://www.w3.org/2001/04/xmlenc#sha256"/>
        <DigestValue>ICe+AQ2dSgSkZsSn7uaz8BusU+AZGuLUq/syITyXiuA=</DigestValue>
      </Reference>
      <Reference URI="/xl/worksheets/sheet14.xml?ContentType=application/vnd.openxmlformats-officedocument.spreadsheetml.worksheet+xml">
        <DigestMethod Algorithm="http://www.w3.org/2001/04/xmlenc#sha256"/>
        <DigestValue>esiNzltCfeKbq7M52NgYPoDsla38GnlsG+0iWtyNzUQ=</DigestValue>
      </Reference>
      <Reference URI="/xl/worksheets/sheet15.xml?ContentType=application/vnd.openxmlformats-officedocument.spreadsheetml.worksheet+xml">
        <DigestMethod Algorithm="http://www.w3.org/2001/04/xmlenc#sha256"/>
        <DigestValue>KG/Bq3QZ/D+njGbQahkyb1/ngVWW9IHui2t/2rWsnpo=</DigestValue>
      </Reference>
      <Reference URI="/xl/worksheets/sheet16.xml?ContentType=application/vnd.openxmlformats-officedocument.spreadsheetml.worksheet+xml">
        <DigestMethod Algorithm="http://www.w3.org/2001/04/xmlenc#sha256"/>
        <DigestValue>0IttHFeLjzFARs5hnq1vzQpx4ZAqZ1WEtGY0n+K7auM=</DigestValue>
      </Reference>
      <Reference URI="/xl/worksheets/sheet2.xml?ContentType=application/vnd.openxmlformats-officedocument.spreadsheetml.worksheet+xml">
        <DigestMethod Algorithm="http://www.w3.org/2001/04/xmlenc#sha256"/>
        <DigestValue>ZEj1jhsDlX97fBYtwdIWr/FXh9b6Nmt9Ii9rcWz4SeU=</DigestValue>
      </Reference>
      <Reference URI="/xl/worksheets/sheet3.xml?ContentType=application/vnd.openxmlformats-officedocument.spreadsheetml.worksheet+xml">
        <DigestMethod Algorithm="http://www.w3.org/2001/04/xmlenc#sha256"/>
        <DigestValue>je+nMx48/Om+jv1XoozWAUboDaVveAiOvh+n0HKNkw0=</DigestValue>
      </Reference>
      <Reference URI="/xl/worksheets/sheet4.xml?ContentType=application/vnd.openxmlformats-officedocument.spreadsheetml.worksheet+xml">
        <DigestMethod Algorithm="http://www.w3.org/2001/04/xmlenc#sha256"/>
        <DigestValue>VfL0QAznUgphpJggozdwjpO/xrZXtZsF35jrxeaEoKI=</DigestValue>
      </Reference>
      <Reference URI="/xl/worksheets/sheet5.xml?ContentType=application/vnd.openxmlformats-officedocument.spreadsheetml.worksheet+xml">
        <DigestMethod Algorithm="http://www.w3.org/2001/04/xmlenc#sha256"/>
        <DigestValue>bOL+RHNSpomrb/ntHv5/CYyKJWhfCcdekiveOxRizk4=</DigestValue>
      </Reference>
      <Reference URI="/xl/worksheets/sheet6.xml?ContentType=application/vnd.openxmlformats-officedocument.spreadsheetml.worksheet+xml">
        <DigestMethod Algorithm="http://www.w3.org/2001/04/xmlenc#sha256"/>
        <DigestValue>45SvDg+g3Galu8+L07C25h2oDv1Fb+uSX65HgaUvPiQ=</DigestValue>
      </Reference>
      <Reference URI="/xl/worksheets/sheet7.xml?ContentType=application/vnd.openxmlformats-officedocument.spreadsheetml.worksheet+xml">
        <DigestMethod Algorithm="http://www.w3.org/2001/04/xmlenc#sha256"/>
        <DigestValue>KFG1zG+pwd/wphmm8bzNMs1gKw7EtpFoUHFcXJIQIt0=</DigestValue>
      </Reference>
      <Reference URI="/xl/worksheets/sheet8.xml?ContentType=application/vnd.openxmlformats-officedocument.spreadsheetml.worksheet+xml">
        <DigestMethod Algorithm="http://www.w3.org/2001/04/xmlenc#sha256"/>
        <DigestValue>BiA/vEgWkR1uCl0HTgDsS+k5W1cj0X2X3J5RSFNSGeM=</DigestValue>
      </Reference>
      <Reference URI="/xl/worksheets/sheet9.xml?ContentType=application/vnd.openxmlformats-officedocument.spreadsheetml.worksheet+xml">
        <DigestMethod Algorithm="http://www.w3.org/2001/04/xmlenc#sha256"/>
        <DigestValue>uio5L0v0+S3riNehF9ycm5VQRFolcU0yE7N7ILMGUrY=</DigestValue>
      </Reference>
    </Manifest>
    <SignatureProperties>
      <SignatureProperty Id="idSignatureTime" Target="#idPackageSignature">
        <mdssi:SignatureTime xmlns:mdssi="http://schemas.openxmlformats.org/package/2006/digital-signature">
          <mdssi:Format>YYYY-MM-DDThh:mm:ssTZD</mdssi:Format>
          <mdssi:Value>2017-07-28T13:44:56Z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2017-07-28T13:44:56Z</xd:SigningTime>
          <xd:SigningCertificate>
            <xd:Cert>
              <xd:CertDigest>
                <DigestMethod Algorithm="http://www.w3.org/2001/04/xmlenc#sha256"/>
                <DigestValue>2nwRnRWjHYr3TrJ15fkEDsOzhfJpc4o3rqGGSyuaH3s=</DigestValue>
              </xd:CertDigest>
              <xd:IssuerSerial>
                <X509IssuerName>CN=NBG Class 2 INT Sub CA, DC=nbg, DC=ge</X509IssuerName>
                <X509SerialNumber>98781255042910899936525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5kMNIoMDb12R3gMi7Jm+E5bFDn6mhPh2zhrXAtdgXyI=</DigestValue>
    </Reference>
    <Reference Type="http://www.w3.org/2000/09/xmldsig#Object" URI="#idOfficeObject">
      <DigestMethod Algorithm="http://www.w3.org/2001/04/xmlenc#sha256"/>
      <DigestValue>mxA8WTpUHgzd4HsNSmwElz/W4+v7IXB4Ics2ZP+sp98=</DigestValue>
    </Reference>
    <Reference Type="http://uri.etsi.org/01903#SignedProperties" URI="#idSignedProperties">
      <Transforms>
        <Transform Algorithm="http://www.w3.org/TR/2001/REC-xml-c14n-20010315"/>
      </Transforms>
      <DigestMethod Algorithm="http://www.w3.org/2001/04/xmlenc#sha256"/>
      <DigestValue>XndZM5zqNmJoGd3O6V0+fLoF+JrX/7BI0ERZhdYYAvg=</DigestValue>
    </Reference>
  </SignedInfo>
  <SignatureValue>Ir5KxGdSAe4W37G9ztp1IbT7QwX5ByP5Vpen4dEh37aoTnUt4ZcvSC0KXn4RPBYHywDqpK6sU0f9
Bl+/jTi2vdFgJop1vTuP0SMvn5k2GRY3GFdnV5yA6BgxgKKi/rfUYNPaniczZPl90b4ux/OoaN9h
G+WsI4ol0cLpUsNBTmn8BYYwJEa5VvsdSVRA+TS7JAWsJC5fOQJbDOjeS2IQXqaoYqGiDBXWQco4
eGnByeJg65Q/IrjNWYcy1DgdN2D5K08m2YrY0z2l1GtI6QPCbV/bRFAqJoyfReUBadLYDprHucje
mByV2wU2/Glycn9Z42qRAdmzMyLlVmTJyuIUbQ==</SignatureValue>
  <KeyInfo>
    <X509Data>
      <X509Certificate>MIIGNzCCBR+gAwIBAgIKFOwd1gACAAAdDjANBgkqhkiG9w0BAQsFADBKMRIwEAYKCZImiZPyLGQBGRYCZ2UxEzARBgoJkiaJk/IsZAEZFgNuYmcxHzAdBgNVBAMTFk5CRyBDbGFzcyAyIElOVCBTdWIgQ0EwHhcNMTcwMjIwMDkxMDM1WhcNMTkwMjIwMDkxMDM1WjA1MRUwEwYDVQQKEwxKU0MgVGVyYWJhbmsxHDAaBgNVBAMTE0JLUyAtIE5vZGFyIFRzb21haWEwggEiMA0GCSqGSIb3DQEBAQUAA4IBDwAwggEKAoIBAQDvANHy3vhXVAS42iWzUd87bspQP3C1ClIjyeaKqcwI+ce+9FmJy8VR5ooKTpFl0YA9LNkwPMPhAZdZkA0ptvnTwzo4w0RHfm4y6Zo7nmULHhI1A+szJtOl8lIQm5X2ooZWP9+E7yDOHIM666or4j0ZPCI+CrxSdXJ1pKvvnz59mYpRxyOWTam5lvmadHzfr7wf+bavG+wAn8wXQcPNbQqF9tKhMPg7IbyOLNZJckvyceirzObfapVLt/dvb8TGWNkVTzplHd3pP/HonrPEc75tNjc04aRLkIn2D235VGzhDowc+UgqrcE34Z2CJWo1tV4MzYDlvJt74+plDa7dXZhbAgMBAAGjggMyMIIDLjA8BgkrBgEEAYI3FQcELzAtBiUrBgEEAYI3FQjmsmCDjfVEhoGZCYO4oUqDvoRxBIPEkTOEg4hdAgFkAgEdMB0GA1UdJQQWMBQGCCsGAQUFBwMCBggrBgEFBQcDBDALBgNVHQ8EBAMCB4AwJwYJKwYBBAGCNxUKBBowGDAKBggrBgEFBQcDAjAKBggrBgEFBQcDBDAdBgNVHQ4EFgQU9bhi35keRA2n9WFrF+Gf69lviJ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if/NQOcFKqRp8OGmVsEUPx00KqMoTx71Mfq/8MsfPaf9Uo6cwDaVsmZnzvC/XalY8GQDRJVGQiheoflsT63N7Kjd4EtSb2TAQvKPWOB5LnjNlpa7zScncek1HKLPZ1NfRPzpS8Y1y8IETKotPvTMxUdTZIxbklTO2A6+8MVjAfLpG2myVFZnxQ5MRTVh66/UJ/h0eW6/2LAlwYIORnbQBfsiWzG4Zx9WJTtW/WjVfmyV/dDxirAm4SczG4niZzq3OYK+oJUwwAE3oFSNjKY6uYea7+uRb+kpvcQpXdTZ6qC6BEI5cWJlfrlyCeRgNg42pWEu3k1DK5UvVYvLIt9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ROl+Yvw9Z9WOhaumR6DZXbiEty97Df3hClZHH52tLXs=</DigestValue>
      </Reference>
      <Reference URI="/xl/comments1.xml?ContentType=application/vnd.openxmlformats-officedocument.spreadsheetml.comments+xml">
        <DigestMethod Algorithm="http://www.w3.org/2001/04/xmlenc#sha256"/>
        <DigestValue>G6dN/z2PfVg+eq3pV23rejD4JzrZTQcW85GqBw21Qbc=</DigestValue>
      </Reference>
      <Reference URI="/xl/drawings/drawing1.xml?ContentType=application/vnd.openxmlformats-officedocument.drawing+xml">
        <DigestMethod Algorithm="http://www.w3.org/2001/04/xmlenc#sha256"/>
        <DigestValue>kywbfkNn/06bMo3OSI7TLq1cZHgauKR3svsufboKoqc=</DigestValue>
      </Reference>
      <Reference URI="/xl/drawings/vmlDrawing1.vml?ContentType=application/vnd.openxmlformats-officedocument.vmlDrawing">
        <DigestMethod Algorithm="http://www.w3.org/2001/04/xmlenc#sha256"/>
        <DigestValue>XAJ+E4Nh99qe22wjQ9Bk/GFjhLAso3saPxQlhF6fWLE=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tnnH4r8j/1OVm3cgCWOQ7icIms+PZtILFZLLZj5B2hQ=</DigestValue>
      </Reference>
      <Reference URI="/xl/styles.xml?ContentType=application/vnd.openxmlformats-officedocument.spreadsheetml.styles+xml">
        <DigestMethod Algorithm="http://www.w3.org/2001/04/xmlenc#sha256"/>
        <DigestValue>8rfdRlkjUsW/8sUkje10t6I79hMe13gvlyolpy3WlnY=</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nhtANtmBj8q9n/XAPWs5ikQXxqGMeWqEv5be785mXqI=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n96bGATSnrh5b7dIqEjPAxXSQ7XpLEWDeJFsy8buvpY=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MNgvjks6HOEBGaNHLFp154cD3BSlUjjd11g1RMh16uc=</DigestValue>
      </Reference>
      <Reference URI="/xl/worksheets/sheet10.xml?ContentType=application/vnd.openxmlformats-officedocument.spreadsheetml.worksheet+xml">
        <DigestMethod Algorithm="http://www.w3.org/2001/04/xmlenc#sha256"/>
        <DigestValue>+9/01wJ5ddKQCd5d2ZxH1aJnXOIt1JrrXqT4+p0pXvg=</DigestValue>
      </Reference>
      <Reference URI="/xl/worksheets/sheet11.xml?ContentType=application/vnd.openxmlformats-officedocument.spreadsheetml.worksheet+xml">
        <DigestMethod Algorithm="http://www.w3.org/2001/04/xmlenc#sha256"/>
        <DigestValue>lV0q3VRlBjW4Qoqkd0bfiwg181KAj1AYtVxLvol4Zvk=</DigestValue>
      </Reference>
      <Reference URI="/xl/worksheets/sheet12.xml?ContentType=application/vnd.openxmlformats-officedocument.spreadsheetml.worksheet+xml">
        <DigestMethod Algorithm="http://www.w3.org/2001/04/xmlenc#sha256"/>
        <DigestValue>E9Npu5V+umMcUTfxGNN1aZkcFaQLUVF8dCxz7+bNOfg=</DigestValue>
      </Reference>
      <Reference URI="/xl/worksheets/sheet13.xml?ContentType=application/vnd.openxmlformats-officedocument.spreadsheetml.worksheet+xml">
        <DigestMethod Algorithm="http://www.w3.org/2001/04/xmlenc#sha256"/>
        <DigestValue>ICe+AQ2dSgSkZsSn7uaz8BusU+AZGuLUq/syITyXiuA=</DigestValue>
      </Reference>
      <Reference URI="/xl/worksheets/sheet14.xml?ContentType=application/vnd.openxmlformats-officedocument.spreadsheetml.worksheet+xml">
        <DigestMethod Algorithm="http://www.w3.org/2001/04/xmlenc#sha256"/>
        <DigestValue>esiNzltCfeKbq7M52NgYPoDsla38GnlsG+0iWtyNzUQ=</DigestValue>
      </Reference>
      <Reference URI="/xl/worksheets/sheet15.xml?ContentType=application/vnd.openxmlformats-officedocument.spreadsheetml.worksheet+xml">
        <DigestMethod Algorithm="http://www.w3.org/2001/04/xmlenc#sha256"/>
        <DigestValue>KG/Bq3QZ/D+njGbQahkyb1/ngVWW9IHui2t/2rWsnpo=</DigestValue>
      </Reference>
      <Reference URI="/xl/worksheets/sheet16.xml?ContentType=application/vnd.openxmlformats-officedocument.spreadsheetml.worksheet+xml">
        <DigestMethod Algorithm="http://www.w3.org/2001/04/xmlenc#sha256"/>
        <DigestValue>0IttHFeLjzFARs5hnq1vzQpx4ZAqZ1WEtGY0n+K7auM=</DigestValue>
      </Reference>
      <Reference URI="/xl/worksheets/sheet2.xml?ContentType=application/vnd.openxmlformats-officedocument.spreadsheetml.worksheet+xml">
        <DigestMethod Algorithm="http://www.w3.org/2001/04/xmlenc#sha256"/>
        <DigestValue>ZEj1jhsDlX97fBYtwdIWr/FXh9b6Nmt9Ii9rcWz4SeU=</DigestValue>
      </Reference>
      <Reference URI="/xl/worksheets/sheet3.xml?ContentType=application/vnd.openxmlformats-officedocument.spreadsheetml.worksheet+xml">
        <DigestMethod Algorithm="http://www.w3.org/2001/04/xmlenc#sha256"/>
        <DigestValue>je+nMx48/Om+jv1XoozWAUboDaVveAiOvh+n0HKNkw0=</DigestValue>
      </Reference>
      <Reference URI="/xl/worksheets/sheet4.xml?ContentType=application/vnd.openxmlformats-officedocument.spreadsheetml.worksheet+xml">
        <DigestMethod Algorithm="http://www.w3.org/2001/04/xmlenc#sha256"/>
        <DigestValue>VfL0QAznUgphpJggozdwjpO/xrZXtZsF35jrxeaEoKI=</DigestValue>
      </Reference>
      <Reference URI="/xl/worksheets/sheet5.xml?ContentType=application/vnd.openxmlformats-officedocument.spreadsheetml.worksheet+xml">
        <DigestMethod Algorithm="http://www.w3.org/2001/04/xmlenc#sha256"/>
        <DigestValue>bOL+RHNSpomrb/ntHv5/CYyKJWhfCcdekiveOxRizk4=</DigestValue>
      </Reference>
      <Reference URI="/xl/worksheets/sheet6.xml?ContentType=application/vnd.openxmlformats-officedocument.spreadsheetml.worksheet+xml">
        <DigestMethod Algorithm="http://www.w3.org/2001/04/xmlenc#sha256"/>
        <DigestValue>45SvDg+g3Galu8+L07C25h2oDv1Fb+uSX65HgaUvPiQ=</DigestValue>
      </Reference>
      <Reference URI="/xl/worksheets/sheet7.xml?ContentType=application/vnd.openxmlformats-officedocument.spreadsheetml.worksheet+xml">
        <DigestMethod Algorithm="http://www.w3.org/2001/04/xmlenc#sha256"/>
        <DigestValue>KFG1zG+pwd/wphmm8bzNMs1gKw7EtpFoUHFcXJIQIt0=</DigestValue>
      </Reference>
      <Reference URI="/xl/worksheets/sheet8.xml?ContentType=application/vnd.openxmlformats-officedocument.spreadsheetml.worksheet+xml">
        <DigestMethod Algorithm="http://www.w3.org/2001/04/xmlenc#sha256"/>
        <DigestValue>BiA/vEgWkR1uCl0HTgDsS+k5W1cj0X2X3J5RSFNSGeM=</DigestValue>
      </Reference>
      <Reference URI="/xl/worksheets/sheet9.xml?ContentType=application/vnd.openxmlformats-officedocument.spreadsheetml.worksheet+xml">
        <DigestMethod Algorithm="http://www.w3.org/2001/04/xmlenc#sha256"/>
        <DigestValue>uio5L0v0+S3riNehF9ycm5VQRFolcU0yE7N7ILMGUrY=</DigestValue>
      </Reference>
    </Manifest>
    <SignatureProperties>
      <SignatureProperty Id="idSignatureTime" Target="#idPackageSignature">
        <mdssi:SignatureTime xmlns:mdssi="http://schemas.openxmlformats.org/package/2006/digital-signature">
          <mdssi:Format>YYYY-MM-DDThh:mm:ssTZD</mdssi:Format>
          <mdssi:Value>2017-07-28T13:45:16Z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2017-07-28T13:45:16Z</xd:SigningTime>
          <xd:SigningCertificate>
            <xd:Cert>
              <xd:CertDigest>
                <DigestMethod Algorithm="http://www.w3.org/2001/04/xmlenc#sha256"/>
                <DigestValue>vOshF+mNDaRtODaBAUCQVJ6GEfeSXtXARMM3ee/XoNc=</DigestValue>
              </xd:CertDigest>
              <xd:IssuerSerial>
                <X509IssuerName>CN=NBG Class 2 INT Sub CA, DC=nbg, DC=ge</X509IssuerName>
                <X509SerialNumber>98802911164669064387854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Archil Japaridze</dc:creator>
  <cp:lastModifiedBy>Nodar Tsomaia</cp:lastModifiedBy>
  <dcterms:created xsi:type="dcterms:W3CDTF">2017-07-26T07:18:58Z</dcterms:created>
  <dcterms:modified xsi:type="dcterms:W3CDTF">2017-07-28T13:43:31Z</dcterms:modified>
</cp:coreProperties>
</file>