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i.potskhverashvili\Desktop\F\Pillar 3\2 q 2024\"/>
    </mc:Choice>
  </mc:AlternateContent>
  <xr:revisionPtr revIDLastSave="0" documentId="13_ncr:1_{DEF944B3-D08E-478E-A70F-26B041B86583}" xr6:coauthVersionLast="47" xr6:coauthVersionMax="47" xr10:uidLastSave="{00000000-0000-0000-0000-000000000000}"/>
  <bookViews>
    <workbookView xWindow="-120" yWindow="-120" windowWidth="29040" windowHeight="15840" tabRatio="921" activeTab="1" xr2:uid="{7CFFC8E8-F455-4955-8BDA-F75F7344A53F}"/>
  </bookViews>
  <sheets>
    <sheet name="Info" sheetId="1" r:id="rId1"/>
    <sheet name="1. key ratios" sheetId="2" r:id="rId2"/>
    <sheet name="2. SOFP" sheetId="3" r:id="rId3"/>
    <sheet name="3. SO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10. CC2" sheetId="12" r:id="rId12"/>
    <sheet name="11. CRWA" sheetId="13" r:id="rId13"/>
    <sheet name="12. CRM" sheetId="14" r:id="rId14"/>
    <sheet name="13. CRME" sheetId="15" r:id="rId15"/>
    <sheet name="14. LCR" sheetId="16" r:id="rId16"/>
    <sheet name="15. CCR" sheetId="17" r:id="rId17"/>
    <sheet name="15.1. LR" sheetId="18" r:id="rId18"/>
    <sheet name="16. NSFR" sheetId="19" r:id="rId19"/>
    <sheet name=" 17. Residual Maturity" sheetId="20" r:id="rId20"/>
    <sheet name="18. Assets by Exposure classes" sheetId="21" r:id="rId21"/>
    <sheet name="19. Assets by Risk Sectors" sheetId="22" r:id="rId22"/>
    <sheet name="20. Reserves" sheetId="23" r:id="rId23"/>
    <sheet name="21. NPL" sheetId="24" r:id="rId24"/>
    <sheet name="22. Quality" sheetId="25" r:id="rId25"/>
    <sheet name="23. LTV" sheetId="26" r:id="rId26"/>
    <sheet name="24. Risk Sector" sheetId="27" r:id="rId27"/>
    <sheet name="25. Collateral" sheetId="28" r:id="rId28"/>
    <sheet name="26. Retail Products" sheetId="29" r:id="rId29"/>
  </sheets>
  <definedNames>
    <definedName name="_cur1">#REF!</definedName>
    <definedName name="_cur2">#REF!</definedName>
    <definedName name="_xlnm._FilterDatabase" localSheetId="9" hidden="1">'9. Capital'!$A$5:$F$53</definedName>
    <definedName name="_Key1" hidden="1">#REF!</definedName>
    <definedName name="_Order1" hidden="1">255</definedName>
    <definedName name="_Order2" hidden="1">255</definedName>
    <definedName name="_Parse_In" hidden="1">#REF!</definedName>
    <definedName name="_Sort" hidden="1">#REF!</definedName>
    <definedName name="_sum1">#REF!</definedName>
    <definedName name="_sum2">#REF!</definedName>
    <definedName name="a" hidden="1">#REF!</definedName>
    <definedName name="aaaaaaaaa" hidden="1">#REF!</definedName>
    <definedName name="ACC_BALACC" localSheetId="19">#REF!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10">#REF!</definedName>
    <definedName name="ACC_BALACC">#REF!</definedName>
    <definedName name="ACC_CRS" localSheetId="19">#REF!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10">#REF!</definedName>
    <definedName name="ACC_CRS">#REF!</definedName>
    <definedName name="ACC_DBS" localSheetId="19">#REF!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10">#REF!</definedName>
    <definedName name="ACC_DBS">#REF!</definedName>
    <definedName name="ACC_ISO" localSheetId="19">#REF!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10">#REF!</definedName>
    <definedName name="ACC_ISO">#REF!</definedName>
    <definedName name="ACC_SALDO" localSheetId="19">#REF!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10">#REF!</definedName>
    <definedName name="ACC_SALDO">#REF!</definedName>
    <definedName name="acctype">#REF!</definedName>
    <definedName name="ana"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A_Demand_Deposits_Res_Ind">#REF!</definedName>
    <definedName name="BALACC">#REF!</definedName>
    <definedName name="BG_Del" hidden="1">15</definedName>
    <definedName name="BG_Ins" hidden="1">4</definedName>
    <definedName name="BG_Mod" hidden="1">6</definedName>
    <definedName name="BS_BALACC" localSheetId="19">#REF!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10">#REF!</definedName>
    <definedName name="BS_BALACC">#REF!</definedName>
    <definedName name="BS_BALANCE" localSheetId="19">#REF!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10">#REF!</definedName>
    <definedName name="BS_BALANCE">#REF!</definedName>
    <definedName name="BS_CR" localSheetId="19">#REF!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10">#REF!</definedName>
    <definedName name="BS_CR">#REF!</definedName>
    <definedName name="BS_CR_EQU" localSheetId="19">#REF!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10">#REF!</definedName>
    <definedName name="BS_CR_EQU">#REF!</definedName>
    <definedName name="BS_DB" localSheetId="19">#REF!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10">#REF!</definedName>
    <definedName name="BS_DB">#REF!</definedName>
    <definedName name="BS_DB_EQU" localSheetId="19">#REF!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10">#REF!</definedName>
    <definedName name="BS_DB_EQU">#REF!</definedName>
    <definedName name="BS_DT" localSheetId="19">#REF!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10">#REF!</definedName>
    <definedName name="BS_DT">#REF!</definedName>
    <definedName name="BS_ISO" localSheetId="19">#REF!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10">#REF!</definedName>
    <definedName name="BS_ISO">#REF!</definedName>
    <definedName name="call">#REF!</definedName>
    <definedName name="convert">#REF!</definedName>
    <definedName name="Countries">#REF!</definedName>
    <definedName name="currencies">#REF!</definedName>
    <definedName name="CurrencyCodes">#REF!</definedName>
    <definedName name="CurrentDate" localSheetId="19">#REF!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10">#REF!</definedName>
    <definedName name="CurrentDate">#REF!</definedName>
    <definedName name="date">#REF!</definedName>
    <definedName name="date1">#REF!</definedName>
    <definedName name="dependency">#REF!</definedName>
    <definedName name="dfgdfg">#REF!</definedName>
    <definedName name="dfgh" hidden="1">#REF!</definedName>
    <definedName name="fghgh">#REF!</definedName>
    <definedName name="fintype">#REF!</definedName>
    <definedName name="fvgfbv">#REF!</definedName>
    <definedName name="hjhhjhj">#REF!</definedName>
    <definedName name="jgjhg" hidden="1">#REF!</definedName>
    <definedName name="jgjhg1" hidden="1">#REF!</definedName>
    <definedName name="L_FORMULAS_GEO">#REF!</definedName>
    <definedName name="LDtype">#REF!</definedName>
    <definedName name="NDtype">#REF!</definedName>
    <definedName name="ÓÓÓÓÓÓÓÓ" hidden="1">#REF!</definedName>
    <definedName name="ÓÓÓÓÓÓÓÓÓÓÓÓÓÓÓ" hidden="1">#REF!</definedName>
    <definedName name="Q" hidden="1">#REF!</definedName>
    <definedName name="S">#REF!</definedName>
    <definedName name="sdsss" hidden="1">#REF!</definedName>
    <definedName name="Sheet">#REF!</definedName>
    <definedName name="ss" hidden="1">#REF!</definedName>
    <definedName name="sub">#REF!</definedName>
    <definedName name="TextRefCopyRangeCount" hidden="1">3</definedName>
    <definedName name="v">#REF!</definedName>
    <definedName name="wrn.Aging._.and._.Trend._.Analysis." hidden="1">{#N/A,#N/A,FALSE,"Aging Summary";#N/A,#N/A,FALSE,"Ratio Analysis";#N/A,#N/A,FALSE,"Test 120 Day Accts";#N/A,#N/A,FALSE,"Tickmarks"}</definedName>
    <definedName name="YesNo">#REF!</definedName>
    <definedName name="z">#REF!</definedName>
    <definedName name="ა">#REF!</definedName>
    <definedName name="აა" hidden="1">#REF!</definedName>
    <definedName name="ს" hidden="1">#REF!</definedName>
    <definedName name="საკრედიტო">#REF!</definedName>
    <definedName name="სსს" hidden="1">#REF!</definedName>
    <definedName name="ფაილი">#REF!</definedName>
    <definedName name="ცვლილება_კორექტირება_რეგულაციაში">#REF!</definedName>
    <definedName name="ჯ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9" l="1"/>
  <c r="I20" i="29"/>
  <c r="N18" i="29"/>
  <c r="I18" i="29"/>
  <c r="D18" i="29"/>
  <c r="N17" i="29"/>
  <c r="I17" i="29"/>
  <c r="D17" i="29"/>
  <c r="N16" i="29"/>
  <c r="I16" i="29"/>
  <c r="D16" i="29"/>
  <c r="N15" i="29"/>
  <c r="I15" i="29"/>
  <c r="D15" i="29"/>
  <c r="N14" i="29"/>
  <c r="I14" i="29"/>
  <c r="D14" i="29"/>
  <c r="N13" i="29"/>
  <c r="I13" i="29"/>
  <c r="D13" i="29"/>
  <c r="N12" i="29"/>
  <c r="I12" i="29"/>
  <c r="D12" i="29"/>
  <c r="N11" i="29"/>
  <c r="I11" i="29"/>
  <c r="D11" i="29"/>
  <c r="N10" i="29"/>
  <c r="I10" i="29"/>
  <c r="D10" i="29"/>
  <c r="N9" i="29"/>
  <c r="I9" i="29"/>
  <c r="D9" i="29"/>
  <c r="N8" i="29"/>
  <c r="I8" i="29"/>
  <c r="D8" i="29"/>
  <c r="Q19" i="29"/>
  <c r="P19" i="29"/>
  <c r="O19" i="29"/>
  <c r="L19" i="29"/>
  <c r="K19" i="29"/>
  <c r="J19" i="29"/>
  <c r="G19" i="29"/>
  <c r="F19" i="29"/>
  <c r="E19" i="29"/>
  <c r="C2" i="29"/>
  <c r="C1" i="29"/>
  <c r="B2" i="28"/>
  <c r="B1" i="28"/>
  <c r="L33" i="27"/>
  <c r="K33" i="27"/>
  <c r="J33" i="27"/>
  <c r="I33" i="27"/>
  <c r="H33" i="27"/>
  <c r="F33" i="27"/>
  <c r="E33" i="27"/>
  <c r="D33" i="27"/>
  <c r="G7" i="27"/>
  <c r="G33" i="27" s="1"/>
  <c r="B2" i="27"/>
  <c r="B1" i="27"/>
  <c r="C20" i="26"/>
  <c r="C19" i="26"/>
  <c r="C18" i="26"/>
  <c r="R16" i="26"/>
  <c r="Q16" i="26"/>
  <c r="N16" i="26"/>
  <c r="M16" i="26"/>
  <c r="J16" i="26"/>
  <c r="I16" i="26"/>
  <c r="F16" i="26"/>
  <c r="E16" i="26"/>
  <c r="C17" i="26"/>
  <c r="S16" i="26"/>
  <c r="P16" i="26"/>
  <c r="O16" i="26"/>
  <c r="L16" i="26"/>
  <c r="K16" i="26"/>
  <c r="H16" i="26"/>
  <c r="G16" i="26"/>
  <c r="D16" i="26"/>
  <c r="B2" i="26"/>
  <c r="B1" i="26"/>
  <c r="D15" i="25"/>
  <c r="C17" i="25"/>
  <c r="C15" i="25" s="1"/>
  <c r="C12" i="25"/>
  <c r="C11" i="25"/>
  <c r="C10" i="25"/>
  <c r="C9" i="25"/>
  <c r="AA8" i="25"/>
  <c r="Z8" i="25"/>
  <c r="Y8" i="25"/>
  <c r="X8" i="25"/>
  <c r="W8" i="25"/>
  <c r="V8" i="25"/>
  <c r="U8" i="25"/>
  <c r="T8" i="25"/>
  <c r="R8" i="25"/>
  <c r="Q8" i="25"/>
  <c r="P8" i="25"/>
  <c r="P8" i="26" s="1"/>
  <c r="N8" i="25"/>
  <c r="M8" i="25"/>
  <c r="J8" i="25"/>
  <c r="I8" i="25"/>
  <c r="F8" i="25"/>
  <c r="B2" i="25"/>
  <c r="B1" i="25"/>
  <c r="B2" i="24"/>
  <c r="B1" i="24"/>
  <c r="D15" i="23"/>
  <c r="C7" i="23"/>
  <c r="D7" i="23"/>
  <c r="B2" i="23"/>
  <c r="B1" i="23"/>
  <c r="F34" i="22"/>
  <c r="H32" i="22"/>
  <c r="H31" i="22"/>
  <c r="H30" i="22"/>
  <c r="G29" i="22"/>
  <c r="G34" i="22" s="1"/>
  <c r="C11" i="23" s="1"/>
  <c r="C13" i="24" s="1"/>
  <c r="C10" i="24" s="1"/>
  <c r="C18" i="24" s="1"/>
  <c r="H29" i="22"/>
  <c r="H27" i="22"/>
  <c r="H26" i="22"/>
  <c r="H23" i="22"/>
  <c r="H22" i="22"/>
  <c r="H19" i="22"/>
  <c r="H18" i="22"/>
  <c r="H17" i="22"/>
  <c r="H16" i="22"/>
  <c r="H15" i="22"/>
  <c r="H14" i="22"/>
  <c r="H13" i="22"/>
  <c r="H12" i="22"/>
  <c r="H11" i="22"/>
  <c r="H10" i="22"/>
  <c r="H9" i="22"/>
  <c r="H8" i="22"/>
  <c r="B2" i="22"/>
  <c r="B1" i="22"/>
  <c r="H23" i="21"/>
  <c r="F22" i="21"/>
  <c r="F21" i="21"/>
  <c r="H20" i="21"/>
  <c r="E20" i="21"/>
  <c r="E33" i="22" s="1"/>
  <c r="H19" i="21"/>
  <c r="H18" i="21"/>
  <c r="H17" i="21"/>
  <c r="H15" i="21"/>
  <c r="G14" i="21"/>
  <c r="G21" i="21" s="1"/>
  <c r="H14" i="21"/>
  <c r="H12" i="21"/>
  <c r="H11" i="21"/>
  <c r="H10" i="21"/>
  <c r="H9" i="21"/>
  <c r="H8" i="21"/>
  <c r="E21" i="21"/>
  <c r="D21" i="21"/>
  <c r="B2" i="21"/>
  <c r="B1" i="21"/>
  <c r="G22" i="20"/>
  <c r="H20" i="20"/>
  <c r="H19" i="20"/>
  <c r="F22" i="20"/>
  <c r="H18" i="20"/>
  <c r="H17" i="20"/>
  <c r="H16" i="20"/>
  <c r="H15" i="20"/>
  <c r="H13" i="20"/>
  <c r="H12" i="20"/>
  <c r="H11" i="20"/>
  <c r="H10" i="20"/>
  <c r="H9" i="20"/>
  <c r="B2" i="20"/>
  <c r="B1" i="20"/>
  <c r="G36" i="19"/>
  <c r="D33" i="19"/>
  <c r="G34" i="19"/>
  <c r="E33" i="19"/>
  <c r="G31" i="19"/>
  <c r="F24" i="19"/>
  <c r="E24" i="19"/>
  <c r="D24" i="19"/>
  <c r="C24" i="19"/>
  <c r="G19" i="19"/>
  <c r="F18" i="19"/>
  <c r="E18" i="19"/>
  <c r="D18" i="19"/>
  <c r="E14" i="19"/>
  <c r="F14" i="19"/>
  <c r="J13" i="19"/>
  <c r="G13" i="19"/>
  <c r="E11" i="19"/>
  <c r="G12" i="19"/>
  <c r="F11" i="19"/>
  <c r="D11" i="19"/>
  <c r="G10" i="19"/>
  <c r="F8" i="19"/>
  <c r="E8" i="19"/>
  <c r="D8" i="19"/>
  <c r="B2" i="19"/>
  <c r="B1" i="19"/>
  <c r="C30" i="18"/>
  <c r="C26" i="18"/>
  <c r="C8" i="18"/>
  <c r="B2" i="18"/>
  <c r="B1" i="18"/>
  <c r="L21" i="17"/>
  <c r="G21" i="17"/>
  <c r="N20" i="17"/>
  <c r="N19" i="17"/>
  <c r="E19" i="17"/>
  <c r="N18" i="17"/>
  <c r="E18" i="17"/>
  <c r="N17" i="17"/>
  <c r="E17" i="17"/>
  <c r="N16" i="17"/>
  <c r="E16" i="17"/>
  <c r="N15" i="17"/>
  <c r="E15" i="17"/>
  <c r="N14" i="17"/>
  <c r="M14" i="17"/>
  <c r="L14" i="17"/>
  <c r="K14" i="17"/>
  <c r="J14" i="17"/>
  <c r="I14" i="17"/>
  <c r="H14" i="17"/>
  <c r="G14" i="17"/>
  <c r="F14" i="17"/>
  <c r="E14" i="17"/>
  <c r="C14" i="17"/>
  <c r="N13" i="17"/>
  <c r="N12" i="17"/>
  <c r="E12" i="17"/>
  <c r="N11" i="17"/>
  <c r="E11" i="17"/>
  <c r="N10" i="17"/>
  <c r="E10" i="17"/>
  <c r="N9" i="17"/>
  <c r="E9" i="17"/>
  <c r="M7" i="17"/>
  <c r="L7" i="17"/>
  <c r="J7" i="17"/>
  <c r="J21" i="17" s="1"/>
  <c r="I7" i="17"/>
  <c r="I21" i="17" s="1"/>
  <c r="H7" i="17"/>
  <c r="G7" i="17"/>
  <c r="F7" i="17"/>
  <c r="B2" i="17"/>
  <c r="B1" i="17"/>
  <c r="J25" i="16"/>
  <c r="F25" i="16"/>
  <c r="H24" i="16"/>
  <c r="K23" i="16"/>
  <c r="J23" i="16"/>
  <c r="I23" i="16"/>
  <c r="I25" i="16" s="1"/>
  <c r="H23" i="16"/>
  <c r="H25" i="16" s="1"/>
  <c r="G23" i="16"/>
  <c r="G25" i="16" s="1"/>
  <c r="F23" i="16"/>
  <c r="J21" i="16"/>
  <c r="I21" i="16"/>
  <c r="G21" i="16"/>
  <c r="F21" i="16"/>
  <c r="H21" i="16" s="1"/>
  <c r="D21" i="16"/>
  <c r="C21" i="16"/>
  <c r="K20" i="16"/>
  <c r="H20" i="16"/>
  <c r="E20" i="16"/>
  <c r="K19" i="16"/>
  <c r="H19" i="16"/>
  <c r="E19" i="16"/>
  <c r="E21" i="16" s="1"/>
  <c r="K18" i="16"/>
  <c r="H18" i="16"/>
  <c r="E18" i="16"/>
  <c r="K16" i="16"/>
  <c r="J16" i="16"/>
  <c r="I16" i="16"/>
  <c r="G16" i="16"/>
  <c r="D16" i="16"/>
  <c r="C16" i="16"/>
  <c r="E16" i="16" s="1"/>
  <c r="K15" i="16"/>
  <c r="H15" i="16"/>
  <c r="E15" i="16"/>
  <c r="K14" i="16"/>
  <c r="H14" i="16"/>
  <c r="E14" i="16"/>
  <c r="F14" i="16" s="1"/>
  <c r="F16" i="16" s="1"/>
  <c r="H16" i="16" s="1"/>
  <c r="K13" i="16"/>
  <c r="H13" i="16"/>
  <c r="E13" i="16"/>
  <c r="K12" i="16"/>
  <c r="H12" i="16"/>
  <c r="E12" i="16"/>
  <c r="K11" i="16"/>
  <c r="H11" i="16"/>
  <c r="E11" i="16"/>
  <c r="K10" i="16"/>
  <c r="H10" i="16"/>
  <c r="E10" i="16"/>
  <c r="K8" i="16"/>
  <c r="H8" i="16"/>
  <c r="B2" i="16"/>
  <c r="B1" i="16"/>
  <c r="E22" i="15"/>
  <c r="D22" i="15"/>
  <c r="H21" i="15"/>
  <c r="H20" i="15"/>
  <c r="H19" i="15"/>
  <c r="H18" i="15"/>
  <c r="H17" i="15"/>
  <c r="H16" i="15"/>
  <c r="H15" i="15"/>
  <c r="H14" i="15"/>
  <c r="F22" i="15"/>
  <c r="H13" i="15"/>
  <c r="H12" i="15"/>
  <c r="H11" i="15"/>
  <c r="H10" i="15"/>
  <c r="H9" i="15"/>
  <c r="H8" i="15"/>
  <c r="C22" i="15"/>
  <c r="B2" i="15"/>
  <c r="B1" i="15"/>
  <c r="U21" i="14"/>
  <c r="T21" i="14"/>
  <c r="S21" i="14"/>
  <c r="R21" i="14"/>
  <c r="Q21" i="14"/>
  <c r="P21" i="14"/>
  <c r="O21" i="14"/>
  <c r="N21" i="14"/>
  <c r="M21" i="14"/>
  <c r="L21" i="14"/>
  <c r="K21" i="14"/>
  <c r="J21" i="14"/>
  <c r="I21" i="14"/>
  <c r="H21" i="14"/>
  <c r="G21" i="14"/>
  <c r="F21" i="14"/>
  <c r="E21" i="14"/>
  <c r="D21" i="14"/>
  <c r="C21" i="14"/>
  <c r="V20" i="14"/>
  <c r="V19" i="14"/>
  <c r="V18" i="14"/>
  <c r="V17" i="14"/>
  <c r="V16" i="14"/>
  <c r="V15" i="14"/>
  <c r="V14" i="14"/>
  <c r="V13" i="14"/>
  <c r="V12" i="14"/>
  <c r="V11" i="14"/>
  <c r="V10" i="14"/>
  <c r="V9" i="14"/>
  <c r="V8" i="14"/>
  <c r="V7" i="14"/>
  <c r="V21" i="14" s="1"/>
  <c r="B2" i="14"/>
  <c r="B1" i="14"/>
  <c r="R22" i="13"/>
  <c r="P22" i="13"/>
  <c r="N22" i="13"/>
  <c r="L22" i="13"/>
  <c r="J22" i="13"/>
  <c r="H22" i="13"/>
  <c r="F22" i="13"/>
  <c r="D22" i="13"/>
  <c r="S21" i="13"/>
  <c r="S17" i="13"/>
  <c r="S16" i="13"/>
  <c r="S14" i="13"/>
  <c r="S12" i="13"/>
  <c r="K22" i="13"/>
  <c r="C22" i="13"/>
  <c r="S9" i="13"/>
  <c r="B2" i="13"/>
  <c r="B1" i="13"/>
  <c r="B2" i="12"/>
  <c r="B1" i="12"/>
  <c r="B2" i="11"/>
  <c r="B1" i="11"/>
  <c r="C53" i="10"/>
  <c r="C48" i="10"/>
  <c r="C44" i="10"/>
  <c r="C36" i="10"/>
  <c r="C32" i="10"/>
  <c r="C31" i="10"/>
  <c r="C42" i="10" s="1"/>
  <c r="B2" i="10"/>
  <c r="B1" i="10"/>
  <c r="B2" i="9"/>
  <c r="B1" i="9"/>
  <c r="D31" i="8"/>
  <c r="D25" i="8"/>
  <c r="D20" i="8"/>
  <c r="D16" i="8"/>
  <c r="D8" i="8"/>
  <c r="B2" i="8"/>
  <c r="B1" i="8"/>
  <c r="B2" i="7"/>
  <c r="B1" i="7"/>
  <c r="F5" i="6"/>
  <c r="B2" i="6"/>
  <c r="E5" i="6" s="1"/>
  <c r="B1" i="6"/>
  <c r="H43" i="5"/>
  <c r="E43" i="5"/>
  <c r="H42" i="5"/>
  <c r="E42" i="5"/>
  <c r="H41" i="5"/>
  <c r="C41" i="5"/>
  <c r="E41" i="5" s="1"/>
  <c r="H40" i="5"/>
  <c r="E40" i="5"/>
  <c r="H39" i="5"/>
  <c r="E39" i="5"/>
  <c r="H38" i="5"/>
  <c r="E38" i="5"/>
  <c r="D38" i="5"/>
  <c r="C38" i="5"/>
  <c r="H37" i="5"/>
  <c r="E37" i="5"/>
  <c r="H36" i="5"/>
  <c r="E36" i="5"/>
  <c r="H35" i="5"/>
  <c r="E35" i="5"/>
  <c r="H34" i="5"/>
  <c r="E34" i="5"/>
  <c r="H33" i="5"/>
  <c r="E33" i="5"/>
  <c r="H32" i="5"/>
  <c r="D30" i="5"/>
  <c r="E32" i="5"/>
  <c r="H31" i="5"/>
  <c r="E31" i="5"/>
  <c r="H30" i="5"/>
  <c r="H29" i="5"/>
  <c r="E29" i="5"/>
  <c r="H28" i="5"/>
  <c r="E28" i="5"/>
  <c r="H27" i="5"/>
  <c r="E27" i="5"/>
  <c r="H26" i="5"/>
  <c r="E26" i="5"/>
  <c r="H25" i="5"/>
  <c r="E25" i="5"/>
  <c r="H24" i="5"/>
  <c r="E24" i="5"/>
  <c r="H23" i="5"/>
  <c r="E23" i="5"/>
  <c r="H22" i="5"/>
  <c r="E22" i="5"/>
  <c r="H21" i="5"/>
  <c r="E21" i="5"/>
  <c r="H20" i="5"/>
  <c r="E20" i="5"/>
  <c r="H19" i="5"/>
  <c r="E19" i="5"/>
  <c r="H18" i="5"/>
  <c r="E18" i="5"/>
  <c r="H17" i="5"/>
  <c r="D17" i="5"/>
  <c r="C17" i="5"/>
  <c r="E17" i="5" s="1"/>
  <c r="H16" i="5"/>
  <c r="E16" i="5"/>
  <c r="H15" i="5"/>
  <c r="E15" i="5"/>
  <c r="H14" i="5"/>
  <c r="D14" i="5"/>
  <c r="C14" i="5"/>
  <c r="E14" i="5" s="1"/>
  <c r="H13" i="5"/>
  <c r="E13" i="5"/>
  <c r="H12" i="5"/>
  <c r="E12" i="5"/>
  <c r="H11" i="5"/>
  <c r="E11" i="5"/>
  <c r="D11" i="5"/>
  <c r="C11" i="5"/>
  <c r="H10" i="5"/>
  <c r="E10" i="5"/>
  <c r="H9" i="5"/>
  <c r="E9" i="5"/>
  <c r="H8" i="5"/>
  <c r="D8" i="5"/>
  <c r="C8" i="5"/>
  <c r="E8" i="5" s="1"/>
  <c r="H7" i="5"/>
  <c r="E7" i="5"/>
  <c r="H6" i="5"/>
  <c r="E6" i="5"/>
  <c r="B2" i="5"/>
  <c r="B1" i="5"/>
  <c r="H45" i="4"/>
  <c r="H44" i="4"/>
  <c r="E44" i="4"/>
  <c r="H43" i="4"/>
  <c r="H42" i="4"/>
  <c r="E42" i="4"/>
  <c r="H41" i="4"/>
  <c r="E41" i="4"/>
  <c r="H40" i="4"/>
  <c r="E40" i="4"/>
  <c r="H39" i="4"/>
  <c r="H38" i="4"/>
  <c r="E38" i="4"/>
  <c r="H37" i="4"/>
  <c r="D37" i="4"/>
  <c r="H36" i="4"/>
  <c r="E36" i="4"/>
  <c r="H35" i="4"/>
  <c r="E35" i="4"/>
  <c r="H34" i="4"/>
  <c r="D34" i="4"/>
  <c r="C34" i="4"/>
  <c r="E34" i="4" s="1"/>
  <c r="H33" i="4"/>
  <c r="E33" i="4"/>
  <c r="H32" i="4"/>
  <c r="H31" i="4"/>
  <c r="D29" i="4"/>
  <c r="C29" i="4"/>
  <c r="H30" i="4"/>
  <c r="E30" i="4"/>
  <c r="H29" i="4"/>
  <c r="H28" i="4"/>
  <c r="E28" i="4"/>
  <c r="H27" i="4"/>
  <c r="E27" i="4"/>
  <c r="H26" i="4"/>
  <c r="E26" i="4"/>
  <c r="H25" i="4"/>
  <c r="E25" i="4"/>
  <c r="H24" i="4"/>
  <c r="E24" i="4"/>
  <c r="H23" i="4"/>
  <c r="E23" i="4"/>
  <c r="H22" i="4"/>
  <c r="E22" i="4"/>
  <c r="H21" i="4"/>
  <c r="E21" i="4"/>
  <c r="H20" i="4"/>
  <c r="H19" i="4"/>
  <c r="E19" i="4"/>
  <c r="H18" i="4"/>
  <c r="E18" i="4"/>
  <c r="H17" i="4"/>
  <c r="E17" i="4"/>
  <c r="H16" i="4"/>
  <c r="E16" i="4"/>
  <c r="C13" i="4"/>
  <c r="H15" i="4"/>
  <c r="E15" i="4"/>
  <c r="H14" i="4"/>
  <c r="E14" i="4"/>
  <c r="H13" i="4"/>
  <c r="D13" i="4"/>
  <c r="H12" i="4"/>
  <c r="E12" i="4"/>
  <c r="H11" i="4"/>
  <c r="D6" i="4"/>
  <c r="C6" i="4"/>
  <c r="H10" i="4"/>
  <c r="E10" i="4"/>
  <c r="H9" i="4"/>
  <c r="E9" i="4"/>
  <c r="H8" i="4"/>
  <c r="E8" i="4"/>
  <c r="H7" i="4"/>
  <c r="E7" i="4"/>
  <c r="H6" i="4"/>
  <c r="B2" i="4"/>
  <c r="B1" i="4"/>
  <c r="H69" i="3"/>
  <c r="H68" i="3"/>
  <c r="H67" i="3"/>
  <c r="E67" i="3"/>
  <c r="H66" i="3"/>
  <c r="E66" i="3"/>
  <c r="C66" i="12" s="1"/>
  <c r="H65" i="3"/>
  <c r="E65" i="3"/>
  <c r="C65" i="12" s="1"/>
  <c r="H64" i="3"/>
  <c r="C10" i="10"/>
  <c r="H63" i="3"/>
  <c r="D63" i="3"/>
  <c r="H62" i="3"/>
  <c r="E62" i="3"/>
  <c r="C62" i="12" s="1"/>
  <c r="H61" i="3"/>
  <c r="E61" i="3"/>
  <c r="C61" i="12" s="1"/>
  <c r="H60" i="3"/>
  <c r="E60" i="3"/>
  <c r="C60" i="12" s="1"/>
  <c r="H59" i="3"/>
  <c r="D59" i="3"/>
  <c r="C59" i="3"/>
  <c r="H58" i="3"/>
  <c r="E58" i="3"/>
  <c r="C58" i="12" s="1"/>
  <c r="H57" i="3"/>
  <c r="E57" i="3"/>
  <c r="C57" i="12" s="1"/>
  <c r="H56" i="3"/>
  <c r="E56" i="3"/>
  <c r="C56" i="12" s="1"/>
  <c r="H55" i="3"/>
  <c r="C7" i="10"/>
  <c r="H53" i="3"/>
  <c r="H52" i="3"/>
  <c r="E52" i="3"/>
  <c r="C52" i="12" s="1"/>
  <c r="H51" i="3"/>
  <c r="E51" i="3"/>
  <c r="C51" i="12" s="1"/>
  <c r="H50" i="3"/>
  <c r="E50" i="3"/>
  <c r="H49" i="3"/>
  <c r="E49" i="3"/>
  <c r="H48" i="3"/>
  <c r="E48" i="3"/>
  <c r="C47" i="12" s="1"/>
  <c r="H47" i="3"/>
  <c r="D47" i="3"/>
  <c r="H46" i="3"/>
  <c r="H45" i="3"/>
  <c r="E45" i="3"/>
  <c r="C44" i="12" s="1"/>
  <c r="H44" i="3"/>
  <c r="E44" i="3"/>
  <c r="C43" i="12" s="1"/>
  <c r="H43" i="3"/>
  <c r="E43" i="3"/>
  <c r="H42" i="3"/>
  <c r="H41" i="3"/>
  <c r="D41" i="3"/>
  <c r="H40" i="3"/>
  <c r="E40" i="3"/>
  <c r="C39" i="12" s="1"/>
  <c r="H39" i="3"/>
  <c r="H38" i="3"/>
  <c r="D38" i="3"/>
  <c r="C38" i="3"/>
  <c r="H36" i="3"/>
  <c r="H35" i="3"/>
  <c r="E35" i="3"/>
  <c r="C36" i="8" s="1"/>
  <c r="H34" i="3"/>
  <c r="E34" i="3"/>
  <c r="C35" i="8" s="1"/>
  <c r="H33" i="3"/>
  <c r="E33" i="3"/>
  <c r="H32" i="3"/>
  <c r="E32" i="3"/>
  <c r="C33" i="8" s="1"/>
  <c r="H31" i="3"/>
  <c r="E31" i="3"/>
  <c r="C32" i="8" s="1"/>
  <c r="H30" i="3"/>
  <c r="D30" i="3"/>
  <c r="C30" i="3"/>
  <c r="H29" i="3"/>
  <c r="E29" i="3"/>
  <c r="H28" i="3"/>
  <c r="E28" i="3"/>
  <c r="C29" i="8" s="1"/>
  <c r="H27" i="3"/>
  <c r="D27" i="3"/>
  <c r="H26" i="3"/>
  <c r="E26" i="3"/>
  <c r="C27" i="8" s="1"/>
  <c r="E27" i="8" s="1"/>
  <c r="C25" i="12" s="1"/>
  <c r="H25" i="3"/>
  <c r="E25" i="3"/>
  <c r="H24" i="3"/>
  <c r="D24" i="3"/>
  <c r="C24" i="3"/>
  <c r="H23" i="3"/>
  <c r="E23" i="3"/>
  <c r="H22" i="3"/>
  <c r="E22" i="3"/>
  <c r="C23" i="8" s="1"/>
  <c r="E23" i="8" s="1"/>
  <c r="H21" i="3"/>
  <c r="E21" i="3"/>
  <c r="H20" i="3"/>
  <c r="E20" i="3"/>
  <c r="H19" i="3"/>
  <c r="H18" i="3"/>
  <c r="E18" i="3"/>
  <c r="C19" i="8" s="1"/>
  <c r="E19" i="8" s="1"/>
  <c r="C17" i="12" s="1"/>
  <c r="H17" i="3"/>
  <c r="E17" i="3"/>
  <c r="C18" i="8" s="1"/>
  <c r="E18" i="8" s="1"/>
  <c r="C16" i="12" s="1"/>
  <c r="H16" i="3"/>
  <c r="E16" i="3"/>
  <c r="C17" i="8" s="1"/>
  <c r="H15" i="3"/>
  <c r="D15" i="3"/>
  <c r="C15" i="3"/>
  <c r="H14" i="3"/>
  <c r="E14" i="3"/>
  <c r="C15" i="8" s="1"/>
  <c r="E15" i="8" s="1"/>
  <c r="C13" i="12" s="1"/>
  <c r="H13" i="3"/>
  <c r="E13" i="3"/>
  <c r="C14" i="8" s="1"/>
  <c r="E14" i="8" s="1"/>
  <c r="C12" i="12" s="1"/>
  <c r="H12" i="3"/>
  <c r="E12" i="3"/>
  <c r="H11" i="3"/>
  <c r="C11" i="3"/>
  <c r="H10" i="3"/>
  <c r="H9" i="3"/>
  <c r="E9" i="3"/>
  <c r="C10" i="8" s="1"/>
  <c r="E10" i="8" s="1"/>
  <c r="C8" i="12" s="1"/>
  <c r="H8" i="3"/>
  <c r="H7" i="3"/>
  <c r="C7" i="3"/>
  <c r="B2" i="3"/>
  <c r="B1" i="3"/>
  <c r="C43" i="2"/>
  <c r="G5" i="2"/>
  <c r="F5" i="2"/>
  <c r="E5" i="2"/>
  <c r="D5" i="2"/>
  <c r="C5" i="2"/>
  <c r="B1" i="2"/>
  <c r="E15" i="3" l="1"/>
  <c r="E59" i="3"/>
  <c r="D68" i="3"/>
  <c r="E30" i="3"/>
  <c r="E24" i="3"/>
  <c r="D27" i="25"/>
  <c r="C8" i="17"/>
  <c r="C7" i="9"/>
  <c r="C67" i="12"/>
  <c r="C11" i="10"/>
  <c r="C6" i="10" s="1"/>
  <c r="E13" i="4"/>
  <c r="K8" i="28"/>
  <c r="C28" i="25"/>
  <c r="E17" i="8"/>
  <c r="C16" i="8"/>
  <c r="C21" i="8"/>
  <c r="C22" i="8"/>
  <c r="C24" i="8"/>
  <c r="E24" i="8" s="1"/>
  <c r="C34" i="8"/>
  <c r="C34" i="12"/>
  <c r="E36" i="8"/>
  <c r="D16" i="19"/>
  <c r="D14" i="19" s="1"/>
  <c r="C42" i="12"/>
  <c r="C13" i="10"/>
  <c r="C43" i="4"/>
  <c r="E6" i="4"/>
  <c r="C13" i="8"/>
  <c r="E13" i="8" s="1"/>
  <c r="C11" i="12" s="1"/>
  <c r="C30" i="8"/>
  <c r="C28" i="8" s="1"/>
  <c r="E33" i="8"/>
  <c r="C31" i="12"/>
  <c r="C48" i="12"/>
  <c r="C46" i="12" s="1"/>
  <c r="C49" i="12"/>
  <c r="D43" i="4"/>
  <c r="D45" i="4" s="1"/>
  <c r="E29" i="4"/>
  <c r="C35" i="19"/>
  <c r="C26" i="8"/>
  <c r="D53" i="3"/>
  <c r="C63" i="3"/>
  <c r="C42" i="2"/>
  <c r="C44" i="2" s="1"/>
  <c r="E10" i="3"/>
  <c r="C27" i="3"/>
  <c r="E27" i="3" s="1"/>
  <c r="E29" i="8"/>
  <c r="E38" i="3"/>
  <c r="C37" i="12" s="1"/>
  <c r="E39" i="3"/>
  <c r="C38" i="12" s="1"/>
  <c r="E42" i="3"/>
  <c r="E46" i="3"/>
  <c r="E55" i="3"/>
  <c r="E11" i="4"/>
  <c r="E20" i="4"/>
  <c r="E31" i="4"/>
  <c r="E32" i="4"/>
  <c r="C37" i="4"/>
  <c r="E37" i="4" s="1"/>
  <c r="E39" i="4"/>
  <c r="C30" i="5"/>
  <c r="E30" i="5" s="1"/>
  <c r="C27" i="12"/>
  <c r="I22" i="13"/>
  <c r="Q22" i="13"/>
  <c r="S18" i="13"/>
  <c r="S19" i="13"/>
  <c r="S20" i="13"/>
  <c r="C30" i="12"/>
  <c r="C31" i="8"/>
  <c r="S10" i="13"/>
  <c r="H21" i="17"/>
  <c r="M21" i="17"/>
  <c r="C19" i="3"/>
  <c r="D7" i="3"/>
  <c r="E7" i="3" s="1"/>
  <c r="E8" i="3"/>
  <c r="D11" i="3"/>
  <c r="D19" i="3"/>
  <c r="C41" i="3"/>
  <c r="E41" i="3" s="1"/>
  <c r="E64" i="3"/>
  <c r="G5" i="6"/>
  <c r="C5" i="6"/>
  <c r="C6" i="6"/>
  <c r="E32" i="8"/>
  <c r="E22" i="13"/>
  <c r="M22" i="13"/>
  <c r="S11" i="13"/>
  <c r="S13" i="13"/>
  <c r="C47" i="3"/>
  <c r="E47" i="3" s="1"/>
  <c r="C33" i="12"/>
  <c r="E35" i="8"/>
  <c r="C59" i="12"/>
  <c r="D5" i="6"/>
  <c r="G22" i="13"/>
  <c r="O22" i="13"/>
  <c r="S15" i="13"/>
  <c r="F21" i="17"/>
  <c r="S8" i="13"/>
  <c r="G9" i="19"/>
  <c r="G8" i="19" s="1"/>
  <c r="C8" i="19"/>
  <c r="E22" i="20"/>
  <c r="C21" i="21"/>
  <c r="H13" i="21"/>
  <c r="C22" i="21"/>
  <c r="G22" i="15"/>
  <c r="K21" i="16"/>
  <c r="K24" i="16" s="1"/>
  <c r="K25" i="16" s="1"/>
  <c r="G11" i="19"/>
  <c r="G15" i="19"/>
  <c r="C14" i="19"/>
  <c r="H14" i="20"/>
  <c r="E22" i="21"/>
  <c r="H8" i="20"/>
  <c r="C34" i="22"/>
  <c r="C10" i="23"/>
  <c r="C15" i="23" s="1"/>
  <c r="N8" i="26"/>
  <c r="L8" i="25"/>
  <c r="G26" i="19"/>
  <c r="C33" i="22"/>
  <c r="G22" i="21"/>
  <c r="J8" i="26"/>
  <c r="O8" i="25"/>
  <c r="S8" i="25"/>
  <c r="C11" i="19"/>
  <c r="H7" i="21"/>
  <c r="H16" i="21"/>
  <c r="D22" i="21"/>
  <c r="E34" i="22"/>
  <c r="H21" i="22"/>
  <c r="H25" i="22"/>
  <c r="F8" i="26"/>
  <c r="K8" i="25"/>
  <c r="D19" i="29"/>
  <c r="H7" i="22"/>
  <c r="H20" i="22"/>
  <c r="H24" i="22"/>
  <c r="H28" i="22"/>
  <c r="D33" i="22"/>
  <c r="D34" i="22" s="1"/>
  <c r="R8" i="26"/>
  <c r="G8" i="25"/>
  <c r="C16" i="26"/>
  <c r="C14" i="25"/>
  <c r="I8" i="26"/>
  <c r="M8" i="26"/>
  <c r="Q8" i="26"/>
  <c r="C33" i="27"/>
  <c r="D7" i="29"/>
  <c r="I7" i="29"/>
  <c r="I19" i="29" s="1"/>
  <c r="N7" i="29"/>
  <c r="N19" i="29" s="1"/>
  <c r="E8" i="25"/>
  <c r="H8" i="25"/>
  <c r="C29" i="12" l="1"/>
  <c r="H8" i="26"/>
  <c r="O8" i="26"/>
  <c r="E31" i="8"/>
  <c r="C64" i="12"/>
  <c r="C63" i="12" s="1"/>
  <c r="C21" i="20"/>
  <c r="C9" i="8"/>
  <c r="C41" i="12"/>
  <c r="C40" i="12" s="1"/>
  <c r="C15" i="10"/>
  <c r="C28" i="12"/>
  <c r="C26" i="12" s="1"/>
  <c r="D30" i="8"/>
  <c r="D28" i="8" s="1"/>
  <c r="D37" i="8" s="1"/>
  <c r="G16" i="19"/>
  <c r="G14" i="19" s="1"/>
  <c r="C32" i="12"/>
  <c r="E34" i="8"/>
  <c r="C20" i="12"/>
  <c r="E22" i="8"/>
  <c r="C15" i="12"/>
  <c r="C14" i="12" s="1"/>
  <c r="E16" i="8"/>
  <c r="H33" i="22"/>
  <c r="S22" i="13"/>
  <c r="C13" i="6"/>
  <c r="D36" i="3"/>
  <c r="C12" i="10"/>
  <c r="E21" i="8"/>
  <c r="E20" i="8" s="1"/>
  <c r="C19" i="12"/>
  <c r="C20" i="8"/>
  <c r="C10" i="9"/>
  <c r="C53" i="3"/>
  <c r="D22" i="25"/>
  <c r="C27" i="25"/>
  <c r="C22" i="25" s="1"/>
  <c r="D8" i="25"/>
  <c r="C13" i="25"/>
  <c r="E8" i="26"/>
  <c r="G8" i="26"/>
  <c r="S8" i="26"/>
  <c r="G24" i="19"/>
  <c r="H22" i="15"/>
  <c r="H22" i="21"/>
  <c r="E19" i="3"/>
  <c r="C55" i="12"/>
  <c r="C68" i="12" s="1"/>
  <c r="C11" i="8"/>
  <c r="E11" i="8" s="1"/>
  <c r="C9" i="12" s="1"/>
  <c r="E63" i="3"/>
  <c r="C68" i="3"/>
  <c r="C25" i="8"/>
  <c r="E26" i="8"/>
  <c r="C22" i="12"/>
  <c r="C11" i="9"/>
  <c r="C32" i="2"/>
  <c r="K8" i="26"/>
  <c r="H21" i="21"/>
  <c r="L8" i="26"/>
  <c r="H34" i="22"/>
  <c r="C45" i="12"/>
  <c r="D69" i="3"/>
  <c r="F33" i="19"/>
  <c r="C33" i="19"/>
  <c r="C36" i="3"/>
  <c r="E43" i="4"/>
  <c r="C45" i="4"/>
  <c r="E8" i="17"/>
  <c r="C7" i="17"/>
  <c r="E11" i="3"/>
  <c r="C53" i="12" l="1"/>
  <c r="C69" i="12" s="1"/>
  <c r="C18" i="12"/>
  <c r="C12" i="8"/>
  <c r="E12" i="8" s="1"/>
  <c r="E68" i="3"/>
  <c r="D8" i="26"/>
  <c r="C8" i="25"/>
  <c r="E30" i="8"/>
  <c r="E28" i="8" s="1"/>
  <c r="H21" i="20"/>
  <c r="C22" i="20"/>
  <c r="D22" i="20"/>
  <c r="E36" i="3"/>
  <c r="E53" i="3"/>
  <c r="C69" i="3"/>
  <c r="C21" i="17"/>
  <c r="E45" i="4"/>
  <c r="G35" i="19"/>
  <c r="G20" i="19"/>
  <c r="G18" i="19" s="1"/>
  <c r="G21" i="19" s="1"/>
  <c r="C18" i="19"/>
  <c r="E9" i="8"/>
  <c r="C8" i="8"/>
  <c r="E7" i="17"/>
  <c r="K8" i="17"/>
  <c r="C24" i="12"/>
  <c r="C23" i="12" s="1"/>
  <c r="E25" i="8"/>
  <c r="C29" i="10"/>
  <c r="C37" i="8" l="1"/>
  <c r="C46" i="2"/>
  <c r="E69" i="3"/>
  <c r="H22" i="20"/>
  <c r="C8" i="26"/>
  <c r="E21" i="17"/>
  <c r="K7" i="17"/>
  <c r="N8" i="17"/>
  <c r="E8" i="8"/>
  <c r="C7" i="12"/>
  <c r="C6" i="12" s="1"/>
  <c r="G33" i="19"/>
  <c r="G37" i="19" s="1"/>
  <c r="C47" i="2" s="1"/>
  <c r="C10" i="12"/>
  <c r="G39" i="19" l="1"/>
  <c r="C48" i="2"/>
  <c r="N7" i="17"/>
  <c r="K21" i="17"/>
  <c r="C12" i="18"/>
  <c r="K6" i="28"/>
  <c r="C35" i="12"/>
  <c r="C35" i="18"/>
  <c r="E37" i="8"/>
  <c r="C49" i="2" l="1"/>
  <c r="C18" i="18"/>
  <c r="L6" i="28"/>
  <c r="C5" i="9"/>
  <c r="N21" i="17"/>
  <c r="C8" i="9" l="1"/>
  <c r="C13" i="9" s="1"/>
  <c r="C36" i="18"/>
  <c r="C38" i="18" l="1"/>
</calcChain>
</file>

<file path=xl/sharedStrings.xml><?xml version="1.0" encoding="utf-8"?>
<sst xmlns="http://schemas.openxmlformats.org/spreadsheetml/2006/main" count="1207" uniqueCount="745">
  <si>
    <t>პილარ 3-ის კვარტალური ანგარიშგება</t>
  </si>
  <si>
    <t>ბანკის სრული დასახელება</t>
  </si>
  <si>
    <t>სს სილქ ბანკი</t>
  </si>
  <si>
    <t>ბანკის სამეთვალყურეო საბჭოს თავმჯდომარე</t>
  </si>
  <si>
    <t>ი. მანაგაძე</t>
  </si>
  <si>
    <t>ბანკის გენერალური დირექტორი</t>
  </si>
  <si>
    <t>ა.ხოროშვილი</t>
  </si>
  <si>
    <t>ბანკის ვებ-გვერდი</t>
  </si>
  <si>
    <t>www.silkbank.ge</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</si>
  <si>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</si>
  <si>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ცხრილი N</t>
  </si>
  <si>
    <t>სარჩევი</t>
  </si>
  <si>
    <t>ძირითადი მაჩვენებლები</t>
  </si>
  <si>
    <t>საბალანსო უწყისი</t>
  </si>
  <si>
    <t>მოგება-ზარალის ანგარიშგება</t>
  </si>
  <si>
    <t xml:space="preserve">ბალანსგარეშე ანგარიშების უწყისი </t>
  </si>
  <si>
    <t>რისკის მიხედვით შეწონილი რისკის პოზიციები</t>
  </si>
  <si>
    <t>ინფორმაცია ბანკის სამეთვალყურეო საბჭოს, დირექტორატის და აქციონერთა შესახებ</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</si>
  <si>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</si>
  <si>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</si>
  <si>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საზედამხედველო კაპიტალი</t>
  </si>
  <si>
    <t>9.1</t>
  </si>
  <si>
    <t>კაპიტალის ადეკვატურობის მოთხოვნები</t>
  </si>
  <si>
    <t>საბალანსო უწყისისა და საზედამხედველო კაპიტალის ელემენტებს შორის კავშირები</t>
  </si>
  <si>
    <t>საკრედიტო რისკის მიხედვით შეწონილი რისკის პოზიციები</t>
  </si>
  <si>
    <t>საკრედიტო რისკის მიტიგაცია</t>
  </si>
  <si>
    <t>სტანდარტიზებული მიდგომა - საკრედიტო რისკის მიტიგაციის ეფექტი</t>
  </si>
  <si>
    <t>ლიკვიდობის გადაფარვის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</si>
  <si>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</si>
  <si>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ლევერიჯის კოეფიციენტი</t>
  </si>
  <si>
    <t>წმინდა სტაბილური დაფინანსების კოეფიციენტი</t>
  </si>
  <si>
    <t>რისკის პოზიციის ღირებულება ნარჩენი ვადიანობის  და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</si>
  <si>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</si>
  <si>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</si>
  <si>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მოსალოდნელი საკრედიტო ზარალის ცვლილება სესხებზე და კორპორატიულ სავალო ფასიან ქაღალდებზე</t>
  </si>
  <si>
    <t>უმოქმედო სესხების ცვლილება</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</si>
  <si>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</si>
  <si>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</si>
  <si>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</si>
  <si>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</si>
  <si>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ზოგადი და ხარისხობრივი ინფორმაცია საცალო პროდუქტებზე</t>
  </si>
  <si>
    <t>ბანკი:</t>
  </si>
  <si>
    <t>თარიღი:</t>
  </si>
  <si>
    <t>ცხრილი 1</t>
  </si>
  <si>
    <t>ფასს-ის საფუძელზე დაანგარიშებული რიცხვები</t>
  </si>
  <si>
    <t>"საქართველოს საბანკო დაწესებულებებისათვის ბუღალტრული აღრიცხვის ანგარიშთა გეგმის და ანგარიშთა გეგმის გამოყენების ინსტრუქციის“  შესაბამისად დაანგარიშებული რიცხვები</t>
  </si>
  <si>
    <t>N</t>
  </si>
  <si>
    <t>4Q-2022</t>
  </si>
  <si>
    <t>3Q-2022</t>
  </si>
  <si>
    <t>2Q-2022</t>
  </si>
  <si>
    <t>1Q-2022</t>
  </si>
  <si>
    <t>საზედამხედველო კაპიტალი (მოცულობა, ლარი)</t>
  </si>
  <si>
    <t>ბაზელ III-ზე დაფუძნებული ჩარჩოს მიხედვით</t>
  </si>
  <si>
    <t>ძირითადი პირველადი კაპიტალი</t>
  </si>
  <si>
    <t>პირველადი კაპიტალი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</si>
  <si>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</si>
  <si>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</si>
  <si>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</si>
  <si>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(მოცულობა, ლარი)</t>
  </si>
  <si>
    <t>რისკის მიხედვით შეწონილი მთლიანი რისკის პოზიციები (ბაზელ III-ზე დაფუძნებული ჩარჩოს მიხედვით)</t>
  </si>
  <si>
    <t>კაპიტალის ადეკვატურობის კოეფიციენტები (%)</t>
  </si>
  <si>
    <t>ბაზელ III-ზე დაფუძნებული ჩარჩოს მიხედვით *</t>
  </si>
  <si>
    <t>ძირითადი პირველადი კაპიტალის კოეფიციენტი</t>
  </si>
  <si>
    <t>პირველადი კაპიტალის კოეფიციენტი</t>
  </si>
  <si>
    <t>საზედამხედველო კაპიტალის კოეფიციენტი</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</si>
  <si>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</si>
  <si>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</si>
  <si>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</si>
  <si>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</si>
  <si>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წმინდა საპროცენტო მარჟა</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</si>
  <si>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</si>
  <si>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</si>
  <si>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</si>
  <si>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</si>
  <si>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</si>
  <si>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</si>
  <si>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</si>
  <si>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</si>
  <si>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</si>
  <si>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</si>
  <si>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</si>
  <si>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</si>
  <si>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</si>
  <si>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</si>
  <si>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</si>
  <si>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ლიკვიდობის გადაფარვის კოეფიციენტი (%)</t>
  </si>
  <si>
    <t>ხელმისაწვდომი სტაბილური დაფინანსება</t>
  </si>
  <si>
    <t>სტაბილური დაფინანსების საჭიროება</t>
  </si>
  <si>
    <t>წმინდა სტაბილური დაფინანსების კოეფიციენტი (%)</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</si>
  <si>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https://nbg.gov.ge/page/covid-19</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</si>
  <si>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</si>
  <si>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ფინანსური მდგომარეობის ანგარიშგება</t>
  </si>
  <si>
    <t>საანგარიშგებო პერიოდი</t>
  </si>
  <si>
    <t>წინა წლის შესაბამისი პერიოდი</t>
  </si>
  <si>
    <t>ლარი</t>
  </si>
  <si>
    <t>უცხ.ვალუტა</t>
  </si>
  <si>
    <t>სულ</t>
  </si>
  <si>
    <t>აქტივები</t>
  </si>
  <si>
    <t>ნაღდი ფული, ფულადი სახსრები საქართველოს ეროვნული ბანკში და სხვა ბანკებში</t>
  </si>
  <si>
    <t>ნაღდი ფული</t>
  </si>
  <si>
    <t>ფულადი სახსრები საქართველოს ეროვნულ ბანკში</t>
  </si>
  <si>
    <t>ფულადი სახსრები სხვა ბანკებში</t>
  </si>
  <si>
    <t>სავაჭროდ გამიზნული ფინანსური აქტივები</t>
  </si>
  <si>
    <t>მათ შორის: წარმოებული ფინანსური ინსტრუმენტები</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</si>
  <si>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</si>
  <si>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</si>
  <si>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</si>
  <si>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წილობრივი ინსტრუმენტები</t>
  </si>
  <si>
    <t>სავალო ფასიანი ქაღალდები</t>
  </si>
  <si>
    <t>გაცემული სესხები და მოთხოვნები</t>
  </si>
  <si>
    <t>ამორტიზებული ღირებულებით შეფასებული ფინანსური აქტივები</t>
  </si>
  <si>
    <t>ინვესტიციები შვილობილ, მეკავშირე და ერთობლივ საწარმოებში</t>
  </si>
  <si>
    <t>გასაყიდად გამიზნული გრძელვადიანი აქტივები და გამსვლელი ჯგუფები</t>
  </si>
  <si>
    <t>მატერიალური აქტივები</t>
  </si>
  <si>
    <t>ძირითადი საშუალებები</t>
  </si>
  <si>
    <t>საინვესტიციო ქონება</t>
  </si>
  <si>
    <t>არამატერიალური აქტივები</t>
  </si>
  <si>
    <t>გუდვილი</t>
  </si>
  <si>
    <t>სხვა არამატერიალური აქტივები</t>
  </si>
  <si>
    <t>საგადასახადო აქტივები</t>
  </si>
  <si>
    <t>მიმდინარე საგადასახადო აქტივები</t>
  </si>
  <si>
    <t>გადავადებული საგადასახადო აქტივები</t>
  </si>
  <si>
    <t>სხვა აქტივები</t>
  </si>
  <si>
    <t>მათ შორის: დასაკუთრებული ქონება</t>
  </si>
  <si>
    <t>მათ შორის: მისაღები დივიდენდები</t>
  </si>
  <si>
    <t>სულ აქტივები</t>
  </si>
  <si>
    <t>ვალდებულებები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</si>
  <si>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</si>
  <si>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</si>
  <si>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ამორტიზებული ღირებულებით შეფასებული ფინანსური ვალდებულებები</t>
  </si>
  <si>
    <t>დეპოზიტები</t>
  </si>
  <si>
    <t>ნასესხები სახსრები</t>
  </si>
  <si>
    <t>გამოშვებული სავალო ფასიანი ქაღალდები</t>
  </si>
  <si>
    <t>სხვა ფინანსური ვალდებულებები</t>
  </si>
  <si>
    <t>ანარიცხები</t>
  </si>
  <si>
    <t>საგადასახადო ვალდებულებები</t>
  </si>
  <si>
    <t>მიმდინარე საგადასახადო ვალდებულებები</t>
  </si>
  <si>
    <t>გადავადებული საგადასახადო ვალდებულებები</t>
  </si>
  <si>
    <t>სუბორდინირებული ვალდებულებები</t>
  </si>
  <si>
    <t>სხვა ვალდებულებები</t>
  </si>
  <si>
    <t>მათ შორის: გადასახდელი დივიდენდები</t>
  </si>
  <si>
    <t>სულ ვალდებულებები</t>
  </si>
  <si>
    <t>საკუთარი კაპიტალი</t>
  </si>
  <si>
    <t>სააქციო კაპიტალი</t>
  </si>
  <si>
    <t>პრივილეგრირებული აქციები</t>
  </si>
  <si>
    <t>საემისიო კაპიტალი</t>
  </si>
  <si>
    <t>(-) გამოსყიდული საკუთარი აქციები</t>
  </si>
  <si>
    <t>გამოშვებული წილობრივი ინსტრუმენტები, გარდა საკუთარი კაპიტალისა</t>
  </si>
  <si>
    <t>რთული ფინანსური ინსტრუმენტის წილობრივი კომპონენტი</t>
  </si>
  <si>
    <t>სხვა გამოშვებული წილობრივი ინსტრუმენტები</t>
  </si>
  <si>
    <t>აქციებზე დაფუძნებული გადახდის რეზერვი</t>
  </si>
  <si>
    <t>დაგროვილი სხვა სრული შემოსავალი</t>
  </si>
  <si>
    <t>გადაფასების რეზერვი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</si>
  <si>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</si>
  <si>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</si>
  <si>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გაუნაწილებელი მოგება</t>
  </si>
  <si>
    <t>სულ საკუთარი კაპიტალი</t>
  </si>
  <si>
    <t>სულ საკუთარი კაპიტალი და ვალდებულებები</t>
  </si>
  <si>
    <t>საპროცენტო შემოსავალი</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</si>
  <si>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</si>
  <si>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</si>
  <si>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(საპროცენტო ხარჯები)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</si>
  <si>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</si>
  <si>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</si>
  <si>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(ამორტიზებული ღირებულებით შეფასებული ფინანსური ვალდებულებები)</t>
  </si>
  <si>
    <t>(სხვა ვალდებულებები)</t>
  </si>
  <si>
    <t>შემოსავალი დივიდენდებიდან</t>
  </si>
  <si>
    <t>საკომისიო შემოსავალი</t>
  </si>
  <si>
    <t>(საკომისიო ხარჯი)</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</si>
  <si>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</si>
  <si>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შემოსულობა ან (-) ზარალი სავაჭროდ გამიზნული ფინანსური აქტივებიდან და ვალდებულებებიდან,წმინდა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</si>
  <si>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</si>
  <si>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</si>
  <si>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საკურსო სხვაობა [შემოსულობა ან (-) ზარალი],წმინდა</t>
  </si>
  <si>
    <t>არაფინანსური აქტივების აღიარების შეწყვეტიდან მიღებული შემოსულობა ან (-) ზარალი,წმინდა</t>
  </si>
  <si>
    <t>სხვა საოპერაციო შემოსავალი</t>
  </si>
  <si>
    <t>(სხვა საოპერაციო ხარჯი)</t>
  </si>
  <si>
    <t>(ადმინისტრაციული ხარჯები)</t>
  </si>
  <si>
    <t>(შრომის ანაზღაურების ხარჯი)</t>
  </si>
  <si>
    <t>(სხვა ადმინისტრაციული ხარჯი)</t>
  </si>
  <si>
    <t>(ცვეთის და ამორტიზაციის ხარჯები)</t>
  </si>
  <si>
    <t>ფინანსური ინსტრუმენტების მოდოფიკაციით მიღებული შემოსულობა ან (-) ზარალი,წმინდა</t>
  </si>
  <si>
    <t>(ანარიცხები ან (-) ანარიცხების ანულირება)</t>
  </si>
  <si>
    <t>(გაცემული გარანტიები და შესრულების პირობა)</t>
  </si>
  <si>
    <t>(სხვა ანარიცხები)</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</si>
  <si>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</si>
  <si>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</si>
  <si>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(ამორტიზებული ღირებულებით შეფასებული ფინანსური აქტივები)</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</si>
  <si>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</si>
  <si>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არაფინანსური აქტივების გაუფასურება ან (-) გაუფასურების ანულირება</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</si>
  <si>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</si>
  <si>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მოგება ან (-) ზარალი დაბეგვრამდე</t>
  </si>
  <si>
    <t>(მოგების გადასახადის ხარჯი ან (-) შემოსავალი)</t>
  </si>
  <si>
    <t>მოგება ან (-) ზარალი დაბეგვრის შემდეგ</t>
  </si>
  <si>
    <t>ბალანსგარეშე ანგარიშგების უწყისი</t>
  </si>
  <si>
    <t>მიღებული "სესხის გაცემის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</si>
  <si>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</si>
  <si>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მოთხოვნის უზრუნველყოფის მიზნით მიღებული გარანტიები</t>
  </si>
  <si>
    <t xml:space="preserve">თავდებობა, სოლიდარული პასუხისმგებლობა </t>
  </si>
  <si>
    <t xml:space="preserve">გარანტია </t>
  </si>
  <si>
    <t>ბანკის მიმართ არსებული მოთხოვნის უზრუნველყოფის მიზნით დატვირთული ბანკის აქტივები</t>
  </si>
  <si>
    <t>ბანკის ფინანსური აქტივები</t>
  </si>
  <si>
    <t>ბანკის არაფინანსური აქტივები</t>
  </si>
  <si>
    <t>გირავნობის უზრუნველყოფის სახით მიღებული აქტივები:</t>
  </si>
  <si>
    <t>ფულადი სახსრები</t>
  </si>
  <si>
    <t>ძვირფასი ლითონები და ქვები</t>
  </si>
  <si>
    <t>უძრავი ქონება:</t>
  </si>
  <si>
    <t>5.3.1</t>
  </si>
  <si>
    <t>საცხოვრებელი</t>
  </si>
  <si>
    <t>5.3.2</t>
  </si>
  <si>
    <t>კომერციული</t>
  </si>
  <si>
    <t>5.3.3</t>
  </si>
  <si>
    <t>კომპლექსური ტიპის უძრავი ქონება</t>
  </si>
  <si>
    <t>5.3.4</t>
  </si>
  <si>
    <t>მიწის ნაკვეთები (შენობა ნაგებობების გარეშე)</t>
  </si>
  <si>
    <t>5.3.5</t>
  </si>
  <si>
    <t>სხვა</t>
  </si>
  <si>
    <t>მოძრავი ქონება</t>
  </si>
  <si>
    <t>წილის გირავნობა</t>
  </si>
  <si>
    <t xml:space="preserve">ფასიანი ქაღალდები  </t>
  </si>
  <si>
    <t>სესხის გაცემის ვალდებულებები</t>
  </si>
  <si>
    <t>გაცემული გარანტიები</t>
  </si>
  <si>
    <t>აკრედიტივი</t>
  </si>
  <si>
    <t>წარმოებული ფინანსური ინსტრუმენტები</t>
  </si>
  <si>
    <t>სავალუტო კურსთან დაკავშირებული კონტრაქტების (გარდა ოფციონებისა) ფარგლებში მისაღები თანხები</t>
  </si>
  <si>
    <t>სავალუტო კურსთან დაკავშირებული კონტრაქტების (გარდა ოფციონებისა) ფარგლებში გასაცები თანხები</t>
  </si>
  <si>
    <t xml:space="preserve">საპროცენტო განაკვეთთან დაკავშირებული კონტრაქტების (გარდა ოფციონებისა) ძირითადი თანხა </t>
  </si>
  <si>
    <t>გაყიდული ოფციონები</t>
  </si>
  <si>
    <t>ნაყიდი ოფციონები</t>
  </si>
  <si>
    <t>სხვა წარმოებული ინსტრუმენტების ფარგლებში ბანკის პოტენციური მოთხოვნის ნომინალური ღირებულება</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</si>
  <si>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</si>
  <si>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ზარალში ჩამოწერილი ვალები</t>
  </si>
  <si>
    <t>ბოლო 3 თვის განმავალობაში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</si>
  <si>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</si>
  <si>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</si>
  <si>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</si>
  <si>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კაპიტალური დანახარჯების პოტენციური სახელშეკრულებო ვალდებულება</t>
  </si>
  <si>
    <t>ცხრილი 5</t>
  </si>
  <si>
    <t>ლარებით</t>
  </si>
  <si>
    <t>საკრედიტო რისკი მიხედვით შეწონილი რისკის პოზიციები</t>
  </si>
  <si>
    <t>საბალანსო ელემენტები*</t>
  </si>
  <si>
    <t>1.1.1</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</si>
  <si>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</si>
  <si>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გარესაბალანსო ელემენტები</t>
  </si>
  <si>
    <t>საბაზრო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</si>
  <si>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</si>
  <si>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სულ რისკის მიხედვით შეწონილი რისკის პოზიციები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</si>
  <si>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</si>
  <si>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ცხრილი 6</t>
  </si>
  <si>
    <t>სამეთვალყურეო საბჭოს შემადგენლობა</t>
  </si>
  <si>
    <t>დამოუკიდებლობის სტატუსი</t>
  </si>
  <si>
    <t>ირაკლი მანაგაძე</t>
  </si>
  <si>
    <t>დამოუკიდებელი თავმჯდომარე</t>
  </si>
  <si>
    <t>ვასილ კენკიშვილი</t>
  </si>
  <si>
    <t>არადამოუკიდებელ წევრი</t>
  </si>
  <si>
    <t>არჩილ ლურსმანაშვილი</t>
  </si>
  <si>
    <t>დევიდ ფრანც ბორგერი, /გერმანია/</t>
  </si>
  <si>
    <t>მზია ქოქუაშვილი</t>
  </si>
  <si>
    <t>დამოუკიდებელი წევრი</t>
  </si>
  <si>
    <t>ნანა ჩხობაძე</t>
  </si>
  <si>
    <t>დირექტორთა საბჭოს შემადგენლობა</t>
  </si>
  <si>
    <t>პოზიციის დასახელება/კონტროლს დაქვემდებარებული მიმართულება ბანკში</t>
  </si>
  <si>
    <t>ალექსი ხოროშვილი</t>
  </si>
  <si>
    <t>გენერალური დირექტორი</t>
  </si>
  <si>
    <t>გიორგი ღიბრაძე</t>
  </si>
  <si>
    <t>იურიდიული დირექტორი</t>
  </si>
  <si>
    <t>ნათია მერაბიშვილი</t>
  </si>
  <si>
    <t>ოპერაციების მართვის დირექტორი</t>
  </si>
  <si>
    <t>ირაკლი ბენდელიანი</t>
  </si>
  <si>
    <t>ინფორმაციული ტექნოლოგიების დირექტორი</t>
  </si>
  <si>
    <t>გიორგი კალოიანი</t>
  </si>
  <si>
    <t>რისკების დირექტორი</t>
  </si>
  <si>
    <t>დავით ნინიძე</t>
  </si>
  <si>
    <t>პროდუქტებისა და ინოვაციების დირექტორი</t>
  </si>
  <si>
    <t>საწესდებო კაპიტალის 1% და მეტი წილის მფლობელი აქციონერების ჩამონათვალი წილების მითითებით</t>
  </si>
  <si>
    <t>სილქ როუდ გრუპ ჰოლდინგ (მალტა) ლიმიტედ, მალტა</t>
  </si>
  <si>
    <t>შპს პარტომტა</t>
  </si>
  <si>
    <t>სს სილქ ჰოლდინგი</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</si>
  <si>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</si>
  <si>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გიორგი რამიშვილი</t>
  </si>
  <si>
    <t>ალექსი თოფურია</t>
  </si>
  <si>
    <t>დევიდ ფრანც ბორგერი, გერმანია</t>
  </si>
  <si>
    <t>აქციებით შეზღუდული კერძო კომპანია ბრეიტენბერგ პრაივიტ ლიმიტედ, სინგაპური</t>
  </si>
  <si>
    <t>2.1.1</t>
  </si>
  <si>
    <t xml:space="preserve"> ერკინ ტატიშევი, ყაზახეთი</t>
  </si>
  <si>
    <t>ცხრილი 7</t>
  </si>
  <si>
    <t>a</t>
  </si>
  <si>
    <t>b</t>
  </si>
  <si>
    <t>c</t>
  </si>
  <si>
    <t xml:space="preserve">სტანდარტიზებული საზედამხედველო ანგარიშგების საბალანსო ელემენტები </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</si>
  <si>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</si>
  <si>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 საბალანსო ღირებულებები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</si>
  <si>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</si>
  <si>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</si>
  <si>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</si>
  <si>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ცხრილი 8</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</si>
  <si>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</si>
  <si>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</si>
  <si>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</si>
  <si>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</si>
  <si>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</si>
  <si>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</si>
  <si>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</si>
  <si>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სხვა კორექტირებების ეფექტი (ასეთის არსებობის შემთხვევაში) *</t>
  </si>
  <si>
    <t>სულ საკრედიტო რისკის მიხედვით შეწონვას დაქვემდებარებული რისკის პოზიციები</t>
  </si>
  <si>
    <t>* სხვა კორექტირებები მოიცავს COVID 19-თან დაკავშირებულ რეზერვებსაც დადებითი ნიშნით. აღნიშნულის გამოკლება ხდება რისკის მიხედვით შეწონილი რისკის პოზიციების დაანგარიშების შემდეგ. იხ. ცხრილი "5.RWA"</t>
  </si>
  <si>
    <t>ცხრილი 9</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</si>
  <si>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</si>
  <si>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</si>
  <si>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</si>
  <si>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</si>
  <si>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</si>
  <si>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</si>
  <si>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</si>
  <si>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</si>
  <si>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</si>
  <si>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</si>
  <si>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</si>
  <si>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</si>
  <si>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</si>
  <si>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</si>
  <si>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</si>
  <si>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</si>
  <si>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სხვა დაქვითვები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</si>
  <si>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</si>
  <si>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</si>
  <si>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</si>
  <si>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</si>
  <si>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</si>
  <si>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</si>
  <si>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</si>
  <si>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</si>
  <si>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</si>
  <si>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</si>
  <si>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</si>
  <si>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</si>
  <si>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</si>
  <si>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</si>
  <si>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</si>
  <si>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დამატებითი პირველადი კაპიტალი</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</si>
  <si>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</si>
  <si>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</si>
  <si>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</si>
  <si>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ზოგადი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</si>
  <si>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</si>
  <si>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</si>
  <si>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</si>
  <si>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</si>
  <si>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t>
  </si>
  <si>
    <t xml:space="preserve">   </t>
  </si>
  <si>
    <t>ცხრილი 9.1</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</si>
  <si>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</si>
  <si>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</si>
  <si>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</si>
  <si>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</si>
  <si>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</si>
  <si>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</si>
  <si>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</si>
  <si>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</si>
  <si>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</si>
  <si>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</si>
  <si>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</si>
  <si>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</si>
  <si>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</si>
  <si>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კაპიტალის კონსერვაციის ბუფერი*</t>
  </si>
  <si>
    <t>2.2</t>
  </si>
  <si>
    <t>კონტრციკლური ბუფერი</t>
  </si>
  <si>
    <t>2.3</t>
  </si>
  <si>
    <t>სისტემური რისკის ბუფერი</t>
  </si>
  <si>
    <t>3</t>
  </si>
  <si>
    <t>პილარ 2-ის მოთხოვნა</t>
  </si>
  <si>
    <t>3.1</t>
  </si>
  <si>
    <t>პილარ 2-ის მოთხოვნა ძირითად პირველად კაპიტალზე</t>
  </si>
  <si>
    <t>3.2</t>
  </si>
  <si>
    <t>პილარ 2-ის მოთხოვნა პირველად კაპიტალზე</t>
  </si>
  <si>
    <t>3.3</t>
  </si>
  <si>
    <t>პილარ 2-ის მოთხოვნა საზედამხედველო კაპიტალზე</t>
  </si>
  <si>
    <t>ჯამური მოთხოვნები</t>
  </si>
  <si>
    <t>6</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</si>
  <si>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</si>
  <si>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ცხრილი 10</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</si>
  <si>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</si>
  <si>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კავშირი Capital-ის ცხრილთან</t>
  </si>
  <si>
    <t xml:space="preserve"> ცხრილი 9 (Capital), N10 </t>
  </si>
  <si>
    <t>მ.შ. სუბორდინირებული ვალდებულებების საკონტრაქტო ღირებულება</t>
  </si>
  <si>
    <t xml:space="preserve"> ცხრილი 9 (Capital), N38</t>
  </si>
  <si>
    <t>ცხრილი 11</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</si>
  <si>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</si>
  <si>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d</t>
  </si>
  <si>
    <t>e</t>
  </si>
  <si>
    <t>f</t>
  </si>
  <si>
    <t>g</t>
  </si>
  <si>
    <t>h</t>
  </si>
  <si>
    <t>i</t>
  </si>
  <si>
    <t>j</t>
  </si>
  <si>
    <t>k</t>
  </si>
  <si>
    <t>l</t>
  </si>
  <si>
    <t>m</t>
  </si>
  <si>
    <t>n</t>
  </si>
  <si>
    <t>o</t>
  </si>
  <si>
    <t>p</t>
  </si>
  <si>
    <t>q</t>
  </si>
  <si>
    <t xml:space="preserve">                                                                                                                                           რისკის წონები
აქტივების კლასები</t>
  </si>
  <si>
    <t>საკრედიტო რისკის მიხედვით შეწონილი რისკის პოზიციები საკრედიტო რისკის მიტიგაციამდე</t>
  </si>
  <si>
    <t>საბალანსო</t>
  </si>
  <si>
    <t>გარესაბალანსო</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</si>
  <si>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</si>
  <si>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</si>
  <si>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</si>
  <si>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</si>
  <si>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</si>
  <si>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</si>
  <si>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</si>
  <si>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</si>
  <si>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უძრავი ქონებით</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</si>
  <si>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</si>
  <si>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</si>
  <si>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</si>
  <si>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</si>
  <si>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სხვა ერთეულები</t>
  </si>
  <si>
    <t>ცხრილი 12</t>
  </si>
  <si>
    <t>საკრედიტო რისკის მიტიგაცია 
(საბალანსო და გარესაბალანსო ელემენტები)</t>
  </si>
  <si>
    <t>კრედიტის დაფინანსებული უზრუნველყოფა</t>
  </si>
  <si>
    <t>კრედიტის დაუფინანსებელი უზრუნველყოფა</t>
  </si>
  <si>
    <t>სულ საბალანსო ელემენტების საკრედიტო მიტიგაცია</t>
  </si>
  <si>
    <t>სულ გარესაბალანსო ელემენტების საკრედიტო მიტიგაცია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</si>
  <si>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</si>
  <si>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</si>
  <si>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</si>
  <si>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</si>
  <si>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</si>
  <si>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</si>
  <si>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</si>
  <si>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</si>
  <si>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ოქროს სტანდარტული ზოდი ან მისი ექვივალენტი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</si>
  <si>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</si>
  <si>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</si>
  <si>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</si>
  <si>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</si>
  <si>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</si>
  <si>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</si>
  <si>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</si>
  <si>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</si>
  <si>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</si>
  <si>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ცხრილი 13</t>
  </si>
  <si>
    <t>სტანდარტიზებული მიდგომა - საკრედიტო რისკის მიტიგაცია</t>
  </si>
  <si>
    <t>საბალანსო ელემენტები - რისკის პოზიციების ღირებულება</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</si>
  <si>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</si>
  <si>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</si>
  <si>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</si>
  <si>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</si>
  <si>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</si>
  <si>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 xml:space="preserve">გარესაბალანსო ელემენტები კონვერსიის ფაქტორის გათვალისწინებით </t>
  </si>
  <si>
    <t>ცხრილი 14</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</si>
  <si>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</si>
  <si>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</si>
  <si>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</si>
  <si>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უცხ. ვალუტა</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</si>
  <si>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</si>
  <si>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</si>
  <si>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</si>
  <si>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</si>
  <si>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</si>
  <si>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</si>
  <si>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</si>
  <si>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</si>
  <si>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</si>
  <si>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</si>
  <si>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</si>
  <si>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</si>
  <si>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</si>
  <si>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</si>
  <si>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</si>
  <si>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</si>
  <si>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</si>
  <si>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</si>
  <si>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15</t>
  </si>
  <si>
    <t xml:space="preserve">ნომინალური 
ღირებულება </t>
  </si>
  <si>
    <t>პროცენტი</t>
  </si>
  <si>
    <t>რისკის პოზიციების 
ღირებულება</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</si>
  <si>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</si>
  <si>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</si>
  <si>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</si>
  <si>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</si>
  <si>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</si>
  <si>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</si>
  <si>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</si>
  <si>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</si>
  <si>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ცხრილი 15.1</t>
  </si>
  <si>
    <t xml:space="preserve">საბალანსო ელემენტები </t>
  </si>
  <si>
    <t>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</si>
  <si>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</si>
  <si>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</si>
  <si>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</si>
  <si>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</si>
  <si>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</si>
  <si>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</si>
  <si>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</si>
  <si>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</si>
  <si>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</si>
  <si>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</si>
  <si>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</si>
  <si>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</si>
  <si>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</si>
  <si>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</si>
  <si>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</si>
  <si>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</si>
  <si>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</si>
  <si>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</si>
  <si>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</si>
  <si>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</si>
  <si>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</si>
  <si>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</si>
  <si>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</si>
  <si>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</si>
  <si>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</si>
  <si>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</si>
  <si>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</si>
  <si>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</si>
  <si>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</si>
  <si>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</si>
  <si>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</si>
  <si>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</si>
  <si>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</si>
  <si>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</si>
  <si>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</si>
  <si>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</si>
  <si>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</si>
  <si>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</si>
  <si>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</si>
  <si>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 COVID 19-თან დაკავშირებული რეზერვები აკლდება საბალანსო ელემენტებს</t>
  </si>
  <si>
    <t>ცხრილი 16</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</si>
  <si>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</si>
  <si>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</si>
  <si>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</si>
  <si>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</si>
  <si>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</si>
  <si>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</si>
  <si>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</si>
  <si>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</si>
  <si>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</si>
  <si>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</si>
  <si>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</si>
  <si>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</si>
  <si>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</si>
  <si>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</si>
  <si>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</si>
  <si>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</si>
  <si>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</si>
  <si>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</si>
  <si>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</si>
  <si>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</si>
  <si>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</si>
  <si>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</si>
  <si>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</si>
  <si>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</si>
  <si>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</si>
  <si>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</si>
  <si>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</si>
  <si>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</si>
  <si>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</si>
  <si>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</si>
  <si>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</si>
  <si>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</si>
  <si>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</si>
  <si>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</si>
  <si>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</si>
  <si>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</si>
  <si>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</si>
  <si>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</si>
  <si>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განუსაზღვრელი დაფარვის ვადით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</si>
  <si>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</si>
  <si>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ცხრილი 18</t>
  </si>
  <si>
    <t>ა</t>
  </si>
  <si>
    <t>ბ</t>
  </si>
  <si>
    <t>გ</t>
  </si>
  <si>
    <t>დ</t>
  </si>
  <si>
    <t>ე</t>
  </si>
  <si>
    <t>ვ</t>
  </si>
  <si>
    <t xml:space="preserve">                                                                             საბალანსო აქტივები                                                                                                         
                                                                                                                                                                                                                                                                                                            რისკის კლასები</t>
  </si>
  <si>
    <t>მთლიანი ღირებულება</t>
  </si>
  <si>
    <t>მოსალოდნელი საკრედიტო ზარალი</t>
  </si>
  <si>
    <t>ზოგადი რეზერვი</t>
  </si>
  <si>
    <t>კუმულატიური ჩამოწერა ანგარიშგების პერიოდზე</t>
  </si>
  <si>
    <t>აქტივების წმინდა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</si>
  <si>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</si>
  <si>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</si>
  <si>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t>
  </si>
  <si>
    <t>მათ შორის: სესხები</t>
  </si>
  <si>
    <t>მათ შორის: სავალო ფასიანი ქაღალდები</t>
  </si>
  <si>
    <t>ცხრილი 19</t>
  </si>
  <si>
    <t xml:space="preserve">                                                                               საბალანსო აქტივები
                                                                                                                                                                                                             სექტორი დაფარვის წყაროს/კონტრაგენტის ტიპის მიხედვით</t>
  </si>
  <si>
    <t>მოსალოდენელი საკრედიტო ზარალი</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</si>
  <si>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</si>
  <si>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</si>
  <si>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</si>
  <si>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</si>
  <si>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იპოთეკური სესხები - დასრულებული საცხოვრებელი უძრავი ქონების შეძენა</t>
  </si>
  <si>
    <t>უძრავი ქონების მენეჯმენტი</t>
  </si>
  <si>
    <t>სამშენებლო კომპანიები (არა დეველოპერები)</t>
  </si>
  <si>
    <t>სამომხმარებლო სესხები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</si>
  <si>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</si>
  <si>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</si>
  <si>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</si>
  <si>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</si>
  <si>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</si>
  <si>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</si>
  <si>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</si>
  <si>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</si>
  <si>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</si>
  <si>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</si>
  <si>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 სადგურებსა და ბენზინის იმპორტიორებზე გაცემული სესხები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</si>
  <si>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</si>
  <si>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</si>
  <si>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</si>
  <si>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</si>
  <si>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</si>
  <si>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</si>
  <si>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</si>
  <si>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 xml:space="preserve">აქტივები, რომლებზეც არ არის აღრიცხული დაფარვის წყაროს სექტორი </t>
  </si>
  <si>
    <t>ცხრილი 20</t>
  </si>
  <si>
    <t>მოსალოდნელი საკრედიტო ზარალის ცვლილება სესხებზე და კორპორატიულ სავალო ფასიანი ქაღალდებზე</t>
  </si>
  <si>
    <t>სესხები</t>
  </si>
  <si>
    <t>კორპორატიული ფასიანი ქაღალდები</t>
  </si>
  <si>
    <t>მოსალოდნელი საკრედიტო ზარალი საანგარიშგებო პერიოდის დასაწყისისათვის</t>
  </si>
  <si>
    <t>მოსალოდნელი საკრედიტო ზარალის ზრდა</t>
  </si>
  <si>
    <t>ახალი აქტივების წარმოშობის შედეგად</t>
  </si>
  <si>
    <t>არსებული აქტივების ხარისხის გაუარესების შედეგად</t>
  </si>
  <si>
    <t>მოსალოდნელი საკრედიტო ზარალის შემცირება</t>
  </si>
  <si>
    <t>აქტივების ჩამოწერის შედეგად</t>
  </si>
  <si>
    <t>აქტივების დაფარვის შედეგად</t>
  </si>
  <si>
    <t>აქტივების ხარისხის გაუმჯობესების შედეგად</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</si>
  <si>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</si>
  <si>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მოსალოდნელი საკრედიტო ზარალი საანგარიშგებო პერიოდის ბოლოსათვის</t>
  </si>
  <si>
    <t>ცხრილი 21</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</si>
  <si>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</si>
  <si>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</si>
  <si>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</si>
  <si>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</si>
  <si>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</si>
  <si>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</si>
  <si>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</si>
  <si>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</si>
  <si>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</si>
  <si>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</si>
  <si>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</si>
  <si>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</si>
  <si>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</si>
  <si>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</si>
  <si>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</si>
  <si>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</si>
  <si>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1-ი დონის საკრედიტო რისკი</t>
  </si>
  <si>
    <t>მე-2 დონის საკრედიტო რისკი</t>
  </si>
  <si>
    <t>მე-3 დონის საკრედიტო რისკი</t>
  </si>
  <si>
    <t>შეძენილი ან გამოშვებული გაუფასურებული ფინანსური ინსტრუმნეტი (POCI)</t>
  </si>
  <si>
    <t>ვადაგადაცილება ≤ 30 დღეზე</t>
  </si>
  <si>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</si>
  <si>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&gt; 90 დღეზე</t>
  </si>
  <si>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</si>
  <si>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</si>
  <si>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</si>
  <si>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2 წელზე  </t>
    </r>
    <r>
      <rPr>
        <sz val="9"/>
        <rFont val="Calibri"/>
        <family val="2"/>
      </rPr>
      <t>≤</t>
    </r>
    <r>
      <rPr>
        <sz val="9"/>
        <rFont val="Sylfaen"/>
        <family val="1"/>
      </rPr>
      <t xml:space="preserve"> 5 წელზე</t>
    </r>
  </si>
  <si>
    <t>ვადაგადაცილება &gt; 5 წელზე</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</si>
  <si>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</si>
  <si>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</si>
  <si>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</si>
  <si>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</si>
  <si>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</si>
  <si>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</si>
  <si>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გარესაბალანსო ვალდებულებები</t>
  </si>
  <si>
    <t>ცხრილი 23</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</si>
  <si>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</si>
  <si>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სესხების მთლიანი ღირებულება</t>
  </si>
  <si>
    <t xml:space="preserve">ვადაგადაცილება &gt; 30 დღეზე  ≤ 90 დღეზე </t>
  </si>
  <si>
    <t xml:space="preserve">ვადაგადაცილება &gt; 90 დღეზე  ≤ 180 დღეზე </t>
  </si>
  <si>
    <t xml:space="preserve">ვადაგადაცილება &gt; 180 დღეზე  ≤ 1 წელზე </t>
  </si>
  <si>
    <t>ვადაგადაცილება &gt; 1 წელზე  ≤ 2 წელზე</t>
  </si>
  <si>
    <t>ვადაგადაცილება &gt; 2 წელზე  ≤ 5 წელზე</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</si>
  <si>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</si>
  <si>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</si>
  <si>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</si>
  <si>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</si>
  <si>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</si>
  <si>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</si>
  <si>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</si>
  <si>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</si>
  <si>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</si>
  <si>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</si>
  <si>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მოსალოდნელი საკრედიტო ზარალი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</si>
  <si>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</si>
  <si>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</si>
  <si>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</si>
  <si>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</si>
  <si>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</si>
  <si>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</si>
  <si>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</si>
  <si>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</si>
  <si>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</si>
  <si>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</si>
  <si>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</si>
  <si>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24</t>
  </si>
  <si>
    <t xml:space="preserve">                                                                                                     სესხები
                                                                                                                                                                                                             სექტორი დაფარვის წყაროს მიხედვით</t>
  </si>
  <si>
    <t>მოსლაოდნელი საკრედიტო ზარალი</t>
  </si>
  <si>
    <t xml:space="preserve">სესხები, რომლებზეც არ არის აღრიცხული დაფარვის წყაროს სექტორი </t>
  </si>
  <si>
    <t>ცხრილი 25</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</si>
  <si>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</si>
  <si>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</si>
  <si>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</si>
  <si>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</si>
  <si>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ოქრო/ოქროს ნაკეთობებით უზრუნველყოფილი ვალდებულების საბაზრო ღირებულება</t>
  </si>
  <si>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</si>
  <si>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</si>
  <si>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</si>
  <si>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</si>
  <si>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</si>
  <si>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</si>
  <si>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</si>
  <si>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</si>
  <si>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</si>
  <si>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</si>
  <si>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ცხრილი 26</t>
  </si>
  <si>
    <t>საცალო პროდუქტები</t>
  </si>
  <si>
    <t>სესხების ძირი თანხა</t>
  </si>
  <si>
    <t xml:space="preserve">სესხების რაოდენობა </t>
  </si>
  <si>
    <t>საშუალო შეწონილი ნომინალური საპროცენტო განაკვეთი კვარტლის შიგნით გაცემულ სესხებზე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</si>
  <si>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</si>
  <si>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სესხის ნაშთზე</t>
  </si>
  <si>
    <t>სესხების საშუალო შეწონილი ვადიანობა სესხის ნაშთზე დარჩენილი ვადის მიხედვით (თვეებში)</t>
  </si>
  <si>
    <t>სატრანსპორტო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</si>
  <si>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</si>
  <si>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</si>
  <si>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</si>
  <si>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</si>
  <si>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</si>
  <si>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</si>
  <si>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საცხოვრებელი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</si>
  <si>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</si>
  <si>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საცხოვრებელი უძრავი ქონების რემონტისათვის</t>
  </si>
  <si>
    <t>იპოთეკური სესხები - უძრავი ქონების რემონტისათვის</t>
  </si>
  <si>
    <t>იპოთეკური სესხები - კომერციული უძრავი ქონების რემონტისათვის</t>
  </si>
  <si>
    <t>საცალო ლომბარდული სესხები</t>
  </si>
  <si>
    <t>სტუდენტური სესხები</t>
  </si>
  <si>
    <t>სულ საცალო პროდუქტები</t>
  </si>
  <si>
    <t>მათ შორის: პენსიის ან სხვა სახელმწიფო სოციალური გასაცემელის გათვალისწინებით გაცემული სესხები</t>
  </si>
  <si>
    <t>ფო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</si>
</sst>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409]mmm\-yy;@"/>
    <numFmt numFmtId="165" formatCode="#,##0_ ;[Red]\-#,##0\ "/>
    <numFmt numFmtId="166" formatCode="_(* #,##0_);_(* \(#,##0\);_(* &quot;-&quot;??_);_(@_)"/>
    <numFmt numFmtId="167" formatCode="0.0%"/>
    <numFmt numFmtId="168" formatCode="_(* #,##0.0_);_(* \(#,##0.0\);_(* &quot;-&quot;??_);_(@_)"/>
    <numFmt numFmtId="169" formatCode="_(#,##0_);_(\(#,##0\);_(\ \-\ _);_(@_)"/>
    <numFmt numFmtId="170" formatCode="_(* #,##0.0_);_(* \(#,##0.0\);_(* &quot;-&quot;?_);_(@_)"/>
    <numFmt numFmtId="171" formatCode="_-* #,##0.00_-;\-* #,##0.00_-;_-* &quot;-&quot;??_-;_-@_-"/>
  </numFmts>
  <fonts count="7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0"/>
      <color theme="1"/>
      <name val="Aptos Narrow"/>
      <family val="2"/>
      <scheme val="minor"/>
    </font>
    <font>
      <sz val="10"/>
      <name val="Arial"/>
      <family val="2"/>
    </font>
    <font>
      <b/>
      <sz val="11"/>
      <name val="Sylfaen"/>
      <family val="1"/>
    </font>
    <font>
      <sz val="10"/>
      <color theme="1"/>
      <name val="Sylfaen"/>
      <family val="1"/>
    </font>
    <font>
      <sz val="10"/>
      <name val="Aptos Narrow"/>
      <family val="2"/>
      <scheme val="minor"/>
    </font>
    <font>
      <sz val="10"/>
      <name val="Sylfaen"/>
      <family val="1"/>
    </font>
    <font>
      <sz val="11"/>
      <color theme="1"/>
      <name val="Sylfaen"/>
      <family val="1"/>
    </font>
    <font>
      <u/>
      <sz val="10"/>
      <color indexed="12"/>
      <name val="Arial"/>
      <family val="2"/>
    </font>
    <font>
      <b/>
      <i/>
      <sz val="10"/>
      <color theme="1"/>
      <name val="Sylfaen"/>
      <family val="1"/>
    </font>
    <font>
      <sz val="10"/>
      <color theme="1"/>
      <name val="Aptos Narrow"/>
      <family val="1"/>
      <scheme val="minor"/>
    </font>
    <font>
      <b/>
      <sz val="10"/>
      <name val="Sylfaen"/>
      <family val="1"/>
    </font>
    <font>
      <b/>
      <sz val="10"/>
      <name val="Aptos Narrow"/>
      <family val="2"/>
      <scheme val="minor"/>
    </font>
    <font>
      <b/>
      <i/>
      <sz val="10"/>
      <color theme="1"/>
      <name val="Aptos Narrow"/>
      <family val="2"/>
      <scheme val="minor"/>
    </font>
    <font>
      <b/>
      <i/>
      <sz val="11"/>
      <color theme="1"/>
      <name val="Aptos Narrow"/>
      <family val="2"/>
      <scheme val="minor"/>
    </font>
    <font>
      <sz val="10"/>
      <name val="MS Sans Serif"/>
      <family val="2"/>
    </font>
    <font>
      <b/>
      <i/>
      <sz val="10"/>
      <name val="Aptos Narrow"/>
      <family val="2"/>
      <scheme val="minor"/>
    </font>
    <font>
      <sz val="10"/>
      <color rgb="FF333333"/>
      <name val="Sylfaen"/>
      <family val="1"/>
    </font>
    <font>
      <sz val="10"/>
      <color rgb="FFFF0000"/>
      <name val="Aptos Narrow"/>
      <family val="2"/>
      <scheme val="minor"/>
    </font>
    <font>
      <b/>
      <sz val="12"/>
      <color theme="1"/>
      <name val="Aptos Narrow"/>
      <family val="2"/>
      <scheme val="minor"/>
    </font>
    <font>
      <b/>
      <sz val="8"/>
      <name val="Verdana"/>
      <family val="2"/>
    </font>
    <font>
      <sz val="8"/>
      <name val="Verdana"/>
      <family val="2"/>
    </font>
    <font>
      <b/>
      <sz val="8"/>
      <color indexed="8"/>
      <name val="Verdana"/>
      <family val="2"/>
    </font>
    <font>
      <sz val="8"/>
      <color indexed="8"/>
      <name val="Verdana"/>
      <family val="2"/>
    </font>
    <font>
      <b/>
      <sz val="11"/>
      <color indexed="8"/>
      <name val="Aptos Narrow"/>
      <family val="2"/>
      <scheme val="minor"/>
    </font>
    <font>
      <b/>
      <sz val="8"/>
      <color rgb="FF000000"/>
      <name val="Verdana"/>
      <family val="2"/>
    </font>
    <font>
      <sz val="11"/>
      <name val="Aptos Narrow"/>
      <family val="2"/>
      <charset val="204"/>
      <scheme val="minor"/>
    </font>
    <font>
      <i/>
      <sz val="11"/>
      <name val="Aptos Narrow"/>
      <family val="2"/>
      <scheme val="minor"/>
    </font>
    <font>
      <i/>
      <sz val="11"/>
      <name val="Aptos Narrow"/>
      <family val="2"/>
      <charset val="204"/>
      <scheme val="minor"/>
    </font>
    <font>
      <sz val="8"/>
      <color theme="1"/>
      <name val="Aptos Narrow"/>
      <family val="2"/>
      <scheme val="minor"/>
    </font>
    <font>
      <b/>
      <sz val="10"/>
      <color theme="1"/>
      <name val="Aptos Narrow"/>
      <family val="2"/>
      <scheme val="minor"/>
    </font>
    <font>
      <i/>
      <sz val="10"/>
      <name val="Sylfaen"/>
      <family val="1"/>
    </font>
    <font>
      <sz val="10"/>
      <color theme="1"/>
      <name val="Segoe UI"/>
      <family val="2"/>
    </font>
    <font>
      <sz val="10"/>
      <color theme="1"/>
      <name val="Times New Roman"/>
      <family val="1"/>
    </font>
    <font>
      <sz val="8"/>
      <color rgb="FFFF0000"/>
      <name val="Aptos Narrow"/>
      <family val="2"/>
      <scheme val="minor"/>
    </font>
    <font>
      <sz val="10"/>
      <name val="Arial"/>
      <family val="2"/>
      <charset val="204"/>
    </font>
    <font>
      <sz val="10"/>
      <name val="Geo_Arial"/>
      <family val="2"/>
    </font>
    <font>
      <sz val="10"/>
      <color rgb="FFFF0000"/>
      <name val="Sylfaen"/>
      <family val="1"/>
    </font>
    <font>
      <b/>
      <sz val="10"/>
      <color rgb="FFFF0000"/>
      <name val="Aptos Narrow"/>
      <family val="2"/>
      <scheme val="minor"/>
    </font>
    <font>
      <b/>
      <sz val="10"/>
      <name val="Aptos Narrow"/>
      <family val="1"/>
      <scheme val="minor"/>
    </font>
    <font>
      <sz val="10"/>
      <name val="Aptos Narrow"/>
      <family val="1"/>
      <scheme val="minor"/>
    </font>
    <font>
      <b/>
      <sz val="10"/>
      <color theme="1"/>
      <name val="Sylfaen"/>
      <family val="1"/>
    </font>
    <font>
      <i/>
      <sz val="10"/>
      <color theme="1"/>
      <name val="Sylfaen"/>
      <family val="1"/>
    </font>
    <font>
      <i/>
      <sz val="11"/>
      <color theme="1"/>
      <name val="Aptos Narrow"/>
      <family val="2"/>
      <scheme val="minor"/>
    </font>
    <font>
      <b/>
      <sz val="10"/>
      <color rgb="FFFF0000"/>
      <name val="Sylfaen"/>
      <family val="1"/>
    </font>
    <font>
      <sz val="10"/>
      <name val="SPKolheti"/>
      <family val="1"/>
    </font>
    <font>
      <sz val="9"/>
      <color theme="1"/>
      <name val="Aptos Narrow"/>
      <family val="2"/>
      <scheme val="minor"/>
    </font>
    <font>
      <i/>
      <sz val="10"/>
      <color theme="1"/>
      <name val="Aptos Narrow"/>
      <family val="2"/>
      <scheme val="minor"/>
    </font>
    <font>
      <b/>
      <sz val="9"/>
      <name val="Arial"/>
      <family val="2"/>
    </font>
    <font>
      <b/>
      <sz val="10"/>
      <name val="Arial"/>
      <family val="2"/>
    </font>
    <font>
      <sz val="9"/>
      <name val="Arial"/>
      <family val="2"/>
    </font>
    <font>
      <sz val="9"/>
      <name val="Calibri"/>
      <family val="2"/>
    </font>
    <font>
      <b/>
      <sz val="9"/>
      <name val="Calibri"/>
      <family val="2"/>
    </font>
    <font>
      <sz val="11"/>
      <color indexed="8"/>
      <name val="Calibri"/>
      <family val="2"/>
    </font>
    <font>
      <sz val="8"/>
      <name val="Arial"/>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Aptos Narrow"/>
      <family val="1"/>
      <scheme val="minor"/>
    </font>
    <font>
      <sz val="9"/>
      <color rgb="FFFF0000"/>
      <name val="Sylfaen"/>
      <family val="1"/>
    </font>
    <font>
      <i/>
      <sz val="9"/>
      <name val="Aptos Narrow"/>
      <family val="1"/>
      <scheme val="minor"/>
    </font>
    <font>
      <b/>
      <sz val="9"/>
      <name val="Aptos Narrow"/>
      <family val="1"/>
      <scheme val="minor"/>
    </font>
    <font>
      <b/>
      <sz val="9"/>
      <color rgb="FFFF0000"/>
      <name val="Sylfaen"/>
      <family val="1"/>
    </font>
    <font>
      <sz val="10"/>
      <color rgb="FF000000"/>
      <name val="Aptos Narrow"/>
      <family val="2"/>
      <scheme val="minor"/>
    </font>
    <font>
      <b/>
      <u/>
      <sz val="9"/>
      <color theme="1"/>
      <name val="Sylfaen"/>
      <family val="1"/>
    </font>
    <font>
      <sz val="9"/>
      <color rgb="FFFF0000"/>
      <name val="Aptos Narrow"/>
      <family val="1"/>
      <scheme val="minor"/>
    </font>
    <font>
      <sz val="9"/>
      <color theme="1"/>
      <name val="Aptos Narrow"/>
      <family val="1"/>
      <scheme val="minor"/>
    </font>
    <font>
      <b/>
      <sz val="8"/>
      <name val="Sylfaen"/>
      <family val="1"/>
    </font>
    <font>
      <sz val="11"/>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lightGray">
        <fgColor indexed="22"/>
      </patternFill>
    </fill>
    <fill>
      <patternFill patternType="lightGray">
        <fgColor indexed="22"/>
        <bgColor theme="0" tint="-4.9989318521683403E-2"/>
      </patternFill>
    </fill>
    <fill>
      <patternFill patternType="solid">
        <fgColor rgb="FFFFFFFF"/>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5F5F5F"/>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theme="0" tint="-0.3499862666707357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auto="1"/>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bottom/>
      <diagonal/>
    </border>
    <border>
      <left style="thin">
        <color theme="6" tint="-0.499984740745262"/>
      </left>
      <right style="thin">
        <color theme="6" tint="-0.499984740745262"/>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auto="1"/>
      </right>
      <top style="medium">
        <color auto="1"/>
      </top>
      <bottom style="medium">
        <color indexed="64"/>
      </bottom>
      <diagonal/>
    </border>
    <border>
      <left style="thin">
        <color auto="1"/>
      </left>
      <right/>
      <top style="medium">
        <color auto="1"/>
      </top>
      <bottom style="medium">
        <color auto="1"/>
      </bottom>
      <diagonal/>
    </border>
    <border>
      <left style="thin">
        <color auto="1"/>
      </left>
      <right style="medium">
        <color indexed="64"/>
      </right>
      <top style="medium">
        <color auto="1"/>
      </top>
      <bottom style="medium">
        <color indexed="64"/>
      </bottom>
      <diagonal/>
    </border>
    <border>
      <left/>
      <right style="thin">
        <color indexed="64"/>
      </right>
      <top style="medium">
        <color indexed="64"/>
      </top>
      <bottom/>
      <diagonal/>
    </border>
    <border>
      <left/>
      <right style="medium">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medium">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5" fillId="0" borderId="0"/>
    <xf numFmtId="0" fontId="5" fillId="0" borderId="0"/>
    <xf numFmtId="164" fontId="18" fillId="4" borderId="0"/>
    <xf numFmtId="0" fontId="5" fillId="0" borderId="0"/>
    <xf numFmtId="0" fontId="38" fillId="0" borderId="0"/>
    <xf numFmtId="0" fontId="38" fillId="0" borderId="0"/>
    <xf numFmtId="43" fontId="1" fillId="0" borderId="0" applyFont="0" applyFill="0" applyBorder="0" applyAlignment="0" applyProtection="0"/>
    <xf numFmtId="0" fontId="1" fillId="0" borderId="0"/>
    <xf numFmtId="0" fontId="1"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alignment vertical="center"/>
    </xf>
    <xf numFmtId="43" fontId="5" fillId="0" borderId="0" applyFont="0" applyFill="0" applyBorder="0" applyAlignment="0" applyProtection="0"/>
    <xf numFmtId="43" fontId="56" fillId="0" borderId="0" applyFont="0" applyFill="0" applyBorder="0" applyAlignment="0" applyProtection="0"/>
    <xf numFmtId="0" fontId="5" fillId="0" borderId="0"/>
    <xf numFmtId="171" fontId="1" fillId="0" borderId="0" applyFont="0" applyFill="0" applyBorder="0" applyAlignment="0" applyProtection="0"/>
  </cellStyleXfs>
  <cellXfs count="906">
    <xf numFmtId="0" fontId="0" fillId="0" borderId="0" xfId="0"/>
    <xf numFmtId="0" fontId="4" fillId="0" borderId="1" xfId="0" applyFont="1" applyBorder="1"/>
    <xf numFmtId="0" fontId="6" fillId="0" borderId="1" xfId="4" applyFont="1" applyBorder="1" applyAlignment="1">
      <alignment horizontal="center" vertical="center"/>
    </xf>
    <xf numFmtId="0" fontId="7" fillId="0" borderId="1" xfId="0" applyFont="1" applyBorder="1"/>
    <xf numFmtId="0" fontId="8" fillId="2" borderId="1" xfId="4" applyFont="1" applyFill="1" applyBorder="1" applyAlignment="1">
      <alignment horizontal="right" indent="1"/>
    </xf>
    <xf numFmtId="0" fontId="9" fillId="2" borderId="1" xfId="4" applyFont="1" applyFill="1" applyBorder="1" applyAlignment="1">
      <alignment horizontal="left" wrapText="1" indent="1"/>
    </xf>
    <xf numFmtId="0" fontId="10" fillId="0" borderId="1" xfId="0" applyFont="1" applyBorder="1"/>
    <xf numFmtId="0" fontId="1" fillId="0" borderId="0" xfId="0" applyFont="1"/>
    <xf numFmtId="0" fontId="9" fillId="0" borderId="1" xfId="4" applyFont="1" applyBorder="1" applyAlignment="1">
      <alignment horizontal="left" wrapText="1" indent="1"/>
    </xf>
    <xf numFmtId="0" fontId="8" fillId="2" borderId="2" xfId="4" applyFont="1" applyFill="1" applyBorder="1" applyAlignment="1">
      <alignment horizontal="right" indent="1"/>
    </xf>
    <xf numFmtId="0" fontId="9" fillId="0" borderId="2" xfId="4" applyFont="1" applyBorder="1" applyAlignment="1">
      <alignment horizontal="left" wrapText="1" indent="1"/>
    </xf>
    <xf numFmtId="0" fontId="11" fillId="0" borderId="1" xfId="3" applyBorder="1" applyAlignment="1" applyProtection="1"/>
    <xf numFmtId="0" fontId="12" fillId="0" borderId="0" xfId="0" applyFont="1" applyAlignment="1">
      <alignment wrapText="1"/>
    </xf>
    <xf numFmtId="0" fontId="8" fillId="2" borderId="1" xfId="4" applyFont="1" applyFill="1" applyBorder="1"/>
    <xf numFmtId="0" fontId="11" fillId="0" borderId="1" xfId="3" applyFill="1" applyBorder="1" applyAlignment="1" applyProtection="1"/>
    <xf numFmtId="0" fontId="11" fillId="0" borderId="1" xfId="3" applyFill="1" applyBorder="1" applyAlignment="1" applyProtection="1">
      <alignment horizontal="left" vertical="center" wrapText="1"/>
    </xf>
    <xf numFmtId="49" fontId="13" fillId="0" borderId="1" xfId="0" applyNumberFormat="1" applyFont="1" applyBorder="1" applyAlignment="1">
      <alignment horizontal="right" vertical="center" wrapText="1"/>
    </xf>
    <xf numFmtId="0" fontId="11" fillId="0" borderId="1" xfId="3" applyFill="1" applyBorder="1" applyAlignment="1" applyProtection="1">
      <alignment horizontal="left" vertical="center"/>
    </xf>
    <xf numFmtId="0" fontId="11" fillId="0" borderId="1" xfId="3" applyFill="1" applyBorder="1" applyAlignment="1" applyProtection="1">
      <alignment vertical="top" wrapText="1"/>
    </xf>
    <xf numFmtId="0" fontId="11" fillId="0" borderId="1" xfId="3" applyFill="1" applyBorder="1" applyAlignment="1" applyProtection="1">
      <alignment horizontal="left" vertical="top" wrapText="1"/>
    </xf>
    <xf numFmtId="0" fontId="4" fillId="0" borderId="0" xfId="0" applyFont="1"/>
    <xf numFmtId="0" fontId="9" fillId="0" borderId="0" xfId="5" applyFont="1"/>
    <xf numFmtId="43" fontId="8" fillId="0" borderId="0" xfId="1" applyFont="1"/>
    <xf numFmtId="0" fontId="8" fillId="0" borderId="0" xfId="0" applyFont="1"/>
    <xf numFmtId="14" fontId="4" fillId="0" borderId="0" xfId="0" applyNumberFormat="1" applyFont="1" applyAlignment="1">
      <alignment horizontal="left"/>
    </xf>
    <xf numFmtId="0" fontId="3" fillId="0" borderId="0" xfId="0" applyFont="1"/>
    <xf numFmtId="0" fontId="9" fillId="0" borderId="5" xfId="0" applyFont="1" applyBorder="1"/>
    <xf numFmtId="0" fontId="14" fillId="0" borderId="5" xfId="0" applyFont="1" applyBorder="1" applyAlignment="1">
      <alignment horizontal="center"/>
    </xf>
    <xf numFmtId="0" fontId="15" fillId="0" borderId="5" xfId="0" applyFont="1" applyBorder="1" applyAlignment="1">
      <alignment horizontal="center" vertical="center"/>
    </xf>
    <xf numFmtId="0" fontId="9" fillId="0" borderId="9" xfId="0" applyFont="1" applyBorder="1" applyAlignment="1">
      <alignment horizontal="right" vertical="center" wrapText="1"/>
    </xf>
    <xf numFmtId="0" fontId="8" fillId="0" borderId="10" xfId="0" applyFont="1" applyBorder="1" applyAlignment="1">
      <alignment vertical="center" wrapTex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9" xfId="0" applyFont="1" applyBorder="1" applyAlignment="1">
      <alignment horizontal="left" vertical="center" wrapText="1" indent="1"/>
    </xf>
    <xf numFmtId="0" fontId="9"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19" fillId="0" borderId="1" xfId="0" applyFont="1" applyBorder="1" applyAlignment="1">
      <alignment horizontal="left" vertical="center" wrapText="1"/>
    </xf>
    <xf numFmtId="0" fontId="9" fillId="0" borderId="12" xfId="0" applyFont="1" applyBorder="1" applyAlignment="1">
      <alignment horizontal="right" vertical="center" wrapText="1"/>
    </xf>
    <xf numFmtId="0" fontId="8" fillId="0" borderId="1" xfId="0" applyFont="1" applyBorder="1" applyAlignment="1">
      <alignment vertical="center" wrapText="1"/>
    </xf>
    <xf numFmtId="165" fontId="8"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165" fontId="4" fillId="0" borderId="19" xfId="0" applyNumberFormat="1" applyFont="1" applyBorder="1" applyAlignment="1" applyProtection="1">
      <alignment vertical="center" wrapText="1"/>
      <protection locked="0"/>
    </xf>
    <xf numFmtId="165" fontId="4" fillId="0" borderId="12" xfId="0" applyNumberFormat="1" applyFont="1" applyBorder="1" applyAlignment="1" applyProtection="1">
      <alignment vertical="center" wrapText="1"/>
      <protection locked="0"/>
    </xf>
    <xf numFmtId="166" fontId="0" fillId="0" borderId="0" xfId="1" applyNumberFormat="1" applyFont="1"/>
    <xf numFmtId="165" fontId="0" fillId="0" borderId="0" xfId="0" applyNumberFormat="1"/>
    <xf numFmtId="164" fontId="18" fillId="5" borderId="20" xfId="6" applyFill="1" applyBorder="1"/>
    <xf numFmtId="164" fontId="18" fillId="5" borderId="21" xfId="6" applyFill="1" applyBorder="1"/>
    <xf numFmtId="164" fontId="18" fillId="5" borderId="22" xfId="6" applyFill="1" applyBorder="1"/>
    <xf numFmtId="165" fontId="8" fillId="0" borderId="1" xfId="0" applyNumberFormat="1" applyFont="1" applyBorder="1" applyAlignment="1" applyProtection="1">
      <alignment horizontal="right" vertical="center" wrapText="1"/>
      <protection locked="0"/>
    </xf>
    <xf numFmtId="164" fontId="18" fillId="5" borderId="3" xfId="6" applyFill="1" applyBorder="1"/>
    <xf numFmtId="164" fontId="18" fillId="5" borderId="4" xfId="6" applyFill="1" applyBorder="1"/>
    <xf numFmtId="164" fontId="18" fillId="5" borderId="13" xfId="6" applyFill="1" applyBorder="1"/>
    <xf numFmtId="164" fontId="18" fillId="5" borderId="15" xfId="6" applyFill="1" applyBorder="1"/>
    <xf numFmtId="164" fontId="18" fillId="5" borderId="16" xfId="6" applyFill="1" applyBorder="1"/>
    <xf numFmtId="164" fontId="18" fillId="5" borderId="17" xfId="6" applyFill="1" applyBorder="1"/>
    <xf numFmtId="10" fontId="4" fillId="0" borderId="1" xfId="2" applyNumberFormat="1" applyFont="1" applyFill="1" applyBorder="1" applyAlignment="1" applyProtection="1">
      <alignment horizontal="right" vertical="center" wrapText="1"/>
      <protection locked="0"/>
    </xf>
    <xf numFmtId="10" fontId="4" fillId="0" borderId="12" xfId="2" applyNumberFormat="1" applyFont="1" applyBorder="1" applyAlignment="1" applyProtection="1">
      <alignment vertical="center" wrapText="1"/>
      <protection locked="0"/>
    </xf>
    <xf numFmtId="10" fontId="4" fillId="0" borderId="1" xfId="2" applyNumberFormat="1" applyFont="1" applyBorder="1" applyAlignment="1" applyProtection="1">
      <alignment vertical="center" wrapText="1"/>
      <protection locked="0"/>
    </xf>
    <xf numFmtId="10" fontId="4" fillId="0" borderId="19" xfId="2" applyNumberFormat="1" applyFont="1" applyBorder="1" applyAlignment="1" applyProtection="1">
      <alignment vertical="center" wrapText="1"/>
      <protection locked="0"/>
    </xf>
    <xf numFmtId="10" fontId="4" fillId="0" borderId="1" xfId="2" applyNumberFormat="1" applyFont="1" applyFill="1" applyBorder="1" applyAlignment="1" applyProtection="1">
      <alignment vertical="center" wrapText="1"/>
      <protection locked="0"/>
    </xf>
    <xf numFmtId="0" fontId="8" fillId="0" borderId="1" xfId="0" applyFont="1" applyBorder="1" applyAlignment="1">
      <alignment vertical="top" wrapText="1"/>
    </xf>
    <xf numFmtId="0" fontId="9" fillId="6" borderId="12" xfId="0" applyFont="1" applyFill="1" applyBorder="1" applyAlignment="1">
      <alignment horizontal="right" vertical="center"/>
    </xf>
    <xf numFmtId="0" fontId="9" fillId="6" borderId="1" xfId="0" applyFont="1" applyFill="1" applyBorder="1" applyAlignment="1">
      <alignment vertical="center"/>
    </xf>
    <xf numFmtId="9" fontId="9" fillId="0" borderId="1" xfId="2" applyFont="1" applyFill="1" applyBorder="1" applyAlignment="1" applyProtection="1">
      <alignment vertical="center"/>
      <protection locked="0"/>
    </xf>
    <xf numFmtId="9" fontId="20" fillId="6" borderId="1" xfId="2" applyFont="1" applyFill="1" applyBorder="1" applyAlignment="1" applyProtection="1">
      <alignment vertical="center"/>
      <protection locked="0"/>
    </xf>
    <xf numFmtId="9" fontId="20" fillId="6" borderId="19" xfId="2" applyFont="1" applyFill="1" applyBorder="1" applyAlignment="1" applyProtection="1">
      <alignment vertical="center"/>
      <protection locked="0"/>
    </xf>
    <xf numFmtId="167" fontId="0" fillId="0" borderId="0" xfId="2" applyNumberFormat="1" applyFont="1"/>
    <xf numFmtId="9" fontId="20" fillId="6" borderId="12" xfId="2" applyFont="1" applyFill="1" applyBorder="1" applyAlignment="1" applyProtection="1">
      <alignment vertical="center"/>
      <protection locked="0"/>
    </xf>
    <xf numFmtId="9" fontId="20" fillId="0" borderId="1" xfId="2" applyFont="1" applyFill="1" applyBorder="1" applyAlignment="1" applyProtection="1">
      <alignment vertical="center"/>
      <protection locked="0"/>
    </xf>
    <xf numFmtId="9" fontId="9" fillId="6" borderId="1" xfId="2" applyFont="1" applyFill="1" applyBorder="1" applyAlignment="1" applyProtection="1">
      <alignment vertical="center"/>
      <protection locked="0"/>
    </xf>
    <xf numFmtId="10" fontId="20" fillId="6" borderId="19" xfId="2" applyNumberFormat="1" applyFont="1" applyFill="1" applyBorder="1" applyAlignment="1" applyProtection="1">
      <alignment vertical="center"/>
      <protection locked="0"/>
    </xf>
    <xf numFmtId="9" fontId="18" fillId="5" borderId="20" xfId="6" applyNumberFormat="1" applyFill="1" applyBorder="1"/>
    <xf numFmtId="9" fontId="18" fillId="5" borderId="21" xfId="6" applyNumberFormat="1" applyFill="1" applyBorder="1"/>
    <xf numFmtId="9" fontId="18" fillId="5" borderId="22" xfId="6" applyNumberFormat="1" applyFill="1" applyBorder="1"/>
    <xf numFmtId="9" fontId="9" fillId="6" borderId="19" xfId="2" applyFont="1" applyFill="1" applyBorder="1" applyAlignment="1" applyProtection="1">
      <alignment vertical="center"/>
      <protection locked="0"/>
    </xf>
    <xf numFmtId="9" fontId="9" fillId="6" borderId="12" xfId="2" applyFont="1" applyFill="1" applyBorder="1" applyAlignment="1" applyProtection="1">
      <alignment vertical="center"/>
      <protection locked="0"/>
    </xf>
    <xf numFmtId="165" fontId="9" fillId="6" borderId="1" xfId="0" applyNumberFormat="1" applyFont="1" applyFill="1" applyBorder="1" applyAlignment="1" applyProtection="1">
      <alignment vertical="center"/>
      <protection locked="0"/>
    </xf>
    <xf numFmtId="0" fontId="15" fillId="0" borderId="12" xfId="0" applyFont="1" applyBorder="1" applyAlignment="1">
      <alignment horizontal="center" vertical="center" wrapText="1"/>
    </xf>
    <xf numFmtId="0" fontId="9" fillId="0" borderId="1" xfId="0" applyFont="1" applyBorder="1" applyAlignment="1">
      <alignment horizontal="left" vertical="center" wrapText="1"/>
    </xf>
    <xf numFmtId="165" fontId="9" fillId="0" borderId="1" xfId="0" applyNumberFormat="1" applyFont="1" applyBorder="1" applyAlignment="1" applyProtection="1">
      <alignment vertical="center"/>
      <protection locked="0"/>
    </xf>
    <xf numFmtId="165" fontId="9" fillId="0" borderId="19" xfId="0" applyNumberFormat="1" applyFont="1" applyBorder="1" applyAlignment="1" applyProtection="1">
      <alignment vertical="center"/>
      <protection locked="0"/>
    </xf>
    <xf numFmtId="165" fontId="9" fillId="6" borderId="12" xfId="0" applyNumberFormat="1" applyFont="1" applyFill="1" applyBorder="1" applyAlignment="1" applyProtection="1">
      <alignment vertical="center"/>
      <protection locked="0"/>
    </xf>
    <xf numFmtId="165" fontId="9" fillId="6" borderId="19" xfId="0" applyNumberFormat="1" applyFont="1" applyFill="1" applyBorder="1" applyAlignment="1" applyProtection="1">
      <alignment vertical="center"/>
      <protection locked="0"/>
    </xf>
    <xf numFmtId="165" fontId="20" fillId="0" borderId="1" xfId="0" applyNumberFormat="1" applyFont="1" applyBorder="1" applyAlignment="1" applyProtection="1">
      <alignment vertical="center"/>
      <protection locked="0"/>
    </xf>
    <xf numFmtId="165" fontId="20" fillId="0" borderId="19" xfId="0" applyNumberFormat="1" applyFont="1" applyBorder="1" applyAlignment="1" applyProtection="1">
      <alignment vertical="center"/>
      <protection locked="0"/>
    </xf>
    <xf numFmtId="165" fontId="20" fillId="6" borderId="12" xfId="0" applyNumberFormat="1" applyFont="1" applyFill="1" applyBorder="1" applyAlignment="1" applyProtection="1">
      <alignment vertical="center"/>
      <protection locked="0"/>
    </xf>
    <xf numFmtId="165" fontId="20" fillId="6" borderId="1" xfId="0" applyNumberFormat="1" applyFont="1" applyFill="1" applyBorder="1" applyAlignment="1" applyProtection="1">
      <alignment vertical="center"/>
      <protection locked="0"/>
    </xf>
    <xf numFmtId="165" fontId="20" fillId="6" borderId="19" xfId="0" applyNumberFormat="1" applyFont="1" applyFill="1" applyBorder="1" applyAlignment="1" applyProtection="1">
      <alignment vertical="center"/>
      <protection locked="0"/>
    </xf>
    <xf numFmtId="0" fontId="9" fillId="6" borderId="24" xfId="0" applyFont="1" applyFill="1" applyBorder="1" applyAlignment="1">
      <alignment horizontal="right" vertical="center"/>
    </xf>
    <xf numFmtId="0" fontId="9" fillId="6" borderId="2" xfId="0" applyFont="1" applyFill="1" applyBorder="1" applyAlignment="1">
      <alignment vertical="center"/>
    </xf>
    <xf numFmtId="167" fontId="9" fillId="0" borderId="1" xfId="2" applyNumberFormat="1" applyFont="1" applyFill="1" applyBorder="1" applyAlignment="1" applyProtection="1">
      <alignment vertical="center"/>
      <protection locked="0"/>
    </xf>
    <xf numFmtId="9" fontId="9" fillId="0" borderId="19" xfId="2" applyFont="1" applyFill="1" applyBorder="1" applyAlignment="1" applyProtection="1">
      <alignment vertical="center"/>
      <protection locked="0"/>
    </xf>
    <xf numFmtId="165" fontId="20" fillId="0" borderId="2" xfId="0" applyNumberFormat="1" applyFont="1" applyBorder="1" applyAlignment="1" applyProtection="1">
      <alignment vertical="center"/>
      <protection locked="0"/>
    </xf>
    <xf numFmtId="165" fontId="20" fillId="0" borderId="25" xfId="0" applyNumberFormat="1" applyFont="1" applyBorder="1" applyAlignment="1" applyProtection="1">
      <alignment vertical="center"/>
      <protection locked="0"/>
    </xf>
    <xf numFmtId="165" fontId="20" fillId="6" borderId="24" xfId="0" applyNumberFormat="1" applyFont="1" applyFill="1" applyBorder="1" applyAlignment="1" applyProtection="1">
      <alignment vertical="center"/>
      <protection locked="0"/>
    </xf>
    <xf numFmtId="165" fontId="20" fillId="6" borderId="2" xfId="0" applyNumberFormat="1" applyFont="1" applyFill="1" applyBorder="1" applyAlignment="1" applyProtection="1">
      <alignment vertical="center"/>
      <protection locked="0"/>
    </xf>
    <xf numFmtId="165" fontId="20" fillId="6" borderId="25" xfId="0" applyNumberFormat="1" applyFont="1" applyFill="1" applyBorder="1" applyAlignment="1" applyProtection="1">
      <alignment vertical="center"/>
      <protection locked="0"/>
    </xf>
    <xf numFmtId="0" fontId="9" fillId="6" borderId="26" xfId="0" applyFont="1" applyFill="1" applyBorder="1" applyAlignment="1">
      <alignment horizontal="right" vertical="center"/>
    </xf>
    <xf numFmtId="165" fontId="9" fillId="6" borderId="27" xfId="0" applyNumberFormat="1" applyFont="1" applyFill="1" applyBorder="1" applyAlignment="1" applyProtection="1">
      <alignment vertical="center"/>
      <protection locked="0"/>
    </xf>
    <xf numFmtId="167" fontId="9" fillId="0" borderId="27" xfId="2" applyNumberFormat="1" applyFont="1" applyFill="1" applyBorder="1" applyAlignment="1" applyProtection="1">
      <alignment vertical="center"/>
      <protection locked="0"/>
    </xf>
    <xf numFmtId="167" fontId="20" fillId="0" borderId="27" xfId="2" applyNumberFormat="1" applyFont="1" applyFill="1" applyBorder="1" applyAlignment="1" applyProtection="1">
      <alignment vertical="center"/>
      <protection locked="0"/>
    </xf>
    <xf numFmtId="9" fontId="20" fillId="0" borderId="27" xfId="2" applyFont="1" applyFill="1" applyBorder="1" applyAlignment="1" applyProtection="1">
      <alignment vertical="center"/>
      <protection locked="0"/>
    </xf>
    <xf numFmtId="9" fontId="20" fillId="0" borderId="28" xfId="2" applyFont="1" applyFill="1" applyBorder="1" applyAlignment="1" applyProtection="1">
      <alignment vertical="center"/>
      <protection locked="0"/>
    </xf>
    <xf numFmtId="9" fontId="20" fillId="6" borderId="26" xfId="2" applyFont="1" applyFill="1" applyBorder="1" applyAlignment="1" applyProtection="1">
      <alignment vertical="center"/>
      <protection locked="0"/>
    </xf>
    <xf numFmtId="9" fontId="20" fillId="6" borderId="27" xfId="2" applyFont="1" applyFill="1" applyBorder="1" applyAlignment="1" applyProtection="1">
      <alignment vertical="center"/>
      <protection locked="0"/>
    </xf>
    <xf numFmtId="9" fontId="20" fillId="6" borderId="28" xfId="2" applyFont="1" applyFill="1" applyBorder="1" applyAlignment="1" applyProtection="1">
      <alignment vertical="center"/>
      <protection locked="0"/>
    </xf>
    <xf numFmtId="0" fontId="9" fillId="0" borderId="0" xfId="0" applyFont="1" applyAlignment="1">
      <alignment horizontal="right"/>
    </xf>
    <xf numFmtId="166" fontId="21" fillId="0" borderId="0" xfId="1" applyNumberFormat="1" applyFont="1"/>
    <xf numFmtId="0" fontId="9" fillId="0" borderId="0" xfId="0" applyFont="1"/>
    <xf numFmtId="0" fontId="4" fillId="0" borderId="0" xfId="0" applyFont="1" applyAlignment="1">
      <alignment wrapText="1"/>
    </xf>
    <xf numFmtId="0" fontId="8" fillId="0" borderId="0" xfId="0" applyFont="1" applyAlignment="1">
      <alignment wrapText="1"/>
    </xf>
    <xf numFmtId="166" fontId="8" fillId="0" borderId="0" xfId="1" applyNumberFormat="1" applyFont="1"/>
    <xf numFmtId="166" fontId="4" fillId="0" borderId="0" xfId="1" applyNumberFormat="1" applyFont="1"/>
    <xf numFmtId="166" fontId="0" fillId="0" borderId="0" xfId="0" applyNumberFormat="1"/>
    <xf numFmtId="166" fontId="9" fillId="0" borderId="1" xfId="1" applyNumberFormat="1" applyFont="1" applyBorder="1" applyAlignment="1">
      <alignment horizontal="center" vertical="center" wrapText="1"/>
    </xf>
    <xf numFmtId="0" fontId="3" fillId="0" borderId="1" xfId="0" applyFont="1" applyBorder="1" applyAlignment="1">
      <alignment horizontal="center" vertical="center"/>
    </xf>
    <xf numFmtId="166" fontId="0" fillId="0" borderId="20" xfId="1" applyNumberFormat="1" applyFont="1" applyBorder="1" applyAlignment="1"/>
    <xf numFmtId="166" fontId="0" fillId="0" borderId="21" xfId="1" applyNumberFormat="1" applyFont="1" applyBorder="1" applyAlignment="1"/>
    <xf numFmtId="166" fontId="0" fillId="0" borderId="30" xfId="1" applyNumberFormat="1" applyFont="1" applyBorder="1" applyAlignment="1"/>
    <xf numFmtId="0" fontId="0" fillId="0" borderId="1" xfId="0" applyBorder="1" applyAlignment="1">
      <alignment horizontal="center"/>
    </xf>
    <xf numFmtId="0" fontId="23" fillId="2" borderId="1" xfId="7" applyFont="1" applyFill="1" applyBorder="1" applyAlignment="1">
      <alignment horizontal="left" vertical="center" wrapText="1"/>
    </xf>
    <xf numFmtId="166" fontId="4" fillId="0" borderId="1" xfId="1" applyNumberFormat="1" applyFont="1" applyBorder="1"/>
    <xf numFmtId="166" fontId="4" fillId="7" borderId="1" xfId="1" applyNumberFormat="1" applyFont="1" applyFill="1" applyBorder="1"/>
    <xf numFmtId="0" fontId="24" fillId="0" borderId="1" xfId="7" applyFont="1" applyBorder="1" applyAlignment="1">
      <alignment horizontal="left" vertical="center" wrapText="1" indent="1"/>
    </xf>
    <xf numFmtId="166" fontId="4" fillId="0" borderId="1" xfId="1" applyNumberFormat="1" applyFont="1" applyFill="1" applyBorder="1"/>
    <xf numFmtId="0" fontId="25" fillId="2" borderId="1" xfId="7" applyFont="1" applyFill="1" applyBorder="1" applyAlignment="1">
      <alignment horizontal="left" vertical="center" wrapText="1"/>
    </xf>
    <xf numFmtId="0" fontId="24" fillId="2" borderId="1" xfId="7" applyFont="1" applyFill="1" applyBorder="1" applyAlignment="1">
      <alignment horizontal="left" vertical="center" wrapText="1" indent="1"/>
    </xf>
    <xf numFmtId="0" fontId="23" fillId="0" borderId="31" xfId="0" applyFont="1" applyBorder="1" applyAlignment="1">
      <alignment horizontal="left" vertical="center" wrapText="1"/>
    </xf>
    <xf numFmtId="0" fontId="25" fillId="0" borderId="31" xfId="0" applyFont="1" applyBorder="1" applyAlignment="1">
      <alignment horizontal="left" vertical="center" wrapText="1"/>
    </xf>
    <xf numFmtId="166" fontId="4" fillId="0" borderId="1" xfId="1" applyNumberFormat="1" applyFont="1" applyBorder="1" applyAlignment="1">
      <alignment vertical="center"/>
    </xf>
    <xf numFmtId="166" fontId="4" fillId="7" borderId="1" xfId="1" applyNumberFormat="1" applyFont="1" applyFill="1" applyBorder="1" applyAlignment="1">
      <alignment vertical="center"/>
    </xf>
    <xf numFmtId="0" fontId="26" fillId="2" borderId="31" xfId="0" applyFont="1" applyFill="1" applyBorder="1" applyAlignment="1">
      <alignment horizontal="left" vertical="center" wrapText="1" indent="1"/>
    </xf>
    <xf numFmtId="0" fontId="25" fillId="2" borderId="31" xfId="0" applyFont="1" applyFill="1" applyBorder="1" applyAlignment="1">
      <alignment vertical="top" wrapText="1"/>
    </xf>
    <xf numFmtId="0" fontId="25" fillId="2" borderId="32" xfId="0" applyFont="1" applyFill="1" applyBorder="1" applyAlignment="1">
      <alignment horizontal="left" vertical="center" wrapText="1"/>
    </xf>
    <xf numFmtId="0" fontId="26" fillId="0" borderId="31" xfId="0" applyFont="1" applyBorder="1" applyAlignment="1">
      <alignment horizontal="left" vertical="center" wrapText="1" indent="1"/>
    </xf>
    <xf numFmtId="0" fontId="26" fillId="0" borderId="1" xfId="7" applyFont="1" applyBorder="1" applyAlignment="1">
      <alignment horizontal="left" vertical="center" wrapText="1" indent="1"/>
    </xf>
    <xf numFmtId="0" fontId="25" fillId="0" borderId="1" xfId="7" applyFont="1" applyBorder="1" applyAlignment="1">
      <alignment horizontal="left" vertical="center" wrapText="1"/>
    </xf>
    <xf numFmtId="0" fontId="27" fillId="0" borderId="1" xfId="7" applyFont="1" applyBorder="1" applyAlignment="1">
      <alignment horizontal="center" vertical="center" wrapText="1"/>
    </xf>
    <xf numFmtId="166" fontId="4" fillId="0" borderId="20" xfId="1" applyNumberFormat="1" applyFont="1" applyBorder="1" applyAlignment="1"/>
    <xf numFmtId="166" fontId="4" fillId="0" borderId="21" xfId="1" applyNumberFormat="1" applyFont="1" applyBorder="1" applyAlignment="1"/>
    <xf numFmtId="166" fontId="4" fillId="0" borderId="21" xfId="1" applyNumberFormat="1" applyFont="1" applyBorder="1" applyAlignment="1">
      <alignment horizontal="center"/>
    </xf>
    <xf numFmtId="166" fontId="4" fillId="0" borderId="30" xfId="1" applyNumberFormat="1" applyFont="1" applyBorder="1" applyAlignment="1"/>
    <xf numFmtId="0" fontId="25" fillId="2" borderId="33" xfId="0" applyFont="1" applyFill="1" applyBorder="1" applyAlignment="1">
      <alignment horizontal="left" vertical="center" wrapText="1"/>
    </xf>
    <xf numFmtId="0" fontId="25" fillId="2" borderId="31" xfId="0" applyFont="1" applyFill="1" applyBorder="1" applyAlignment="1">
      <alignment horizontal="left" vertical="center" wrapText="1"/>
    </xf>
    <xf numFmtId="43" fontId="0" fillId="0" borderId="0" xfId="0" applyNumberFormat="1"/>
    <xf numFmtId="0" fontId="24" fillId="2" borderId="31" xfId="0" applyFont="1" applyFill="1" applyBorder="1" applyAlignment="1">
      <alignment horizontal="left" vertical="center" wrapText="1" indent="1"/>
    </xf>
    <xf numFmtId="0" fontId="24" fillId="0" borderId="31" xfId="0" applyFont="1" applyBorder="1" applyAlignment="1">
      <alignment horizontal="left" vertical="center" wrapText="1" indent="1"/>
    </xf>
    <xf numFmtId="0" fontId="24" fillId="0" borderId="32" xfId="0" applyFont="1" applyBorder="1" applyAlignment="1">
      <alignment horizontal="left" vertical="center" wrapText="1" indent="1"/>
    </xf>
    <xf numFmtId="0" fontId="28" fillId="0" borderId="1" xfId="0" applyFont="1" applyBorder="1" applyAlignment="1">
      <alignment horizontal="left"/>
    </xf>
    <xf numFmtId="0" fontId="25" fillId="0" borderId="1" xfId="0" applyFont="1" applyBorder="1" applyAlignment="1">
      <alignment horizontal="left" vertical="center" wrapText="1"/>
    </xf>
    <xf numFmtId="0" fontId="0" fillId="0" borderId="0" xfId="0" applyAlignment="1">
      <alignment horizontal="center"/>
    </xf>
    <xf numFmtId="0" fontId="0" fillId="0" borderId="0" xfId="0" applyAlignment="1">
      <alignment horizontal="left" vertical="center"/>
    </xf>
    <xf numFmtId="0" fontId="9" fillId="0" borderId="1" xfId="0" applyFont="1" applyBorder="1" applyAlignment="1">
      <alignment horizontal="center" vertical="center" wrapText="1"/>
    </xf>
    <xf numFmtId="0" fontId="25" fillId="0" borderId="36" xfId="0" applyFont="1" applyBorder="1" applyAlignment="1">
      <alignment horizontal="justify" vertical="center" wrapText="1"/>
    </xf>
    <xf numFmtId="43" fontId="0" fillId="0" borderId="1" xfId="1" applyFont="1" applyBorder="1"/>
    <xf numFmtId="43" fontId="0" fillId="7" borderId="1" xfId="1" applyFont="1" applyFill="1" applyBorder="1"/>
    <xf numFmtId="0" fontId="24" fillId="0" borderId="33" xfId="0" applyFont="1" applyBorder="1" applyAlignment="1">
      <alignment horizontal="left" vertical="center" wrapText="1" indent="1"/>
    </xf>
    <xf numFmtId="0" fontId="25" fillId="0" borderId="31" xfId="0" applyFont="1" applyBorder="1" applyAlignment="1">
      <alignment horizontal="justify" vertical="center" wrapText="1"/>
    </xf>
    <xf numFmtId="0" fontId="25" fillId="0" borderId="31" xfId="0" applyFont="1" applyBorder="1" applyAlignment="1">
      <alignment vertical="top" wrapText="1"/>
    </xf>
    <xf numFmtId="0" fontId="23" fillId="0" borderId="31" xfId="0" applyFont="1" applyBorder="1" applyAlignment="1">
      <alignment horizontal="justify" vertical="center" wrapText="1"/>
    </xf>
    <xf numFmtId="0" fontId="25" fillId="2" borderId="31" xfId="0" applyFont="1" applyFill="1" applyBorder="1" applyAlignment="1">
      <alignment horizontal="justify" vertical="center" wrapText="1"/>
    </xf>
    <xf numFmtId="166" fontId="0" fillId="0" borderId="1" xfId="1" applyNumberFormat="1" applyFont="1" applyFill="1" applyBorder="1"/>
    <xf numFmtId="166" fontId="0" fillId="0" borderId="1" xfId="1" applyNumberFormat="1" applyFont="1" applyBorder="1"/>
    <xf numFmtId="0" fontId="25" fillId="0" borderId="32" xfId="0" applyFont="1" applyBorder="1" applyAlignment="1">
      <alignment horizontal="justify" vertical="center" wrapText="1"/>
    </xf>
    <xf numFmtId="0" fontId="25" fillId="0" borderId="33" xfId="0" applyFont="1" applyBorder="1" applyAlignment="1">
      <alignment horizontal="justify" vertical="center" wrapText="1"/>
    </xf>
    <xf numFmtId="0" fontId="25" fillId="0" borderId="1" xfId="7" applyFont="1" applyBorder="1" applyAlignment="1">
      <alignment horizontal="justify" vertical="center" wrapText="1"/>
    </xf>
    <xf numFmtId="0" fontId="26" fillId="0" borderId="37" xfId="0" applyFont="1" applyBorder="1" applyAlignment="1">
      <alignment horizontal="left" vertical="center" wrapText="1" indent="1"/>
    </xf>
    <xf numFmtId="0" fontId="23" fillId="0" borderId="31" xfId="0" applyFont="1" applyBorder="1" applyAlignment="1">
      <alignment vertical="center" wrapText="1"/>
    </xf>
    <xf numFmtId="168" fontId="0" fillId="0" borderId="1" xfId="1" applyNumberFormat="1" applyFont="1" applyBorder="1"/>
    <xf numFmtId="168" fontId="0" fillId="0" borderId="1" xfId="1" applyNumberFormat="1" applyFont="1" applyFill="1" applyBorder="1"/>
    <xf numFmtId="0" fontId="25" fillId="0" borderId="31" xfId="0" applyFont="1" applyBorder="1" applyAlignment="1">
      <alignment vertical="center" wrapText="1"/>
    </xf>
    <xf numFmtId="0" fontId="25" fillId="0" borderId="1" xfId="7" applyFont="1" applyBorder="1" applyAlignment="1">
      <alignment vertical="center" wrapText="1"/>
    </xf>
    <xf numFmtId="0" fontId="14" fillId="0" borderId="11" xfId="0" applyFont="1" applyBorder="1" applyAlignment="1">
      <alignment horizontal="center"/>
    </xf>
    <xf numFmtId="0" fontId="9" fillId="0" borderId="19" xfId="0" applyFont="1" applyBorder="1" applyAlignment="1">
      <alignment horizontal="center" vertical="center" wrapText="1"/>
    </xf>
    <xf numFmtId="0" fontId="15" fillId="0" borderId="1" xfId="0" applyFont="1" applyBorder="1" applyAlignment="1">
      <alignment vertical="center" wrapText="1"/>
    </xf>
    <xf numFmtId="165" fontId="9" fillId="0" borderId="1" xfId="0" applyNumberFormat="1" applyFont="1" applyBorder="1" applyAlignment="1">
      <alignment horizontal="right"/>
    </xf>
    <xf numFmtId="165" fontId="9" fillId="7" borderId="1" xfId="0" applyNumberFormat="1" applyFont="1" applyFill="1" applyBorder="1" applyAlignment="1">
      <alignment horizontal="right"/>
    </xf>
    <xf numFmtId="165" fontId="9" fillId="7" borderId="19" xfId="0" applyNumberFormat="1" applyFont="1" applyFill="1" applyBorder="1" applyAlignment="1">
      <alignment horizontal="right"/>
    </xf>
    <xf numFmtId="0" fontId="8" fillId="0" borderId="1" xfId="0" applyFont="1" applyBorder="1" applyAlignment="1">
      <alignment horizontal="left" vertical="center" wrapText="1" indent="1"/>
    </xf>
    <xf numFmtId="0" fontId="3" fillId="0" borderId="1" xfId="0" applyFont="1" applyBorder="1" applyAlignment="1">
      <alignment vertical="center"/>
    </xf>
    <xf numFmtId="0" fontId="29" fillId="0" borderId="1" xfId="0" applyFont="1" applyBorder="1" applyAlignment="1" applyProtection="1">
      <alignment horizontal="left" vertical="center" indent="1"/>
      <protection locked="0"/>
    </xf>
    <xf numFmtId="0" fontId="30" fillId="0" borderId="1" xfId="0" applyFont="1" applyBorder="1" applyAlignment="1" applyProtection="1">
      <alignment horizontal="left" vertical="center" indent="3"/>
      <protection locked="0"/>
    </xf>
    <xf numFmtId="0" fontId="31" fillId="0" borderId="1" xfId="0" applyFont="1" applyBorder="1" applyAlignment="1" applyProtection="1">
      <alignment horizontal="left" vertical="center" indent="3"/>
      <protection locked="0"/>
    </xf>
    <xf numFmtId="0" fontId="31" fillId="0" borderId="1" xfId="0" applyFont="1" applyBorder="1" applyAlignment="1" applyProtection="1">
      <alignment vertical="top" wrapText="1"/>
      <protection locked="0"/>
    </xf>
    <xf numFmtId="0" fontId="3" fillId="0" borderId="1" xfId="0" applyFont="1" applyBorder="1"/>
    <xf numFmtId="165" fontId="9" fillId="0" borderId="0" xfId="0" applyNumberFormat="1" applyFont="1" applyAlignment="1">
      <alignment horizontal="right"/>
    </xf>
    <xf numFmtId="0" fontId="32" fillId="0" borderId="0" xfId="0" applyFont="1"/>
    <xf numFmtId="0" fontId="4" fillId="0" borderId="5" xfId="0" applyFont="1" applyBorder="1"/>
    <xf numFmtId="0" fontId="33" fillId="0" borderId="5" xfId="0" applyFont="1" applyBorder="1" applyAlignment="1">
      <alignment horizontal="center"/>
    </xf>
    <xf numFmtId="0" fontId="34" fillId="0" borderId="5" xfId="0" applyFont="1" applyBorder="1" applyAlignment="1">
      <alignment horizontal="center"/>
    </xf>
    <xf numFmtId="0" fontId="4" fillId="0" borderId="38" xfId="0" applyFont="1" applyBorder="1" applyAlignment="1">
      <alignment vertical="center" wrapText="1"/>
    </xf>
    <xf numFmtId="0" fontId="33" fillId="0" borderId="29" xfId="0" applyFont="1" applyBorder="1" applyAlignment="1">
      <alignment vertical="center" wrapText="1"/>
    </xf>
    <xf numFmtId="0" fontId="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4" fillId="0" borderId="1" xfId="0" applyFont="1" applyBorder="1" applyAlignment="1">
      <alignment vertical="center" wrapText="1"/>
    </xf>
    <xf numFmtId="3" fontId="36" fillId="7" borderId="1" xfId="0" applyNumberFormat="1" applyFont="1" applyFill="1" applyBorder="1" applyAlignment="1">
      <alignment vertical="center" wrapText="1"/>
    </xf>
    <xf numFmtId="3" fontId="36" fillId="7" borderId="22" xfId="0" applyNumberFormat="1" applyFont="1" applyFill="1" applyBorder="1" applyAlignment="1">
      <alignment vertical="center" wrapText="1"/>
    </xf>
    <xf numFmtId="166" fontId="37" fillId="8" borderId="0" xfId="1" applyNumberFormat="1" applyFont="1" applyFill="1"/>
    <xf numFmtId="14" fontId="8" fillId="2" borderId="1" xfId="8" quotePrefix="1" applyNumberFormat="1" applyFont="1" applyFill="1" applyBorder="1" applyAlignment="1" applyProtection="1">
      <alignment horizontal="left" vertical="center" wrapText="1" indent="2"/>
      <protection locked="0"/>
    </xf>
    <xf numFmtId="3" fontId="36" fillId="0" borderId="1" xfId="0" applyNumberFormat="1" applyFont="1" applyBorder="1" applyAlignment="1">
      <alignment vertical="center" wrapText="1"/>
    </xf>
    <xf numFmtId="3" fontId="36" fillId="0" borderId="20" xfId="0" applyNumberFormat="1" applyFont="1" applyBorder="1" applyAlignment="1">
      <alignment vertical="center" wrapText="1"/>
    </xf>
    <xf numFmtId="3" fontId="36" fillId="0" borderId="22" xfId="0" applyNumberFormat="1" applyFont="1" applyBorder="1" applyAlignment="1">
      <alignment vertical="center" wrapText="1"/>
    </xf>
    <xf numFmtId="14" fontId="8" fillId="2" borderId="1" xfId="8" quotePrefix="1" applyNumberFormat="1" applyFont="1" applyFill="1" applyBorder="1" applyAlignment="1" applyProtection="1">
      <alignment horizontal="left" vertical="center" wrapText="1" indent="3"/>
      <protection locked="0"/>
    </xf>
    <xf numFmtId="14" fontId="32" fillId="0" borderId="0" xfId="0" applyNumberFormat="1" applyFont="1"/>
    <xf numFmtId="0" fontId="4" fillId="0" borderId="1" xfId="0" applyFont="1" applyBorder="1" applyAlignment="1">
      <alignment horizontal="left" vertical="center" wrapText="1" indent="2"/>
    </xf>
    <xf numFmtId="0" fontId="35" fillId="0" borderId="26" xfId="0" applyFont="1" applyBorder="1" applyAlignment="1">
      <alignment horizontal="center" vertical="center" wrapText="1"/>
    </xf>
    <xf numFmtId="0" fontId="33" fillId="0" borderId="27" xfId="0" applyFont="1" applyBorder="1" applyAlignment="1">
      <alignment vertical="center" wrapText="1"/>
    </xf>
    <xf numFmtId="3" fontId="36" fillId="7" borderId="27" xfId="0" applyNumberFormat="1" applyFont="1" applyFill="1" applyBorder="1" applyAlignment="1">
      <alignment vertical="center" wrapText="1"/>
    </xf>
    <xf numFmtId="3" fontId="36" fillId="7" borderId="39" xfId="0" applyNumberFormat="1" applyFont="1" applyFill="1" applyBorder="1" applyAlignment="1">
      <alignment vertical="center" wrapText="1"/>
    </xf>
    <xf numFmtId="3" fontId="4" fillId="0" borderId="0" xfId="0" applyNumberFormat="1" applyFont="1"/>
    <xf numFmtId="0" fontId="4" fillId="0" borderId="0" xfId="0" applyFont="1" applyAlignment="1">
      <alignment vertical="top" wrapText="1"/>
    </xf>
    <xf numFmtId="0" fontId="9" fillId="0" borderId="0" xfId="0" applyFont="1" applyAlignment="1">
      <alignment horizontal="left" wrapText="1"/>
    </xf>
    <xf numFmtId="0" fontId="9" fillId="0" borderId="9" xfId="0" applyFont="1" applyBorder="1"/>
    <xf numFmtId="0" fontId="14" fillId="0" borderId="40" xfId="0" applyFont="1" applyBorder="1" applyAlignment="1">
      <alignment horizontal="center" wrapText="1"/>
    </xf>
    <xf numFmtId="0" fontId="9" fillId="0" borderId="12" xfId="0" applyFont="1" applyBorder="1" applyAlignment="1">
      <alignment vertical="center"/>
    </xf>
    <xf numFmtId="0" fontId="39" fillId="0" borderId="20" xfId="0" applyFont="1" applyBorder="1" applyAlignment="1">
      <alignment wrapText="1"/>
    </xf>
    <xf numFmtId="0" fontId="4" fillId="0" borderId="19" xfId="0" applyFont="1" applyBorder="1"/>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20" xfId="0" applyFont="1" applyBorder="1" applyAlignment="1">
      <alignment wrapText="1"/>
    </xf>
    <xf numFmtId="0" fontId="9" fillId="0" borderId="19" xfId="0" applyFont="1" applyBorder="1" applyAlignment="1">
      <alignment wrapText="1"/>
    </xf>
    <xf numFmtId="0" fontId="9" fillId="0" borderId="20" xfId="0" applyFont="1" applyBorder="1" applyAlignment="1">
      <alignment vertical="top" wrapText="1"/>
    </xf>
    <xf numFmtId="0" fontId="9" fillId="0" borderId="22" xfId="0" applyFont="1" applyBorder="1" applyAlignment="1">
      <alignment wrapText="1"/>
    </xf>
    <xf numFmtId="0" fontId="0" fillId="0" borderId="0" xfId="0" applyAlignment="1">
      <alignment wrapText="1"/>
    </xf>
    <xf numFmtId="10" fontId="4" fillId="0" borderId="22" xfId="2" applyNumberFormat="1" applyFont="1" applyBorder="1" applyAlignment="1">
      <alignment horizontal="center"/>
    </xf>
    <xf numFmtId="9" fontId="0" fillId="0" borderId="0" xfId="2" applyFont="1" applyFill="1"/>
    <xf numFmtId="0" fontId="4" fillId="0" borderId="22" xfId="0" applyFont="1" applyBorder="1"/>
    <xf numFmtId="166" fontId="0" fillId="0" borderId="0" xfId="1" applyNumberFormat="1" applyFont="1" applyFill="1"/>
    <xf numFmtId="10" fontId="4" fillId="0" borderId="19" xfId="2" applyNumberFormat="1" applyFont="1" applyBorder="1"/>
    <xf numFmtId="0" fontId="9" fillId="0" borderId="24" xfId="0" applyFont="1" applyBorder="1" applyAlignment="1">
      <alignment vertical="center"/>
    </xf>
    <xf numFmtId="0" fontId="39" fillId="0" borderId="3" xfId="0" applyFont="1" applyBorder="1" applyAlignment="1">
      <alignment wrapText="1"/>
    </xf>
    <xf numFmtId="10" fontId="4" fillId="0" borderId="25" xfId="2" applyNumberFormat="1" applyFont="1" applyBorder="1"/>
    <xf numFmtId="10" fontId="4" fillId="0" borderId="25" xfId="2" applyNumberFormat="1" applyFont="1" applyFill="1" applyBorder="1"/>
    <xf numFmtId="0" fontId="9" fillId="0" borderId="24" xfId="0" applyFont="1" applyBorder="1" applyAlignment="1">
      <alignment horizontal="right" vertical="center"/>
    </xf>
    <xf numFmtId="0" fontId="9" fillId="0" borderId="26" xfId="0" applyFont="1" applyBorder="1"/>
    <xf numFmtId="0" fontId="39" fillId="0" borderId="41" xfId="0" applyFont="1" applyBorder="1" applyAlignment="1">
      <alignment wrapText="1"/>
    </xf>
    <xf numFmtId="0" fontId="4" fillId="0" borderId="28" xfId="0" applyFont="1" applyBorder="1"/>
    <xf numFmtId="0" fontId="2" fillId="0" borderId="0" xfId="0" applyFont="1"/>
    <xf numFmtId="0" fontId="40" fillId="0" borderId="0" xfId="5" applyFont="1"/>
    <xf numFmtId="0" fontId="9" fillId="0" borderId="5" xfId="5" applyFont="1" applyBorder="1"/>
    <xf numFmtId="0" fontId="15" fillId="0" borderId="5" xfId="5" applyFont="1" applyBorder="1" applyAlignment="1">
      <alignment horizontal="left" vertical="center"/>
    </xf>
    <xf numFmtId="0" fontId="9" fillId="0" borderId="0" xfId="5" applyFont="1" applyAlignment="1">
      <alignment horizontal="left"/>
    </xf>
    <xf numFmtId="0" fontId="34" fillId="0" borderId="0" xfId="5" applyFont="1" applyAlignment="1">
      <alignment horizontal="right"/>
    </xf>
    <xf numFmtId="0" fontId="8" fillId="0" borderId="9" xfId="5" applyFont="1" applyBorder="1" applyAlignment="1">
      <alignment vertical="center"/>
    </xf>
    <xf numFmtId="0" fontId="8" fillId="0" borderId="10" xfId="5" applyFont="1" applyBorder="1" applyAlignment="1">
      <alignment vertical="center"/>
    </xf>
    <xf numFmtId="0" fontId="15" fillId="0" borderId="10" xfId="5" applyFont="1" applyBorder="1" applyAlignment="1">
      <alignment horizontal="center" vertical="center"/>
    </xf>
    <xf numFmtId="0" fontId="15" fillId="0" borderId="11" xfId="5" applyFont="1" applyBorder="1" applyAlignment="1">
      <alignment horizontal="center" vertical="center"/>
    </xf>
    <xf numFmtId="0" fontId="21" fillId="0" borderId="0" xfId="5" applyFont="1" applyAlignment="1">
      <alignment vertical="center"/>
    </xf>
    <xf numFmtId="0" fontId="8" fillId="0" borderId="0" xfId="5" applyFont="1" applyAlignment="1">
      <alignment vertical="center"/>
    </xf>
    <xf numFmtId="0" fontId="0" fillId="0" borderId="12" xfId="0" applyBorder="1"/>
    <xf numFmtId="0" fontId="4" fillId="0" borderId="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2" xfId="0" applyFont="1" applyBorder="1" applyAlignment="1">
      <alignment horizontal="center" vertical="center" wrapText="1"/>
    </xf>
    <xf numFmtId="43" fontId="4" fillId="0" borderId="1" xfId="1" applyFont="1" applyFill="1" applyBorder="1" applyAlignment="1">
      <alignment vertical="center" wrapText="1"/>
    </xf>
    <xf numFmtId="43" fontId="2" fillId="0" borderId="0" xfId="0" applyNumberFormat="1" applyFont="1"/>
    <xf numFmtId="43" fontId="4" fillId="0" borderId="1" xfId="1" applyFont="1" applyBorder="1" applyAlignment="1">
      <alignment vertical="center"/>
    </xf>
    <xf numFmtId="0" fontId="26" fillId="2" borderId="31" xfId="0" applyFont="1" applyFill="1" applyBorder="1" applyAlignment="1">
      <alignment vertical="top" wrapText="1"/>
    </xf>
    <xf numFmtId="0" fontId="0" fillId="0" borderId="26" xfId="0" applyBorder="1"/>
    <xf numFmtId="0" fontId="33" fillId="7" borderId="43" xfId="0" applyFont="1" applyFill="1" applyBorder="1" applyAlignment="1">
      <alignment vertical="center" wrapText="1"/>
    </xf>
    <xf numFmtId="0" fontId="7" fillId="0" borderId="0" xfId="0" applyFont="1" applyAlignment="1">
      <alignment vertical="center"/>
    </xf>
    <xf numFmtId="0" fontId="4" fillId="0" borderId="0" xfId="0" applyFont="1" applyAlignment="1">
      <alignment vertical="center"/>
    </xf>
    <xf numFmtId="0" fontId="15" fillId="0" borderId="0" xfId="5" applyFont="1" applyAlignment="1">
      <alignment horizontal="center" vertical="center" wrapText="1"/>
    </xf>
    <xf numFmtId="0" fontId="0" fillId="0" borderId="9" xfId="0" applyBorder="1" applyAlignment="1">
      <alignment horizontal="center" vertical="center"/>
    </xf>
    <xf numFmtId="0" fontId="33" fillId="7" borderId="44" xfId="0" applyFont="1" applyFill="1" applyBorder="1" applyAlignment="1">
      <alignment wrapText="1"/>
    </xf>
    <xf numFmtId="166" fontId="2" fillId="0" borderId="0" xfId="1" applyNumberFormat="1" applyFont="1"/>
    <xf numFmtId="0" fontId="4" fillId="0" borderId="12" xfId="0" applyFont="1" applyBorder="1" applyAlignment="1">
      <alignment horizontal="center" vertical="center"/>
    </xf>
    <xf numFmtId="0" fontId="4" fillId="0" borderId="21" xfId="0" applyFont="1" applyBorder="1"/>
    <xf numFmtId="0" fontId="4" fillId="0" borderId="12" xfId="0" applyFont="1" applyBorder="1" applyAlignment="1">
      <alignment horizontal="center" vertical="center" wrapText="1"/>
    </xf>
    <xf numFmtId="0" fontId="4" fillId="0" borderId="21" xfId="0" applyFont="1" applyBorder="1" applyAlignment="1">
      <alignment vertical="center" wrapText="1"/>
    </xf>
    <xf numFmtId="0" fontId="33" fillId="7" borderId="21" xfId="0" applyFont="1" applyFill="1" applyBorder="1" applyAlignment="1">
      <alignment wrapText="1"/>
    </xf>
    <xf numFmtId="0" fontId="4" fillId="0" borderId="21" xfId="0" applyFont="1" applyBorder="1" applyAlignment="1">
      <alignment vertical="center"/>
    </xf>
    <xf numFmtId="0" fontId="4" fillId="0" borderId="21" xfId="0" applyFont="1" applyBorder="1" applyAlignment="1">
      <alignment wrapText="1"/>
    </xf>
    <xf numFmtId="0" fontId="4" fillId="0" borderId="26" xfId="0" applyFont="1" applyBorder="1" applyAlignment="1">
      <alignment horizontal="center" vertical="center" wrapText="1"/>
    </xf>
    <xf numFmtId="0" fontId="33" fillId="7" borderId="45" xfId="0" applyFont="1" applyFill="1" applyBorder="1" applyAlignment="1">
      <alignment wrapText="1"/>
    </xf>
    <xf numFmtId="3" fontId="0" fillId="0" borderId="0" xfId="0" applyNumberFormat="1"/>
    <xf numFmtId="0" fontId="4" fillId="0" borderId="0" xfId="0" applyFont="1" applyAlignment="1">
      <alignment horizontal="center" vertical="center"/>
    </xf>
    <xf numFmtId="0" fontId="7" fillId="0" borderId="0" xfId="0" applyFont="1" applyAlignment="1">
      <alignment horizontal="center" vertical="center"/>
    </xf>
    <xf numFmtId="0" fontId="21" fillId="0" borderId="0" xfId="0" applyFont="1"/>
    <xf numFmtId="0" fontId="33" fillId="0" borderId="0" xfId="0" applyFont="1" applyAlignment="1">
      <alignment horizontal="center"/>
    </xf>
    <xf numFmtId="0" fontId="8" fillId="0" borderId="9" xfId="9" applyFont="1" applyBorder="1" applyAlignment="1" applyProtection="1">
      <alignment horizontal="center" vertical="center"/>
      <protection locked="0"/>
    </xf>
    <xf numFmtId="0" fontId="15" fillId="2" borderId="46" xfId="9" applyFont="1" applyFill="1" applyBorder="1" applyAlignment="1" applyProtection="1">
      <alignment horizontal="center" vertical="center" wrapText="1"/>
      <protection locked="0"/>
    </xf>
    <xf numFmtId="166" fontId="8" fillId="2" borderId="11" xfId="10" applyNumberFormat="1" applyFont="1" applyFill="1" applyBorder="1" applyAlignment="1" applyProtection="1">
      <alignment horizontal="center" vertical="center"/>
      <protection locked="0"/>
    </xf>
    <xf numFmtId="0" fontId="8" fillId="0" borderId="12" xfId="9" applyFont="1" applyBorder="1" applyAlignment="1" applyProtection="1">
      <alignment horizontal="center" vertical="center"/>
      <protection locked="0"/>
    </xf>
    <xf numFmtId="0" fontId="33" fillId="7" borderId="1" xfId="0" applyFont="1" applyFill="1" applyBorder="1" applyAlignment="1">
      <alignment horizontal="left" vertical="top" wrapText="1"/>
    </xf>
    <xf numFmtId="165" fontId="8" fillId="7" borderId="19" xfId="10" applyNumberFormat="1" applyFont="1" applyFill="1" applyBorder="1" applyAlignment="1" applyProtection="1">
      <alignment vertical="top"/>
    </xf>
    <xf numFmtId="0" fontId="8" fillId="2" borderId="29" xfId="11" applyFont="1" applyFill="1" applyBorder="1" applyAlignment="1" applyProtection="1">
      <alignment vertical="center" wrapText="1"/>
      <protection locked="0"/>
    </xf>
    <xf numFmtId="165" fontId="8" fillId="2" borderId="19" xfId="10" applyNumberFormat="1" applyFont="1" applyFill="1" applyBorder="1" applyAlignment="1" applyProtection="1">
      <alignment vertical="top"/>
      <protection locked="0"/>
    </xf>
    <xf numFmtId="0" fontId="8" fillId="2" borderId="1" xfId="11" applyFont="1" applyFill="1" applyBorder="1" applyAlignment="1" applyProtection="1">
      <alignment vertical="center" wrapText="1"/>
      <protection locked="0"/>
    </xf>
    <xf numFmtId="0" fontId="8" fillId="2" borderId="2" xfId="11" applyFont="1" applyFill="1" applyBorder="1" applyAlignment="1" applyProtection="1">
      <alignment vertical="center" wrapText="1"/>
      <protection locked="0"/>
    </xf>
    <xf numFmtId="165" fontId="8" fillId="7" borderId="19" xfId="10" applyNumberFormat="1" applyFont="1" applyFill="1" applyBorder="1" applyAlignment="1" applyProtection="1">
      <alignment vertical="top" wrapText="1"/>
    </xf>
    <xf numFmtId="0" fontId="8" fillId="2" borderId="29" xfId="11" applyFont="1" applyFill="1" applyBorder="1" applyAlignment="1" applyProtection="1">
      <alignment horizontal="left" vertical="center" wrapText="1"/>
      <protection locked="0"/>
    </xf>
    <xf numFmtId="165" fontId="8" fillId="2" borderId="19"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protection locked="0"/>
    </xf>
    <xf numFmtId="0" fontId="8" fillId="2" borderId="1" xfId="9" applyFont="1" applyFill="1" applyBorder="1" applyAlignment="1" applyProtection="1">
      <alignment horizontal="left" vertical="center" wrapText="1"/>
      <protection locked="0"/>
    </xf>
    <xf numFmtId="0" fontId="8" fillId="0" borderId="1" xfId="11" applyFont="1" applyBorder="1" applyAlignment="1" applyProtection="1">
      <alignment horizontal="left" vertical="center" wrapText="1"/>
      <protection locked="0"/>
    </xf>
    <xf numFmtId="0" fontId="8" fillId="0" borderId="0" xfId="11" applyFont="1" applyAlignment="1" applyProtection="1">
      <alignment vertical="top" wrapText="1"/>
      <protection locked="0"/>
    </xf>
    <xf numFmtId="0" fontId="8" fillId="0" borderId="1" xfId="11" applyFont="1" applyBorder="1" applyAlignment="1" applyProtection="1">
      <alignment wrapText="1"/>
      <protection locked="0"/>
    </xf>
    <xf numFmtId="1" fontId="15" fillId="7" borderId="1" xfId="10" applyNumberFormat="1" applyFont="1" applyFill="1" applyBorder="1" applyAlignment="1" applyProtection="1">
      <alignment horizontal="left" vertical="top" wrapText="1"/>
    </xf>
    <xf numFmtId="166" fontId="0" fillId="0" borderId="0" xfId="1" applyNumberFormat="1" applyFont="1" applyAlignment="1">
      <alignment wrapText="1"/>
    </xf>
    <xf numFmtId="0" fontId="8" fillId="0" borderId="12" xfId="9" applyFont="1" applyBorder="1" applyAlignment="1" applyProtection="1">
      <alignment horizontal="center" vertical="center" wrapText="1"/>
      <protection locked="0"/>
    </xf>
    <xf numFmtId="0" fontId="15" fillId="2" borderId="1" xfId="11" applyFont="1" applyFill="1" applyBorder="1" applyAlignment="1" applyProtection="1">
      <alignment vertical="center" wrapText="1"/>
      <protection locked="0"/>
    </xf>
    <xf numFmtId="165" fontId="8" fillId="7" borderId="19"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indent="3"/>
      <protection locked="0"/>
    </xf>
    <xf numFmtId="0" fontId="15" fillId="7" borderId="1" xfId="11" applyFont="1" applyFill="1" applyBorder="1" applyAlignment="1" applyProtection="1">
      <alignment vertical="center" wrapText="1"/>
      <protection locked="0"/>
    </xf>
    <xf numFmtId="0" fontId="15" fillId="7" borderId="27" xfId="11" applyFont="1" applyFill="1" applyBorder="1" applyAlignment="1" applyProtection="1">
      <alignment vertical="center" wrapText="1"/>
      <protection locked="0"/>
    </xf>
    <xf numFmtId="165" fontId="8" fillId="7" borderId="28" xfId="10" applyNumberFormat="1" applyFont="1" applyFill="1" applyBorder="1" applyAlignment="1" applyProtection="1">
      <alignment vertical="top" wrapText="1"/>
    </xf>
    <xf numFmtId="0" fontId="41" fillId="0" borderId="0" xfId="0" applyFont="1" applyAlignment="1">
      <alignment horizontal="right"/>
    </xf>
    <xf numFmtId="166" fontId="41" fillId="0" borderId="0" xfId="1" applyNumberFormat="1" applyFont="1"/>
    <xf numFmtId="38" fontId="4" fillId="0" borderId="0" xfId="0" applyNumberFormat="1" applyFont="1"/>
    <xf numFmtId="0" fontId="33" fillId="0" borderId="0" xfId="12" applyFont="1" applyAlignment="1" applyProtection="1">
      <alignment horizontal="left" vertical="center"/>
      <protection locked="0"/>
    </xf>
    <xf numFmtId="0" fontId="33" fillId="7" borderId="10" xfId="0" applyFont="1" applyFill="1" applyBorder="1" applyAlignment="1">
      <alignment horizontal="center" vertical="center" wrapText="1"/>
    </xf>
    <xf numFmtId="0" fontId="33" fillId="7" borderId="11" xfId="0" applyFont="1" applyFill="1" applyBorder="1" applyAlignment="1">
      <alignment horizontal="center" vertical="center" wrapText="1"/>
    </xf>
    <xf numFmtId="0" fontId="33" fillId="7" borderId="12" xfId="0" applyFont="1" applyFill="1" applyBorder="1" applyAlignment="1">
      <alignment horizontal="left" vertical="center" wrapText="1"/>
    </xf>
    <xf numFmtId="0" fontId="33" fillId="7" borderId="1" xfId="0" applyFont="1" applyFill="1" applyBorder="1" applyAlignment="1">
      <alignment horizontal="left" vertical="center" wrapText="1"/>
    </xf>
    <xf numFmtId="0" fontId="33" fillId="7" borderId="19" xfId="0" applyFont="1" applyFill="1" applyBorder="1" applyAlignment="1">
      <alignment horizontal="left" vertical="center" wrapText="1"/>
    </xf>
    <xf numFmtId="0" fontId="4" fillId="0" borderId="0" xfId="0" applyFont="1" applyAlignment="1">
      <alignment horizontal="left" vertical="center"/>
    </xf>
    <xf numFmtId="0" fontId="4" fillId="0" borderId="12" xfId="0" applyFont="1" applyBorder="1" applyAlignment="1">
      <alignment horizontal="right" vertical="center" wrapText="1"/>
    </xf>
    <xf numFmtId="0" fontId="4" fillId="0" borderId="1" xfId="0" applyFont="1" applyBorder="1" applyAlignment="1">
      <alignment horizontal="left" vertical="center" wrapText="1"/>
    </xf>
    <xf numFmtId="10" fontId="8" fillId="0" borderId="1" xfId="2" applyNumberFormat="1" applyFont="1" applyFill="1" applyBorder="1" applyAlignment="1">
      <alignment horizontal="left" vertical="center" wrapText="1"/>
    </xf>
    <xf numFmtId="166" fontId="4" fillId="0" borderId="19" xfId="1" applyNumberFormat="1" applyFont="1" applyBorder="1" applyAlignment="1">
      <alignment horizontal="right" vertical="center" wrapText="1"/>
    </xf>
    <xf numFmtId="10" fontId="33" fillId="7" borderId="1" xfId="0" applyNumberFormat="1" applyFont="1" applyFill="1" applyBorder="1" applyAlignment="1">
      <alignment horizontal="left" vertical="center" wrapText="1"/>
    </xf>
    <xf numFmtId="0" fontId="13" fillId="0" borderId="12" xfId="0" applyFont="1" applyBorder="1" applyAlignment="1">
      <alignment horizontal="right" vertical="center" wrapText="1"/>
    </xf>
    <xf numFmtId="0" fontId="13" fillId="0" borderId="1" xfId="0" applyFont="1" applyBorder="1" applyAlignment="1">
      <alignment horizontal="left" vertical="center" wrapText="1"/>
    </xf>
    <xf numFmtId="10" fontId="13" fillId="0" borderId="1" xfId="2" applyNumberFormat="1" applyFont="1" applyFill="1" applyBorder="1" applyAlignment="1">
      <alignment horizontal="left" vertical="center" wrapText="1"/>
    </xf>
    <xf numFmtId="166" fontId="13" fillId="0" borderId="19" xfId="1" applyNumberFormat="1" applyFont="1" applyBorder="1" applyAlignment="1">
      <alignment horizontal="right" vertical="center" wrapText="1"/>
    </xf>
    <xf numFmtId="0" fontId="13" fillId="0" borderId="0" xfId="0" applyFont="1" applyAlignment="1">
      <alignment horizontal="left" vertical="center"/>
    </xf>
    <xf numFmtId="10" fontId="33" fillId="7" borderId="1" xfId="2" applyNumberFormat="1" applyFont="1" applyFill="1" applyBorder="1" applyAlignment="1">
      <alignment horizontal="left" vertical="center" wrapText="1"/>
    </xf>
    <xf numFmtId="166" fontId="33" fillId="7" borderId="19" xfId="1" applyNumberFormat="1" applyFont="1" applyFill="1" applyBorder="1" applyAlignment="1">
      <alignment horizontal="right" vertical="center" wrapText="1"/>
    </xf>
    <xf numFmtId="49" fontId="13" fillId="0" borderId="12" xfId="0" applyNumberFormat="1" applyFont="1" applyBorder="1" applyAlignment="1">
      <alignment horizontal="right" vertical="center" wrapText="1"/>
    </xf>
    <xf numFmtId="10" fontId="33" fillId="7" borderId="1" xfId="0" applyNumberFormat="1" applyFont="1" applyFill="1" applyBorder="1" applyAlignment="1">
      <alignment horizontal="center" vertical="center" wrapText="1"/>
    </xf>
    <xf numFmtId="1" fontId="33" fillId="7" borderId="19" xfId="0" applyNumberFormat="1" applyFont="1" applyFill="1" applyBorder="1" applyAlignment="1">
      <alignment horizontal="center" vertical="center" wrapText="1"/>
    </xf>
    <xf numFmtId="0" fontId="33" fillId="0" borderId="12" xfId="0" applyFont="1" applyBorder="1" applyAlignment="1">
      <alignment horizontal="left" vertical="center" wrapText="1"/>
    </xf>
    <xf numFmtId="49" fontId="42" fillId="0" borderId="26" xfId="13" applyNumberFormat="1" applyFont="1" applyBorder="1" applyAlignment="1" applyProtection="1">
      <alignment horizontal="left" vertical="center"/>
      <protection locked="0"/>
    </xf>
    <xf numFmtId="0" fontId="43" fillId="0" borderId="27" xfId="9" applyFont="1" applyBorder="1" applyAlignment="1" applyProtection="1">
      <alignment horizontal="left" vertical="center" wrapText="1"/>
      <protection locked="0"/>
    </xf>
    <xf numFmtId="10" fontId="43" fillId="0" borderId="27" xfId="2" applyNumberFormat="1" applyFont="1" applyFill="1" applyBorder="1" applyAlignment="1" applyProtection="1">
      <alignment horizontal="left" vertical="center"/>
    </xf>
    <xf numFmtId="166" fontId="8" fillId="0" borderId="28" xfId="1" applyNumberFormat="1" applyFont="1" applyFill="1" applyBorder="1" applyAlignment="1" applyProtection="1">
      <alignment horizontal="right" vertical="center"/>
    </xf>
    <xf numFmtId="0" fontId="7" fillId="0" borderId="0" xfId="0" applyFont="1"/>
    <xf numFmtId="0" fontId="14" fillId="0" borderId="0" xfId="5" applyFont="1"/>
    <xf numFmtId="0" fontId="14" fillId="0" borderId="0" xfId="5" applyFont="1" applyAlignment="1">
      <alignment horizontal="center"/>
    </xf>
    <xf numFmtId="0" fontId="34" fillId="0" borderId="0" xfId="0" applyFont="1" applyAlignment="1" applyProtection="1">
      <alignment horizontal="right"/>
      <protection locked="0"/>
    </xf>
    <xf numFmtId="0" fontId="4" fillId="0" borderId="4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43" fontId="44" fillId="0" borderId="52" xfId="1" applyFont="1" applyBorder="1" applyAlignment="1">
      <alignment horizontal="center" vertical="center"/>
    </xf>
    <xf numFmtId="169" fontId="7" fillId="0" borderId="53" xfId="0" applyNumberFormat="1" applyFont="1" applyBorder="1" applyAlignment="1">
      <alignment horizontal="center"/>
    </xf>
    <xf numFmtId="169" fontId="0" fillId="0" borderId="0" xfId="0" applyNumberFormat="1" applyAlignment="1">
      <alignment horizontal="center"/>
    </xf>
    <xf numFmtId="43" fontId="7" fillId="0" borderId="54" xfId="1" applyFont="1" applyBorder="1" applyAlignment="1">
      <alignment horizontal="center" vertical="center"/>
    </xf>
    <xf numFmtId="169" fontId="7" fillId="0" borderId="55" xfId="0" applyNumberFormat="1" applyFont="1" applyBorder="1" applyAlignment="1">
      <alignment horizontal="center"/>
    </xf>
    <xf numFmtId="169" fontId="45" fillId="0" borderId="55" xfId="0" applyNumberFormat="1" applyFont="1" applyBorder="1" applyAlignment="1">
      <alignment horizontal="center"/>
    </xf>
    <xf numFmtId="169" fontId="46" fillId="0" borderId="0" xfId="0" applyNumberFormat="1" applyFont="1" applyAlignment="1">
      <alignment horizontal="center"/>
    </xf>
    <xf numFmtId="43" fontId="12" fillId="0" borderId="54" xfId="1" applyFont="1" applyBorder="1" applyAlignment="1">
      <alignment horizontal="center" vertical="center"/>
    </xf>
    <xf numFmtId="43" fontId="44" fillId="0" borderId="54" xfId="1" applyFont="1" applyBorder="1" applyAlignment="1">
      <alignment horizontal="center" vertical="center"/>
    </xf>
    <xf numFmtId="43" fontId="45" fillId="0" borderId="54" xfId="1" applyFont="1" applyBorder="1" applyAlignment="1">
      <alignment horizontal="center" vertical="center"/>
    </xf>
    <xf numFmtId="0" fontId="25" fillId="2" borderId="32" xfId="0" applyFont="1" applyFill="1" applyBorder="1" applyAlignment="1">
      <alignment vertical="top" wrapText="1"/>
    </xf>
    <xf numFmtId="169" fontId="34" fillId="0" borderId="55" xfId="0" applyNumberFormat="1" applyFont="1" applyBorder="1" applyAlignment="1">
      <alignment horizontal="center"/>
    </xf>
    <xf numFmtId="43" fontId="7" fillId="0" borderId="56" xfId="1" applyFont="1" applyBorder="1" applyAlignment="1">
      <alignment horizontal="center" vertical="center"/>
    </xf>
    <xf numFmtId="169" fontId="7" fillId="0" borderId="57" xfId="0" applyNumberFormat="1" applyFont="1" applyBorder="1" applyAlignment="1">
      <alignment horizontal="center"/>
    </xf>
    <xf numFmtId="169" fontId="44" fillId="0" borderId="58" xfId="0" applyNumberFormat="1" applyFont="1" applyBorder="1" applyAlignment="1">
      <alignment horizontal="center"/>
    </xf>
    <xf numFmtId="169" fontId="3" fillId="0" borderId="0" xfId="0" applyNumberFormat="1" applyFont="1" applyAlignment="1">
      <alignment horizontal="center"/>
    </xf>
    <xf numFmtId="43" fontId="44" fillId="0" borderId="59" xfId="1" applyFont="1" applyBorder="1" applyAlignment="1">
      <alignment horizontal="center" vertical="center"/>
    </xf>
    <xf numFmtId="169" fontId="45" fillId="3" borderId="60" xfId="0" applyNumberFormat="1" applyFont="1" applyFill="1" applyBorder="1" applyAlignment="1">
      <alignment horizontal="center"/>
    </xf>
    <xf numFmtId="43" fontId="44" fillId="0" borderId="56" xfId="1" applyFont="1" applyBorder="1" applyAlignment="1">
      <alignment horizontal="center" vertical="center"/>
    </xf>
    <xf numFmtId="43" fontId="45" fillId="0" borderId="56" xfId="1" applyFont="1" applyBorder="1" applyAlignment="1">
      <alignment vertical="center"/>
    </xf>
    <xf numFmtId="169" fontId="7" fillId="0" borderId="61" xfId="0" applyNumberFormat="1" applyFont="1" applyBorder="1" applyAlignment="1">
      <alignment horizontal="center"/>
    </xf>
    <xf numFmtId="43" fontId="44" fillId="0" borderId="62" xfId="1" applyFont="1" applyBorder="1" applyAlignment="1">
      <alignment horizontal="center" vertical="center"/>
    </xf>
    <xf numFmtId="0" fontId="0" fillId="0" borderId="2" xfId="0" applyBorder="1" applyAlignment="1">
      <alignment horizontal="center"/>
    </xf>
    <xf numFmtId="0" fontId="24" fillId="0" borderId="2" xfId="7" applyFont="1" applyBorder="1" applyAlignment="1">
      <alignment horizontal="left" vertical="center" wrapText="1" indent="1"/>
    </xf>
    <xf numFmtId="0" fontId="24" fillId="2" borderId="1" xfId="0" applyFont="1" applyFill="1" applyBorder="1" applyAlignment="1">
      <alignment horizontal="left" vertical="center" wrapText="1" indent="1"/>
    </xf>
    <xf numFmtId="169" fontId="7" fillId="0" borderId="1" xfId="0" applyNumberFormat="1" applyFont="1" applyBorder="1" applyAlignment="1">
      <alignment horizontal="center"/>
    </xf>
    <xf numFmtId="43" fontId="44" fillId="0" borderId="1" xfId="1" applyFont="1" applyBorder="1" applyAlignment="1">
      <alignment horizontal="center"/>
    </xf>
    <xf numFmtId="0" fontId="24" fillId="0" borderId="1" xfId="0" applyFont="1" applyBorder="1" applyAlignment="1">
      <alignment horizontal="left" vertical="center" wrapText="1" indent="1"/>
    </xf>
    <xf numFmtId="43" fontId="7" fillId="0" borderId="1" xfId="1" applyFont="1" applyBorder="1" applyAlignment="1">
      <alignment horizontal="center"/>
    </xf>
    <xf numFmtId="43" fontId="7" fillId="0" borderId="1" xfId="1" applyFont="1" applyFill="1" applyBorder="1" applyAlignment="1">
      <alignment horizontal="center"/>
    </xf>
    <xf numFmtId="43" fontId="44" fillId="0" borderId="1" xfId="1" applyFont="1" applyBorder="1" applyAlignment="1">
      <alignment horizontal="center" vertical="center"/>
    </xf>
    <xf numFmtId="43" fontId="7" fillId="0" borderId="1" xfId="1" applyFont="1" applyBorder="1" applyAlignment="1">
      <alignment horizontal="center" vertical="center"/>
    </xf>
    <xf numFmtId="0" fontId="26" fillId="2" borderId="1" xfId="0" applyFont="1" applyFill="1" applyBorder="1" applyAlignment="1">
      <alignment horizontal="left" vertical="center" wrapText="1" indent="1"/>
    </xf>
    <xf numFmtId="0" fontId="26" fillId="0" borderId="1" xfId="0" applyFont="1" applyBorder="1" applyAlignment="1">
      <alignment horizontal="left" vertical="center" wrapText="1" indent="1"/>
    </xf>
    <xf numFmtId="166" fontId="47" fillId="0" borderId="0" xfId="1" applyNumberFormat="1" applyFont="1"/>
    <xf numFmtId="43" fontId="47" fillId="0" borderId="0" xfId="0" applyNumberFormat="1" applyFont="1"/>
    <xf numFmtId="0" fontId="33" fillId="0" borderId="0" xfId="0" applyFont="1" applyAlignment="1">
      <alignment horizontal="center" wrapText="1"/>
    </xf>
    <xf numFmtId="0" fontId="4" fillId="0" borderId="63" xfId="0" applyFont="1" applyBorder="1"/>
    <xf numFmtId="0" fontId="4" fillId="0" borderId="64" xfId="0" applyFont="1" applyBorder="1"/>
    <xf numFmtId="0" fontId="4" fillId="0" borderId="10" xfId="0" applyFont="1" applyBorder="1" applyAlignment="1">
      <alignment horizontal="center" vertical="center"/>
    </xf>
    <xf numFmtId="0" fontId="4" fillId="0" borderId="40" xfId="0" applyFont="1" applyBorder="1" applyAlignment="1">
      <alignment horizontal="center" vertical="center"/>
    </xf>
    <xf numFmtId="0" fontId="4" fillId="0" borderId="11" xfId="0" applyFont="1" applyBorder="1" applyAlignment="1">
      <alignment horizontal="center" vertical="center"/>
    </xf>
    <xf numFmtId="0" fontId="4" fillId="0" borderId="65" xfId="0" applyFont="1" applyBorder="1"/>
    <xf numFmtId="9" fontId="49" fillId="0" borderId="1" xfId="0" applyNumberFormat="1" applyFont="1" applyBorder="1" applyAlignment="1">
      <alignment horizontal="center" vertical="center"/>
    </xf>
    <xf numFmtId="0" fontId="4" fillId="0" borderId="12" xfId="0" applyFont="1" applyBorder="1" applyAlignment="1">
      <alignment vertical="center"/>
    </xf>
    <xf numFmtId="0" fontId="8" fillId="2" borderId="1" xfId="11" applyFont="1" applyFill="1" applyBorder="1" applyAlignment="1" applyProtection="1">
      <alignment horizontal="left" vertical="center"/>
      <protection locked="0"/>
    </xf>
    <xf numFmtId="165" fontId="4" fillId="0" borderId="1" xfId="0" applyNumberFormat="1" applyFont="1" applyBorder="1"/>
    <xf numFmtId="165" fontId="4" fillId="0" borderId="20" xfId="0" applyNumberFormat="1" applyFont="1" applyBorder="1"/>
    <xf numFmtId="169" fontId="4" fillId="0" borderId="19" xfId="0" applyNumberFormat="1" applyFont="1" applyBorder="1"/>
    <xf numFmtId="0" fontId="8" fillId="0" borderId="1" xfId="11" applyFont="1" applyBorder="1" applyAlignment="1" applyProtection="1">
      <alignment horizontal="left" vertical="center"/>
      <protection locked="0"/>
    </xf>
    <xf numFmtId="0" fontId="8" fillId="2" borderId="26" xfId="9" applyFont="1" applyFill="1" applyBorder="1" applyAlignment="1" applyProtection="1">
      <alignment horizontal="left" vertical="center"/>
      <protection locked="0"/>
    </xf>
    <xf numFmtId="0" fontId="15" fillId="2" borderId="27" xfId="14" applyFont="1" applyFill="1" applyBorder="1" applyAlignment="1" applyProtection="1">
      <alignment vertical="top" wrapText="1"/>
      <protection locked="0"/>
    </xf>
    <xf numFmtId="165" fontId="4" fillId="7" borderId="27" xfId="0" applyNumberFormat="1" applyFont="1" applyFill="1" applyBorder="1"/>
    <xf numFmtId="166" fontId="4" fillId="7" borderId="28" xfId="1" applyNumberFormat="1" applyFont="1" applyFill="1" applyBorder="1"/>
    <xf numFmtId="0" fontId="4" fillId="0" borderId="9" xfId="0" applyFont="1" applyBorder="1"/>
    <xf numFmtId="0" fontId="4" fillId="0" borderId="11" xfId="0" applyFont="1" applyBorder="1"/>
    <xf numFmtId="0" fontId="4" fillId="0" borderId="19" xfId="0" applyFont="1" applyBorder="1" applyAlignment="1">
      <alignment horizontal="center" vertical="center"/>
    </xf>
    <xf numFmtId="166" fontId="8" fillId="2" borderId="12" xfId="15" applyNumberFormat="1" applyFont="1" applyFill="1" applyBorder="1" applyAlignment="1" applyProtection="1">
      <alignment horizontal="center" vertical="center" wrapText="1"/>
      <protection locked="0"/>
    </xf>
    <xf numFmtId="166" fontId="8" fillId="2" borderId="1" xfId="15" applyNumberFormat="1" applyFont="1" applyFill="1" applyBorder="1" applyAlignment="1" applyProtection="1">
      <alignment horizontal="center" vertical="center" wrapText="1"/>
      <protection locked="0"/>
    </xf>
    <xf numFmtId="0" fontId="8" fillId="0" borderId="1" xfId="11" applyFont="1" applyBorder="1" applyAlignment="1" applyProtection="1">
      <alignment horizontal="center" vertical="center" wrapText="1"/>
      <protection locked="0"/>
    </xf>
    <xf numFmtId="166" fontId="8" fillId="2" borderId="19" xfId="15" applyNumberFormat="1" applyFont="1" applyFill="1" applyBorder="1" applyAlignment="1" applyProtection="1">
      <alignment horizontal="center" vertical="center" wrapText="1"/>
      <protection locked="0"/>
    </xf>
    <xf numFmtId="0" fontId="8" fillId="2" borderId="12" xfId="13" applyFont="1" applyFill="1" applyBorder="1" applyAlignment="1" applyProtection="1">
      <alignment horizontal="right" vertical="center"/>
      <protection locked="0"/>
    </xf>
    <xf numFmtId="0" fontId="8" fillId="2" borderId="19" xfId="11" applyFont="1" applyFill="1" applyBorder="1" applyAlignment="1" applyProtection="1">
      <alignment horizontal="left" vertical="center"/>
      <protection locked="0"/>
    </xf>
    <xf numFmtId="165" fontId="4" fillId="0" borderId="12" xfId="0" applyNumberFormat="1" applyFont="1" applyBorder="1"/>
    <xf numFmtId="165" fontId="4" fillId="0" borderId="19" xfId="0" applyNumberFormat="1" applyFont="1" applyBorder="1"/>
    <xf numFmtId="165" fontId="4" fillId="0" borderId="22" xfId="0" applyNumberFormat="1" applyFont="1" applyBorder="1" applyAlignment="1">
      <alignment wrapText="1"/>
    </xf>
    <xf numFmtId="165" fontId="4" fillId="0" borderId="22" xfId="0" applyNumberFormat="1" applyFont="1" applyBorder="1"/>
    <xf numFmtId="165" fontId="4" fillId="7" borderId="69" xfId="0" applyNumberFormat="1" applyFont="1" applyFill="1" applyBorder="1"/>
    <xf numFmtId="0" fontId="15" fillId="2" borderId="28" xfId="14" applyFont="1" applyFill="1" applyBorder="1" applyProtection="1">
      <protection locked="0"/>
    </xf>
    <xf numFmtId="165" fontId="4" fillId="7" borderId="26" xfId="0" applyNumberFormat="1" applyFont="1" applyFill="1" applyBorder="1"/>
    <xf numFmtId="165" fontId="4" fillId="7" borderId="28" xfId="0" applyNumberFormat="1" applyFont="1" applyFill="1" applyBorder="1"/>
    <xf numFmtId="165" fontId="4" fillId="7" borderId="70" xfId="0" applyNumberFormat="1" applyFont="1" applyFill="1" applyBorder="1"/>
    <xf numFmtId="0" fontId="4" fillId="0" borderId="0" xfId="0" applyFont="1" applyAlignment="1">
      <alignment horizontal="center" vertical="center" wrapText="1"/>
    </xf>
    <xf numFmtId="0" fontId="4" fillId="0" borderId="0" xfId="0" applyFont="1" applyAlignment="1">
      <alignment vertical="center" wrapText="1"/>
    </xf>
    <xf numFmtId="0" fontId="4" fillId="0" borderId="10" xfId="0" applyFont="1" applyBorder="1"/>
    <xf numFmtId="0" fontId="4" fillId="0" borderId="10" xfId="0" applyFont="1" applyBorder="1" applyAlignment="1">
      <alignment wrapText="1"/>
    </xf>
    <xf numFmtId="0" fontId="4" fillId="0" borderId="40" xfId="0" applyFont="1" applyBorder="1" applyAlignment="1">
      <alignment wrapText="1"/>
    </xf>
    <xf numFmtId="0" fontId="4" fillId="0" borderId="11" xfId="0" applyFont="1" applyBorder="1" applyAlignment="1">
      <alignment wrapText="1"/>
    </xf>
    <xf numFmtId="0" fontId="32" fillId="0" borderId="0" xfId="0" applyFont="1" applyAlignment="1">
      <alignment wrapText="1"/>
    </xf>
    <xf numFmtId="0" fontId="4" fillId="0" borderId="29" xfId="0" applyFont="1" applyBorder="1"/>
    <xf numFmtId="0" fontId="4" fillId="0" borderId="12" xfId="0" applyFont="1" applyBorder="1"/>
    <xf numFmtId="9" fontId="4" fillId="0" borderId="19" xfId="2" applyFont="1" applyBorder="1"/>
    <xf numFmtId="0" fontId="4" fillId="0" borderId="26" xfId="0" applyFont="1" applyBorder="1"/>
    <xf numFmtId="0" fontId="33" fillId="0" borderId="27" xfId="0" applyFont="1" applyBorder="1" applyAlignment="1">
      <alignment vertical="top" wrapText="1"/>
    </xf>
    <xf numFmtId="9" fontId="4" fillId="7" borderId="28" xfId="2" applyFont="1" applyFill="1" applyBorder="1"/>
    <xf numFmtId="0" fontId="4" fillId="0" borderId="0" xfId="0" applyFont="1" applyAlignment="1">
      <alignment horizontal="left"/>
    </xf>
    <xf numFmtId="0" fontId="50" fillId="2" borderId="14" xfId="0" applyFont="1" applyFill="1" applyBorder="1" applyAlignment="1">
      <alignment horizontal="left"/>
    </xf>
    <xf numFmtId="0" fontId="50" fillId="2" borderId="4" xfId="0" applyFont="1" applyFill="1" applyBorder="1" applyAlignment="1">
      <alignment horizontal="left"/>
    </xf>
    <xf numFmtId="0" fontId="4" fillId="0" borderId="19" xfId="0" applyFont="1" applyBorder="1" applyAlignment="1">
      <alignment horizontal="center" vertical="center" wrapText="1"/>
    </xf>
    <xf numFmtId="0" fontId="33" fillId="2" borderId="23"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0" borderId="38" xfId="0" applyFont="1" applyBorder="1" applyAlignment="1">
      <alignment horizontal="center" vertical="center"/>
    </xf>
    <xf numFmtId="0" fontId="4" fillId="0" borderId="29" xfId="0" applyFont="1" applyBorder="1" applyAlignment="1">
      <alignment vertical="center"/>
    </xf>
    <xf numFmtId="164" fontId="18" fillId="4" borderId="0" xfId="6"/>
    <xf numFmtId="166" fontId="4" fillId="0" borderId="15" xfId="1" applyNumberFormat="1" applyFont="1" applyBorder="1" applyAlignment="1">
      <alignment vertical="center"/>
    </xf>
    <xf numFmtId="166" fontId="4" fillId="0" borderId="42" xfId="1" applyNumberFormat="1" applyFont="1" applyBorder="1" applyAlignment="1">
      <alignment vertical="center"/>
    </xf>
    <xf numFmtId="166" fontId="4" fillId="2" borderId="21" xfId="1" applyNumberFormat="1" applyFont="1" applyFill="1" applyBorder="1" applyAlignment="1">
      <alignment vertical="center"/>
    </xf>
    <xf numFmtId="166" fontId="4" fillId="2" borderId="22" xfId="1" applyNumberFormat="1" applyFont="1" applyFill="1" applyBorder="1" applyAlignment="1">
      <alignment vertical="center"/>
    </xf>
    <xf numFmtId="0" fontId="4" fillId="0" borderId="1" xfId="0" applyFont="1" applyBorder="1" applyAlignment="1">
      <alignment vertical="center"/>
    </xf>
    <xf numFmtId="166" fontId="4" fillId="0" borderId="20" xfId="1" applyNumberFormat="1" applyFont="1" applyBorder="1" applyAlignment="1">
      <alignment vertical="center"/>
    </xf>
    <xf numFmtId="166" fontId="4" fillId="0" borderId="19" xfId="1" applyNumberFormat="1" applyFont="1" applyBorder="1" applyAlignment="1">
      <alignment vertical="center"/>
    </xf>
    <xf numFmtId="0" fontId="33" fillId="0" borderId="1" xfId="0" applyFont="1" applyBorder="1" applyAlignment="1">
      <alignment vertical="center"/>
    </xf>
    <xf numFmtId="166" fontId="4" fillId="2" borderId="21" xfId="0" applyNumberFormat="1" applyFont="1" applyFill="1" applyBorder="1" applyAlignment="1">
      <alignment vertical="center"/>
    </xf>
    <xf numFmtId="166" fontId="4" fillId="0" borderId="1" xfId="0" applyNumberFormat="1" applyFont="1" applyBorder="1" applyAlignment="1">
      <alignment vertical="center"/>
    </xf>
    <xf numFmtId="166" fontId="4" fillId="0" borderId="20" xfId="0" applyNumberFormat="1" applyFont="1" applyBorder="1" applyAlignment="1">
      <alignment vertical="center"/>
    </xf>
    <xf numFmtId="0" fontId="4" fillId="0" borderId="26" xfId="0" applyFont="1" applyBorder="1" applyAlignment="1">
      <alignment horizontal="center" vertical="center"/>
    </xf>
    <xf numFmtId="0" fontId="33" fillId="0" borderId="27" xfId="0" applyFont="1" applyBorder="1" applyAlignment="1">
      <alignment vertical="center"/>
    </xf>
    <xf numFmtId="166" fontId="4" fillId="0" borderId="27" xfId="1" applyNumberFormat="1" applyFont="1" applyBorder="1" applyAlignment="1">
      <alignment vertical="center"/>
    </xf>
    <xf numFmtId="166" fontId="4" fillId="0" borderId="41" xfId="1" applyNumberFormat="1" applyFont="1" applyBorder="1" applyAlignment="1">
      <alignment vertical="center"/>
    </xf>
    <xf numFmtId="166" fontId="4" fillId="0" borderId="28" xfId="1" applyNumberFormat="1" applyFont="1" applyBorder="1" applyAlignment="1">
      <alignment vertical="center"/>
    </xf>
    <xf numFmtId="0" fontId="4" fillId="2" borderId="65" xfId="0" applyFont="1" applyFill="1" applyBorder="1" applyAlignment="1">
      <alignment horizontal="center" vertical="center"/>
    </xf>
    <xf numFmtId="0" fontId="4" fillId="2" borderId="0" xfId="0" applyFont="1" applyFill="1" applyAlignment="1">
      <alignment vertical="top" wrapText="1"/>
    </xf>
    <xf numFmtId="0" fontId="4" fillId="2" borderId="0" xfId="0" applyFont="1" applyFill="1" applyAlignment="1">
      <alignment vertical="center"/>
    </xf>
    <xf numFmtId="0" fontId="4" fillId="0" borderId="9" xfId="0" applyFont="1" applyBorder="1" applyAlignment="1">
      <alignment horizontal="center" vertical="center"/>
    </xf>
    <xf numFmtId="0" fontId="4" fillId="0" borderId="40" xfId="0" applyFont="1" applyBorder="1" applyAlignment="1">
      <alignment vertical="center"/>
    </xf>
    <xf numFmtId="164" fontId="18" fillId="4" borderId="63" xfId="6" applyBorder="1"/>
    <xf numFmtId="164" fontId="18" fillId="4" borderId="64" xfId="6" applyBorder="1"/>
    <xf numFmtId="166" fontId="4" fillId="0" borderId="40" xfId="1" applyNumberFormat="1" applyFont="1" applyBorder="1" applyAlignment="1">
      <alignment vertical="center"/>
    </xf>
    <xf numFmtId="43" fontId="4" fillId="0" borderId="40" xfId="1" applyFont="1" applyBorder="1" applyAlignment="1">
      <alignment vertical="center"/>
    </xf>
    <xf numFmtId="43" fontId="4" fillId="0" borderId="11" xfId="1" applyFont="1" applyBorder="1" applyAlignment="1">
      <alignment vertical="center"/>
    </xf>
    <xf numFmtId="0" fontId="4" fillId="0" borderId="24" xfId="0" applyFont="1" applyBorder="1" applyAlignment="1">
      <alignment horizontal="center" vertical="center"/>
    </xf>
    <xf numFmtId="0" fontId="4" fillId="0" borderId="3" xfId="0" applyFont="1" applyBorder="1" applyAlignment="1">
      <alignment vertical="center"/>
    </xf>
    <xf numFmtId="164" fontId="18" fillId="4" borderId="72" xfId="6" applyBorder="1"/>
    <xf numFmtId="164" fontId="18" fillId="4" borderId="45" xfId="6" applyBorder="1"/>
    <xf numFmtId="164" fontId="18" fillId="4" borderId="43" xfId="6" applyBorder="1"/>
    <xf numFmtId="166" fontId="4" fillId="0" borderId="3" xfId="1" applyNumberFormat="1" applyFont="1" applyBorder="1" applyAlignment="1">
      <alignment vertical="center"/>
    </xf>
    <xf numFmtId="43" fontId="4" fillId="0" borderId="3" xfId="1" applyFont="1" applyBorder="1" applyAlignment="1">
      <alignment vertical="center"/>
    </xf>
    <xf numFmtId="43" fontId="4" fillId="0" borderId="25" xfId="1" applyFont="1" applyBorder="1" applyAlignment="1">
      <alignment vertical="center"/>
    </xf>
    <xf numFmtId="0" fontId="4" fillId="0" borderId="73" xfId="0" applyFont="1" applyBorder="1" applyAlignment="1">
      <alignment horizontal="center" vertical="center"/>
    </xf>
    <xf numFmtId="0" fontId="4" fillId="0" borderId="74" xfId="0" applyFont="1" applyBorder="1" applyAlignment="1">
      <alignment vertical="center"/>
    </xf>
    <xf numFmtId="164" fontId="18" fillId="4" borderId="6" xfId="6" applyBorder="1"/>
    <xf numFmtId="164" fontId="18" fillId="4" borderId="7" xfId="6" applyBorder="1"/>
    <xf numFmtId="9" fontId="4" fillId="0" borderId="74" xfId="2" applyFont="1" applyBorder="1" applyAlignment="1">
      <alignment vertical="center"/>
    </xf>
    <xf numFmtId="9" fontId="4" fillId="0" borderId="75" xfId="2" applyFont="1" applyBorder="1" applyAlignment="1">
      <alignment vertical="center"/>
    </xf>
    <xf numFmtId="43" fontId="4" fillId="0" borderId="0" xfId="0" applyNumberFormat="1" applyFont="1"/>
    <xf numFmtId="0" fontId="44" fillId="0" borderId="0" xfId="0" applyFont="1"/>
    <xf numFmtId="0" fontId="4" fillId="0" borderId="63" xfId="0" applyFont="1" applyBorder="1" applyAlignment="1">
      <alignment horizontal="center"/>
    </xf>
    <xf numFmtId="0" fontId="4" fillId="0" borderId="64"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32" fillId="0" borderId="0" xfId="0" applyFont="1" applyAlignment="1">
      <alignment horizontal="center"/>
    </xf>
    <xf numFmtId="0" fontId="9" fillId="2" borderId="12" xfId="13" applyFont="1" applyFill="1" applyBorder="1" applyAlignment="1" applyProtection="1">
      <alignment horizontal="left" vertical="center"/>
      <protection locked="0"/>
    </xf>
    <xf numFmtId="0" fontId="9" fillId="2" borderId="1" xfId="13" applyFont="1" applyFill="1" applyBorder="1" applyProtection="1">
      <protection locked="0"/>
    </xf>
    <xf numFmtId="0" fontId="9" fillId="0" borderId="1" xfId="11" applyFont="1" applyBorder="1" applyAlignment="1" applyProtection="1">
      <alignment horizontal="center" vertical="center" wrapText="1"/>
      <protection locked="0"/>
    </xf>
    <xf numFmtId="0" fontId="9" fillId="2" borderId="1" xfId="11" applyFont="1" applyFill="1" applyBorder="1" applyAlignment="1" applyProtection="1">
      <alignment horizontal="center" vertical="center" wrapText="1"/>
      <protection locked="0"/>
    </xf>
    <xf numFmtId="3" fontId="9" fillId="2" borderId="1" xfId="15" applyNumberFormat="1" applyFont="1" applyFill="1" applyBorder="1" applyAlignment="1" applyProtection="1">
      <alignment horizontal="center" vertical="center" wrapText="1"/>
      <protection locked="0"/>
    </xf>
    <xf numFmtId="9" fontId="9" fillId="2" borderId="1" xfId="16" applyNumberFormat="1" applyFont="1" applyFill="1" applyBorder="1" applyAlignment="1" applyProtection="1">
      <alignment horizontal="center" vertical="center"/>
      <protection locked="0"/>
    </xf>
    <xf numFmtId="0" fontId="9" fillId="2" borderId="19" xfId="11" applyFont="1" applyFill="1" applyBorder="1" applyAlignment="1" applyProtection="1">
      <alignment horizontal="center" vertical="center" wrapText="1"/>
      <protection locked="0"/>
    </xf>
    <xf numFmtId="0" fontId="9" fillId="2" borderId="12" xfId="13" applyFont="1" applyFill="1" applyBorder="1" applyAlignment="1" applyProtection="1">
      <alignment horizontal="right" vertical="center"/>
      <protection locked="0"/>
    </xf>
    <xf numFmtId="0" fontId="14" fillId="2" borderId="1" xfId="11" applyFont="1" applyFill="1" applyBorder="1" applyAlignment="1" applyProtection="1">
      <alignment wrapText="1"/>
      <protection locked="0"/>
    </xf>
    <xf numFmtId="165" fontId="9" fillId="7" borderId="1" xfId="13" applyNumberFormat="1" applyFont="1" applyFill="1" applyBorder="1" applyProtection="1">
      <protection locked="0"/>
    </xf>
    <xf numFmtId="165" fontId="9" fillId="7" borderId="1" xfId="15" applyNumberFormat="1" applyFont="1" applyFill="1" applyBorder="1" applyProtection="1">
      <protection locked="0"/>
    </xf>
    <xf numFmtId="3" fontId="9" fillId="7" borderId="19" xfId="13" applyNumberFormat="1" applyFont="1" applyFill="1" applyBorder="1" applyProtection="1">
      <protection locked="0"/>
    </xf>
    <xf numFmtId="0" fontId="9" fillId="2" borderId="1" xfId="11" applyFont="1" applyFill="1" applyBorder="1" applyAlignment="1" applyProtection="1">
      <alignment horizontal="left" vertical="center" wrapText="1"/>
      <protection locked="0"/>
    </xf>
    <xf numFmtId="165" fontId="9" fillId="2" borderId="1" xfId="13" applyNumberFormat="1" applyFont="1" applyFill="1" applyBorder="1" applyProtection="1">
      <protection locked="0"/>
    </xf>
    <xf numFmtId="167" fontId="9" fillId="2" borderId="1" xfId="8" applyNumberFormat="1" applyFont="1" applyFill="1" applyBorder="1" applyAlignment="1" applyProtection="1">
      <alignment horizontal="right" wrapText="1"/>
      <protection locked="0"/>
    </xf>
    <xf numFmtId="0" fontId="9" fillId="0" borderId="1" xfId="11" applyFont="1" applyBorder="1" applyAlignment="1" applyProtection="1">
      <alignment horizontal="left" vertical="center" wrapText="1"/>
      <protection locked="0"/>
    </xf>
    <xf numFmtId="167" fontId="9" fillId="10" borderId="1" xfId="8" applyNumberFormat="1" applyFont="1" applyFill="1" applyBorder="1" applyAlignment="1" applyProtection="1">
      <alignment horizontal="right" wrapText="1"/>
      <protection locked="0"/>
    </xf>
    <xf numFmtId="0" fontId="14" fillId="0" borderId="1" xfId="11" applyFont="1" applyBorder="1" applyAlignment="1" applyProtection="1">
      <alignment wrapText="1"/>
      <protection locked="0"/>
    </xf>
    <xf numFmtId="165" fontId="9" fillId="0" borderId="1" xfId="15" applyNumberFormat="1" applyFont="1" applyFill="1" applyBorder="1" applyProtection="1">
      <protection locked="0"/>
    </xf>
    <xf numFmtId="0" fontId="9" fillId="2" borderId="26" xfId="9" applyFont="1" applyFill="1" applyBorder="1" applyAlignment="1" applyProtection="1">
      <alignment horizontal="right" vertical="center"/>
      <protection locked="0"/>
    </xf>
    <xf numFmtId="0" fontId="14" fillId="2" borderId="27" xfId="14" applyFont="1" applyFill="1" applyBorder="1" applyProtection="1">
      <protection locked="0"/>
    </xf>
    <xf numFmtId="165" fontId="14" fillId="7" borderId="27" xfId="14" applyNumberFormat="1" applyFont="1" applyFill="1" applyBorder="1" applyProtection="1">
      <protection locked="0"/>
    </xf>
    <xf numFmtId="3" fontId="14" fillId="7" borderId="27" xfId="14" applyNumberFormat="1" applyFont="1" applyFill="1" applyBorder="1" applyProtection="1">
      <protection locked="0"/>
    </xf>
    <xf numFmtId="165" fontId="14" fillId="7" borderId="27" xfId="15" applyNumberFormat="1" applyFont="1" applyFill="1" applyBorder="1" applyAlignment="1" applyProtection="1">
      <protection locked="0"/>
    </xf>
    <xf numFmtId="165" fontId="9" fillId="2" borderId="27" xfId="13" applyNumberFormat="1" applyFont="1" applyFill="1" applyBorder="1" applyProtection="1">
      <protection locked="0"/>
    </xf>
    <xf numFmtId="166" fontId="14" fillId="7" borderId="28" xfId="15" applyNumberFormat="1" applyFont="1" applyFill="1" applyBorder="1" applyAlignment="1" applyProtection="1">
      <protection locked="0"/>
    </xf>
    <xf numFmtId="0" fontId="7" fillId="0" borderId="0" xfId="0" applyFont="1" applyAlignment="1">
      <alignment vertical="top" wrapText="1"/>
    </xf>
    <xf numFmtId="165" fontId="7" fillId="0" borderId="0" xfId="0" applyNumberFormat="1" applyFont="1"/>
    <xf numFmtId="0" fontId="51" fillId="11" borderId="20" xfId="17" applyFont="1" applyFill="1" applyBorder="1" applyAlignment="1" applyProtection="1">
      <alignment vertical="center" wrapText="1"/>
      <protection locked="0"/>
    </xf>
    <xf numFmtId="0" fontId="52" fillId="11" borderId="30" xfId="17" applyFont="1" applyFill="1" applyBorder="1" applyProtection="1">
      <alignment vertical="center"/>
      <protection locked="0"/>
    </xf>
    <xf numFmtId="0" fontId="53" fillId="12" borderId="2" xfId="17" applyFont="1" applyFill="1" applyBorder="1" applyAlignment="1" applyProtection="1">
      <alignment horizontal="center" vertical="center"/>
      <protection locked="0"/>
    </xf>
    <xf numFmtId="0" fontId="53" fillId="0" borderId="30" xfId="17" applyFont="1" applyBorder="1" applyAlignment="1" applyProtection="1">
      <alignment horizontal="left" vertical="center" wrapText="1"/>
      <protection locked="0"/>
    </xf>
    <xf numFmtId="170" fontId="0" fillId="0" borderId="0" xfId="0" applyNumberFormat="1"/>
    <xf numFmtId="0" fontId="51" fillId="9" borderId="1" xfId="17" applyFont="1" applyFill="1" applyBorder="1" applyAlignment="1" applyProtection="1">
      <alignment horizontal="center" vertical="center"/>
      <protection locked="0"/>
    </xf>
    <xf numFmtId="0" fontId="51" fillId="9" borderId="30" xfId="17" applyFont="1" applyFill="1" applyBorder="1" applyAlignment="1" applyProtection="1">
      <alignment vertical="top" wrapText="1"/>
      <protection locked="0"/>
    </xf>
    <xf numFmtId="166" fontId="53" fillId="9" borderId="1" xfId="18" applyNumberFormat="1" applyFont="1" applyFill="1" applyBorder="1" applyAlignment="1" applyProtection="1">
      <alignment horizontal="right" vertical="center"/>
    </xf>
    <xf numFmtId="0" fontId="51" fillId="11" borderId="20" xfId="17" applyFont="1" applyFill="1" applyBorder="1" applyProtection="1">
      <alignment vertical="center"/>
      <protection locked="0"/>
    </xf>
    <xf numFmtId="166" fontId="52" fillId="11" borderId="30" xfId="18" applyNumberFormat="1" applyFont="1" applyFill="1" applyBorder="1" applyAlignment="1" applyProtection="1">
      <alignment horizontal="right" vertical="center"/>
      <protection locked="0"/>
    </xf>
    <xf numFmtId="0" fontId="54" fillId="12" borderId="2" xfId="17" applyFont="1" applyFill="1" applyBorder="1" applyAlignment="1" applyProtection="1">
      <alignment horizontal="center" vertical="center"/>
      <protection locked="0"/>
    </xf>
    <xf numFmtId="0" fontId="53" fillId="12" borderId="30" xfId="17" applyFont="1" applyFill="1" applyBorder="1" applyAlignment="1" applyProtection="1">
      <alignment vertical="center" wrapText="1"/>
      <protection locked="0"/>
    </xf>
    <xf numFmtId="166" fontId="53" fillId="0" borderId="1" xfId="18" applyNumberFormat="1" applyFont="1" applyFill="1" applyBorder="1" applyAlignment="1" applyProtection="1">
      <alignment horizontal="right" vertical="center"/>
      <protection locked="0"/>
    </xf>
    <xf numFmtId="0" fontId="53" fillId="12" borderId="30" xfId="17" applyFont="1" applyFill="1" applyBorder="1" applyAlignment="1" applyProtection="1">
      <alignment horizontal="left" vertical="center" wrapText="1"/>
      <protection locked="0"/>
    </xf>
    <xf numFmtId="0" fontId="54" fillId="2" borderId="2" xfId="17" applyFont="1" applyFill="1" applyBorder="1" applyAlignment="1" applyProtection="1">
      <alignment horizontal="center" vertical="center"/>
      <protection locked="0"/>
    </xf>
    <xf numFmtId="0" fontId="53" fillId="0" borderId="30" xfId="17" applyFont="1" applyBorder="1" applyAlignment="1" applyProtection="1">
      <alignment vertical="center" wrapText="1"/>
      <protection locked="0"/>
    </xf>
    <xf numFmtId="0" fontId="53" fillId="2" borderId="30" xfId="17" applyFont="1" applyFill="1" applyBorder="1" applyAlignment="1" applyProtection="1">
      <alignment horizontal="left" vertical="center" wrapText="1"/>
      <protection locked="0"/>
    </xf>
    <xf numFmtId="0" fontId="54" fillId="0" borderId="2" xfId="17" applyFont="1" applyBorder="1" applyAlignment="1" applyProtection="1">
      <alignment horizontal="center" vertical="center"/>
      <protection locked="0"/>
    </xf>
    <xf numFmtId="0" fontId="55" fillId="9" borderId="1" xfId="17" applyFont="1" applyFill="1" applyBorder="1" applyAlignment="1" applyProtection="1">
      <alignment horizontal="center" vertical="center"/>
      <protection locked="0"/>
    </xf>
    <xf numFmtId="0" fontId="51" fillId="9" borderId="30" xfId="17" applyFont="1" applyFill="1" applyBorder="1" applyAlignment="1" applyProtection="1">
      <alignment vertical="center" wrapText="1"/>
      <protection locked="0"/>
    </xf>
    <xf numFmtId="166" fontId="51" fillId="11" borderId="30" xfId="18" applyNumberFormat="1" applyFont="1" applyFill="1" applyBorder="1" applyAlignment="1" applyProtection="1">
      <alignment horizontal="right" vertical="center"/>
      <protection locked="0"/>
    </xf>
    <xf numFmtId="0" fontId="53" fillId="12" borderId="30" xfId="17" applyFont="1" applyFill="1" applyBorder="1" applyAlignment="1" applyProtection="1">
      <alignment vertical="top" wrapText="1"/>
      <protection locked="0"/>
    </xf>
    <xf numFmtId="0" fontId="51" fillId="11" borderId="20" xfId="17" applyFont="1" applyFill="1" applyBorder="1" applyAlignment="1" applyProtection="1">
      <alignment horizontal="center" vertical="center"/>
      <protection locked="0"/>
    </xf>
    <xf numFmtId="166" fontId="53" fillId="2" borderId="1" xfId="18" applyNumberFormat="1" applyFont="1" applyFill="1" applyBorder="1" applyAlignment="1" applyProtection="1">
      <alignment horizontal="right" vertical="center"/>
      <protection locked="0"/>
    </xf>
    <xf numFmtId="0" fontId="52" fillId="11" borderId="20" xfId="17" applyFont="1" applyFill="1" applyBorder="1" applyProtection="1">
      <alignment vertical="center"/>
      <protection locked="0"/>
    </xf>
    <xf numFmtId="43" fontId="53" fillId="9" borderId="1" xfId="1" applyFont="1" applyFill="1" applyBorder="1" applyAlignment="1" applyProtection="1">
      <alignment horizontal="right" vertical="center"/>
    </xf>
    <xf numFmtId="0" fontId="54" fillId="12" borderId="1" xfId="17" applyFont="1" applyFill="1" applyBorder="1" applyAlignment="1" applyProtection="1">
      <alignment horizontal="center" vertical="center"/>
      <protection locked="0"/>
    </xf>
    <xf numFmtId="0" fontId="57" fillId="12" borderId="1" xfId="17" applyFont="1" applyFill="1" applyBorder="1" applyAlignment="1" applyProtection="1">
      <alignment horizontal="center" vertical="center"/>
      <protection locked="0"/>
    </xf>
    <xf numFmtId="0" fontId="49" fillId="0" borderId="0" xfId="0" applyFont="1" applyAlignment="1">
      <alignment wrapText="1"/>
    </xf>
    <xf numFmtId="14" fontId="4" fillId="0" borderId="0" xfId="0" applyNumberFormat="1" applyFont="1"/>
    <xf numFmtId="0" fontId="4" fillId="2" borderId="63" xfId="0" applyFont="1" applyFill="1" applyBorder="1"/>
    <xf numFmtId="0" fontId="4" fillId="2" borderId="76" xfId="0" applyFont="1" applyFill="1" applyBorder="1" applyAlignment="1">
      <alignment wrapText="1"/>
    </xf>
    <xf numFmtId="0" fontId="4" fillId="2" borderId="18" xfId="0" applyFont="1" applyFill="1" applyBorder="1"/>
    <xf numFmtId="0" fontId="33" fillId="2" borderId="35" xfId="0" applyFont="1" applyFill="1" applyBorder="1" applyAlignment="1">
      <alignment horizontal="center" wrapText="1"/>
    </xf>
    <xf numFmtId="0" fontId="4" fillId="0" borderId="1" xfId="0" applyFont="1" applyBorder="1" applyAlignment="1">
      <alignment horizontal="center"/>
    </xf>
    <xf numFmtId="0" fontId="4" fillId="2" borderId="65" xfId="0" applyFont="1" applyFill="1" applyBorder="1"/>
    <xf numFmtId="0" fontId="33" fillId="2" borderId="0" xfId="0" applyFont="1" applyFill="1" applyAlignment="1">
      <alignment horizontal="center" wrapText="1"/>
    </xf>
    <xf numFmtId="0" fontId="4" fillId="2" borderId="0" xfId="0" applyFont="1" applyFill="1" applyAlignment="1">
      <alignment horizontal="center"/>
    </xf>
    <xf numFmtId="0" fontId="4" fillId="2" borderId="77" xfId="0" applyFont="1" applyFill="1" applyBorder="1" applyAlignment="1">
      <alignment horizontal="center" vertical="center" wrapText="1"/>
    </xf>
    <xf numFmtId="0" fontId="4" fillId="0" borderId="1" xfId="0" applyFont="1" applyBorder="1" applyAlignment="1">
      <alignment wrapText="1"/>
    </xf>
    <xf numFmtId="166" fontId="4" fillId="0" borderId="19" xfId="1" applyNumberFormat="1" applyFont="1" applyBorder="1"/>
    <xf numFmtId="0" fontId="50" fillId="0" borderId="1" xfId="0" applyFont="1" applyBorder="1" applyAlignment="1">
      <alignment horizontal="left" wrapText="1" indent="2"/>
    </xf>
    <xf numFmtId="164" fontId="18" fillId="4" borderId="1" xfId="6" applyBorder="1"/>
    <xf numFmtId="43" fontId="0" fillId="0" borderId="0" xfId="1" applyFont="1"/>
    <xf numFmtId="0" fontId="50" fillId="0" borderId="1" xfId="0" applyFont="1" applyBorder="1" applyAlignment="1">
      <alignment horizontal="left" vertical="top" wrapText="1" indent="2"/>
    </xf>
    <xf numFmtId="166" fontId="4" fillId="0" borderId="1" xfId="1" applyNumberFormat="1" applyFont="1" applyBorder="1" applyAlignment="1"/>
    <xf numFmtId="166" fontId="4" fillId="0" borderId="1" xfId="1" applyNumberFormat="1" applyFont="1" applyBorder="1" applyAlignment="1">
      <alignment vertical="top"/>
    </xf>
    <xf numFmtId="0" fontId="33" fillId="0" borderId="12" xfId="0" applyFont="1" applyBorder="1"/>
    <xf numFmtId="0" fontId="33" fillId="0" borderId="1" xfId="0" applyFont="1" applyBorder="1" applyAlignment="1">
      <alignment wrapText="1"/>
    </xf>
    <xf numFmtId="166" fontId="33" fillId="0" borderId="19" xfId="1" applyNumberFormat="1" applyFont="1" applyBorder="1"/>
    <xf numFmtId="0" fontId="3" fillId="2" borderId="65" xfId="0" applyFont="1" applyFill="1" applyBorder="1" applyAlignment="1">
      <alignment horizontal="left"/>
    </xf>
    <xf numFmtId="0" fontId="33" fillId="2" borderId="0" xfId="0" applyFont="1" applyFill="1" applyAlignment="1">
      <alignment vertical="top" wrapText="1"/>
    </xf>
    <xf numFmtId="166" fontId="4" fillId="2" borderId="0" xfId="1" applyNumberFormat="1" applyFont="1" applyFill="1" applyBorder="1"/>
    <xf numFmtId="166" fontId="4" fillId="2" borderId="0" xfId="1" applyNumberFormat="1" applyFont="1" applyFill="1" applyBorder="1" applyAlignment="1">
      <alignment vertical="center"/>
    </xf>
    <xf numFmtId="166" fontId="4" fillId="2" borderId="77" xfId="1" applyNumberFormat="1" applyFont="1" applyFill="1" applyBorder="1"/>
    <xf numFmtId="166" fontId="4" fillId="0" borderId="19" xfId="1" applyNumberFormat="1" applyFont="1" applyFill="1" applyBorder="1"/>
    <xf numFmtId="0" fontId="50" fillId="0" borderId="1" xfId="0" applyFont="1" applyBorder="1" applyAlignment="1">
      <alignment horizontal="left" wrapText="1" indent="4"/>
    </xf>
    <xf numFmtId="0" fontId="4" fillId="2" borderId="0" xfId="0" applyFont="1" applyFill="1" applyAlignment="1">
      <alignment wrapText="1"/>
    </xf>
    <xf numFmtId="0" fontId="4" fillId="2" borderId="0" xfId="0" applyFont="1" applyFill="1"/>
    <xf numFmtId="0" fontId="4" fillId="2" borderId="77" xfId="0" applyFont="1" applyFill="1" applyBorder="1"/>
    <xf numFmtId="0" fontId="33" fillId="0" borderId="26" xfId="0" applyFont="1" applyBorder="1"/>
    <xf numFmtId="0" fontId="33" fillId="0" borderId="27" xfId="0" applyFont="1" applyBorder="1" applyAlignment="1">
      <alignment wrapText="1"/>
    </xf>
    <xf numFmtId="164" fontId="18" fillId="4" borderId="41" xfId="6" applyBorder="1"/>
    <xf numFmtId="10" fontId="33" fillId="0" borderId="28" xfId="2" applyNumberFormat="1" applyFont="1" applyBorder="1"/>
    <xf numFmtId="166" fontId="4" fillId="0" borderId="0" xfId="0" applyNumberFormat="1" applyFont="1"/>
    <xf numFmtId="0" fontId="58" fillId="0" borderId="0" xfId="5" applyFont="1"/>
    <xf numFmtId="0" fontId="59" fillId="0" borderId="0" xfId="0" applyFont="1"/>
    <xf numFmtId="14" fontId="59" fillId="0" borderId="0" xfId="0" applyNumberFormat="1" applyFont="1" applyAlignment="1">
      <alignment horizontal="left"/>
    </xf>
    <xf numFmtId="0" fontId="60" fillId="0" borderId="0" xfId="5" applyFont="1"/>
    <xf numFmtId="0" fontId="62" fillId="0" borderId="1" xfId="0" applyFont="1" applyBorder="1" applyAlignment="1">
      <alignment horizontal="center" vertical="center" wrapText="1"/>
    </xf>
    <xf numFmtId="0" fontId="63" fillId="2" borderId="1" xfId="11" applyFont="1" applyFill="1" applyBorder="1" applyAlignment="1" applyProtection="1">
      <alignment horizontal="left" vertical="center" wrapText="1"/>
      <protection locked="0"/>
    </xf>
    <xf numFmtId="43" fontId="59" fillId="0" borderId="1" xfId="1" applyFont="1" applyFill="1" applyBorder="1"/>
    <xf numFmtId="43" fontId="59" fillId="0" borderId="1" xfId="1" applyFont="1" applyBorder="1"/>
    <xf numFmtId="43" fontId="59" fillId="0" borderId="0" xfId="0" applyNumberFormat="1" applyFont="1"/>
    <xf numFmtId="0" fontId="64" fillId="0" borderId="0" xfId="0" applyFont="1" applyAlignment="1">
      <alignment horizontal="right"/>
    </xf>
    <xf numFmtId="0" fontId="63" fillId="0" borderId="1" xfId="11" applyFont="1" applyBorder="1" applyAlignment="1" applyProtection="1">
      <alignment horizontal="left" vertical="center" wrapText="1"/>
      <protection locked="0"/>
    </xf>
    <xf numFmtId="166" fontId="64" fillId="0" borderId="0" xfId="1" applyNumberFormat="1" applyFont="1"/>
    <xf numFmtId="3" fontId="59" fillId="0" borderId="0" xfId="0" applyNumberFormat="1" applyFont="1"/>
    <xf numFmtId="0" fontId="65" fillId="0" borderId="1" xfId="11" applyFont="1" applyBorder="1" applyAlignment="1" applyProtection="1">
      <alignment horizontal="left" vertical="center" wrapText="1"/>
      <protection locked="0"/>
    </xf>
    <xf numFmtId="0" fontId="59" fillId="0" borderId="0" xfId="0" applyFont="1" applyAlignment="1">
      <alignment horizontal="left" vertical="top" wrapText="1"/>
    </xf>
    <xf numFmtId="0" fontId="58" fillId="0" borderId="0" xfId="0" applyFont="1"/>
    <xf numFmtId="0" fontId="58" fillId="0" borderId="0" xfId="0" applyFont="1" applyAlignment="1">
      <alignment wrapText="1"/>
    </xf>
    <xf numFmtId="0" fontId="58" fillId="0" borderId="1" xfId="0" applyFont="1" applyBorder="1" applyAlignment="1">
      <alignment horizontal="center" vertical="center"/>
    </xf>
    <xf numFmtId="0" fontId="58" fillId="0" borderId="1"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29" xfId="0" applyFont="1" applyBorder="1" applyAlignment="1">
      <alignment horizontal="center" vertical="center" wrapText="1"/>
    </xf>
    <xf numFmtId="49" fontId="63" fillId="2" borderId="1" xfId="13" applyNumberFormat="1" applyFont="1" applyFill="1" applyBorder="1" applyAlignment="1" applyProtection="1">
      <alignment horizontal="right" vertical="center" wrapText="1"/>
      <protection locked="0"/>
    </xf>
    <xf numFmtId="43" fontId="58" fillId="0" borderId="1" xfId="1" applyFont="1" applyBorder="1"/>
    <xf numFmtId="43" fontId="58" fillId="0" borderId="1" xfId="1" applyFont="1" applyFill="1" applyBorder="1"/>
    <xf numFmtId="0" fontId="58" fillId="0" borderId="1" xfId="0" applyFont="1" applyBorder="1"/>
    <xf numFmtId="43" fontId="58" fillId="0" borderId="1" xfId="1" applyFont="1" applyBorder="1" applyAlignment="1">
      <alignment horizontal="right"/>
    </xf>
    <xf numFmtId="49" fontId="63" fillId="0" borderId="1" xfId="13" applyNumberFormat="1" applyFont="1" applyBorder="1" applyAlignment="1" applyProtection="1">
      <alignment horizontal="right" vertical="center" wrapText="1"/>
      <protection locked="0"/>
    </xf>
    <xf numFmtId="43" fontId="58" fillId="0" borderId="1" xfId="1" applyFont="1" applyFill="1" applyBorder="1" applyAlignment="1">
      <alignment horizontal="right"/>
    </xf>
    <xf numFmtId="49" fontId="66" fillId="0" borderId="1" xfId="13" applyNumberFormat="1" applyFont="1" applyBorder="1" applyAlignment="1" applyProtection="1">
      <alignment horizontal="right" vertical="center" wrapText="1"/>
      <protection locked="0"/>
    </xf>
    <xf numFmtId="0" fontId="61" fillId="0" borderId="1" xfId="0" applyFont="1" applyBorder="1"/>
    <xf numFmtId="43" fontId="61" fillId="0" borderId="1" xfId="1" applyFont="1" applyBorder="1" applyAlignment="1">
      <alignment horizontal="right"/>
    </xf>
    <xf numFmtId="0" fontId="62" fillId="0" borderId="0" xfId="0" applyFont="1"/>
    <xf numFmtId="0" fontId="58" fillId="0" borderId="1" xfId="0" applyFont="1" applyBorder="1" applyAlignment="1">
      <alignment wrapText="1"/>
    </xf>
    <xf numFmtId="0" fontId="58" fillId="0" borderId="1" xfId="0" applyFont="1" applyBorder="1" applyAlignment="1">
      <alignment vertical="top" wrapText="1"/>
    </xf>
    <xf numFmtId="0" fontId="58" fillId="0" borderId="1" xfId="0" applyFont="1" applyBorder="1" applyAlignment="1">
      <alignment horizontal="left" indent="8"/>
    </xf>
    <xf numFmtId="0" fontId="59" fillId="0" borderId="0" xfId="0" applyFont="1" applyAlignment="1">
      <alignment wrapText="1"/>
    </xf>
    <xf numFmtId="0" fontId="58" fillId="0" borderId="30" xfId="0" applyFont="1" applyBorder="1" applyAlignment="1">
      <alignment horizontal="center" vertical="center" wrapText="1"/>
    </xf>
    <xf numFmtId="9" fontId="59" fillId="0" borderId="0" xfId="0" applyNumberFormat="1" applyFont="1"/>
    <xf numFmtId="0" fontId="58" fillId="0" borderId="1" xfId="0" applyFont="1" applyBorder="1" applyAlignment="1">
      <alignment horizontal="left" vertical="center" wrapText="1"/>
    </xf>
    <xf numFmtId="43" fontId="61" fillId="0" borderId="1" xfId="1" applyFont="1" applyBorder="1"/>
    <xf numFmtId="0" fontId="64" fillId="0" borderId="0" xfId="0" applyFont="1"/>
    <xf numFmtId="43" fontId="64" fillId="0" borderId="0" xfId="0" applyNumberFormat="1" applyFont="1"/>
    <xf numFmtId="166" fontId="59" fillId="0" borderId="0" xfId="1" applyNumberFormat="1" applyFont="1"/>
    <xf numFmtId="0" fontId="61" fillId="0" borderId="1" xfId="0" applyFont="1" applyBorder="1" applyAlignment="1">
      <alignment horizontal="left" indent="1"/>
    </xf>
    <xf numFmtId="0" fontId="61" fillId="0" borderId="1" xfId="0" applyFont="1" applyBorder="1" applyAlignment="1">
      <alignment horizontal="left" wrapText="1" indent="1"/>
    </xf>
    <xf numFmtId="43" fontId="62" fillId="0" borderId="1" xfId="1" applyFont="1" applyBorder="1"/>
    <xf numFmtId="0" fontId="58" fillId="0" borderId="1" xfId="0" applyFont="1" applyBorder="1" applyAlignment="1">
      <alignment horizontal="left" indent="1"/>
    </xf>
    <xf numFmtId="0" fontId="58" fillId="0" borderId="1" xfId="0" applyFont="1" applyBorder="1" applyAlignment="1">
      <alignment horizontal="left" indent="3"/>
    </xf>
    <xf numFmtId="0" fontId="58" fillId="0" borderId="1" xfId="0" applyFont="1" applyBorder="1" applyAlignment="1">
      <alignment horizontal="left" wrapText="1" indent="4"/>
    </xf>
    <xf numFmtId="0" fontId="58" fillId="0" borderId="1" xfId="0" applyFont="1" applyBorder="1" applyAlignment="1">
      <alignment horizontal="left" wrapText="1" indent="1"/>
    </xf>
    <xf numFmtId="0" fontId="61" fillId="0" borderId="1" xfId="0" applyFont="1" applyBorder="1" applyAlignment="1">
      <alignment horizontal="left" vertical="center" indent="1"/>
    </xf>
    <xf numFmtId="166" fontId="64" fillId="0" borderId="0" xfId="0" applyNumberFormat="1" applyFont="1"/>
    <xf numFmtId="0" fontId="59" fillId="0" borderId="0" xfId="0" applyFont="1" applyAlignment="1">
      <alignment vertical="top" wrapText="1"/>
    </xf>
    <xf numFmtId="43" fontId="58" fillId="0" borderId="0" xfId="0" applyNumberFormat="1" applyFont="1"/>
    <xf numFmtId="0" fontId="61" fillId="0" borderId="1" xfId="0" applyFont="1" applyBorder="1" applyAlignment="1">
      <alignment horizontal="center" vertical="center" wrapText="1"/>
    </xf>
    <xf numFmtId="0" fontId="58" fillId="14" borderId="1" xfId="0" applyFont="1" applyFill="1" applyBorder="1"/>
    <xf numFmtId="0" fontId="58" fillId="0" borderId="1" xfId="0" applyFont="1" applyBorder="1" applyAlignment="1">
      <alignment horizontal="left" wrapText="1"/>
    </xf>
    <xf numFmtId="0" fontId="58" fillId="0" borderId="1" xfId="0" applyFont="1" applyBorder="1" applyAlignment="1">
      <alignment horizontal="left" wrapText="1" indent="2"/>
    </xf>
    <xf numFmtId="0" fontId="61" fillId="0" borderId="29" xfId="0" applyFont="1" applyBorder="1"/>
    <xf numFmtId="0" fontId="58" fillId="0" borderId="0" xfId="5" applyFont="1" applyAlignment="1">
      <alignment vertical="top" wrapText="1"/>
    </xf>
    <xf numFmtId="0" fontId="58" fillId="0" borderId="0" xfId="0" applyFont="1" applyAlignment="1">
      <alignment horizontal="center" vertical="center"/>
    </xf>
    <xf numFmtId="0" fontId="58" fillId="0" borderId="0" xfId="0" applyFont="1" applyAlignment="1">
      <alignment horizontal="center"/>
    </xf>
    <xf numFmtId="0" fontId="58" fillId="0" borderId="4"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0" xfId="0" applyFont="1" applyAlignment="1">
      <alignment horizontal="center" vertical="center" wrapText="1"/>
    </xf>
    <xf numFmtId="0" fontId="58" fillId="0" borderId="35" xfId="0" applyFont="1" applyBorder="1" applyAlignment="1">
      <alignment horizontal="center" vertical="center" wrapText="1"/>
    </xf>
    <xf numFmtId="0" fontId="58" fillId="0" borderId="29" xfId="0" applyFont="1" applyBorder="1" applyAlignment="1">
      <alignment wrapText="1"/>
    </xf>
    <xf numFmtId="0" fontId="58" fillId="0" borderId="15" xfId="0" applyFont="1" applyBorder="1" applyAlignment="1">
      <alignment wrapText="1"/>
    </xf>
    <xf numFmtId="0" fontId="58" fillId="0" borderId="1" xfId="0" applyFont="1" applyBorder="1" applyAlignment="1">
      <alignment horizontal="center"/>
    </xf>
    <xf numFmtId="0" fontId="61" fillId="0" borderId="1" xfId="0" applyFont="1" applyBorder="1" applyAlignment="1">
      <alignment vertical="top" wrapText="1"/>
    </xf>
    <xf numFmtId="0" fontId="61" fillId="8" borderId="1" xfId="0" applyFont="1" applyFill="1" applyBorder="1"/>
    <xf numFmtId="14" fontId="58" fillId="0" borderId="0" xfId="0" applyNumberFormat="1" applyFont="1"/>
    <xf numFmtId="0" fontId="58" fillId="0" borderId="19" xfId="0" applyFont="1" applyBorder="1" applyAlignment="1">
      <alignment horizontal="center" vertical="center" wrapText="1"/>
    </xf>
    <xf numFmtId="49" fontId="58" fillId="0" borderId="12" xfId="0" applyNumberFormat="1" applyFont="1" applyBorder="1" applyAlignment="1">
      <alignment horizontal="left" wrapText="1" indent="2"/>
    </xf>
    <xf numFmtId="43" fontId="58" fillId="0" borderId="12" xfId="1" applyFont="1" applyBorder="1" applyAlignment="1">
      <alignment horizontal="left" vertical="center" wrapText="1" indent="2"/>
    </xf>
    <xf numFmtId="0" fontId="58" fillId="0" borderId="19" xfId="0" applyFont="1" applyBorder="1"/>
    <xf numFmtId="49" fontId="58" fillId="0" borderId="12" xfId="0" applyNumberFormat="1" applyFont="1" applyBorder="1" applyAlignment="1">
      <alignment horizontal="left" wrapText="1" indent="3"/>
    </xf>
    <xf numFmtId="49" fontId="58" fillId="0" borderId="19" xfId="0" applyNumberFormat="1" applyFont="1" applyBorder="1" applyAlignment="1">
      <alignment horizontal="left" wrapText="1" indent="2"/>
    </xf>
    <xf numFmtId="49" fontId="58" fillId="0" borderId="19" xfId="0" applyNumberFormat="1" applyFont="1" applyBorder="1" applyAlignment="1">
      <alignment horizontal="left" wrapText="1" indent="3"/>
    </xf>
    <xf numFmtId="0" fontId="58" fillId="0" borderId="12" xfId="0" applyFont="1" applyBorder="1" applyAlignment="1">
      <alignment horizontal="left" wrapText="1" indent="1"/>
    </xf>
    <xf numFmtId="49" fontId="58" fillId="0" borderId="19" xfId="0" applyNumberFormat="1" applyFont="1" applyBorder="1" applyAlignment="1">
      <alignment horizontal="left" wrapText="1" indent="1"/>
    </xf>
    <xf numFmtId="43" fontId="58" fillId="0" borderId="12" xfId="1" applyFont="1" applyBorder="1" applyAlignment="1">
      <alignment horizontal="left" wrapText="1" indent="1"/>
    </xf>
    <xf numFmtId="0" fontId="58" fillId="0" borderId="26" xfId="0" applyFont="1" applyBorder="1" applyAlignment="1">
      <alignment horizontal="left" wrapText="1" indent="1"/>
    </xf>
    <xf numFmtId="49" fontId="58" fillId="0" borderId="28" xfId="0" applyNumberFormat="1" applyFont="1" applyBorder="1" applyAlignment="1">
      <alignment vertical="top" wrapText="1"/>
    </xf>
    <xf numFmtId="43" fontId="58" fillId="0" borderId="26" xfId="1" applyFont="1" applyBorder="1" applyAlignment="1">
      <alignment horizontal="left" wrapText="1" indent="1"/>
    </xf>
    <xf numFmtId="43" fontId="58" fillId="0" borderId="27" xfId="1" applyFont="1" applyBorder="1"/>
    <xf numFmtId="0" fontId="58" fillId="0" borderId="27" xfId="0" applyFont="1" applyBorder="1"/>
    <xf numFmtId="0" fontId="58" fillId="0" borderId="28" xfId="0" applyFont="1" applyBorder="1"/>
    <xf numFmtId="0" fontId="61" fillId="0" borderId="34" xfId="0" applyFont="1" applyBorder="1" applyAlignment="1">
      <alignment horizontal="left" vertical="center" wrapText="1"/>
    </xf>
    <xf numFmtId="43" fontId="58" fillId="0" borderId="1" xfId="1" applyFont="1" applyBorder="1" applyAlignment="1">
      <alignment horizontal="left" vertical="center" wrapText="1"/>
    </xf>
    <xf numFmtId="0" fontId="61" fillId="0" borderId="1" xfId="0" applyFont="1" applyBorder="1" applyAlignment="1">
      <alignment horizontal="left" vertical="center" wrapText="1"/>
    </xf>
    <xf numFmtId="43" fontId="61" fillId="0" borderId="1" xfId="0" applyNumberFormat="1" applyFont="1" applyBorder="1" applyAlignment="1">
      <alignment horizontal="left" vertical="center" wrapText="1"/>
    </xf>
    <xf numFmtId="0" fontId="63" fillId="0" borderId="0" xfId="0" applyFont="1"/>
    <xf numFmtId="0" fontId="63" fillId="0" borderId="0" xfId="0" applyFont="1" applyAlignment="1">
      <alignment horizontal="center" vertical="center"/>
    </xf>
    <xf numFmtId="0" fontId="70" fillId="0" borderId="0" xfId="0" applyFont="1"/>
    <xf numFmtId="0" fontId="71" fillId="0" borderId="0" xfId="0" applyFont="1"/>
    <xf numFmtId="43" fontId="70" fillId="0" borderId="0" xfId="0" applyNumberFormat="1" applyFont="1"/>
    <xf numFmtId="166" fontId="70" fillId="0" borderId="0" xfId="1" applyNumberFormat="1" applyFont="1"/>
    <xf numFmtId="43" fontId="63" fillId="0" borderId="1" xfId="1" applyFont="1" applyBorder="1"/>
    <xf numFmtId="43" fontId="63" fillId="0" borderId="1" xfId="1" applyFont="1" applyFill="1" applyBorder="1"/>
    <xf numFmtId="0" fontId="9" fillId="0" borderId="0" xfId="0" applyFont="1" applyAlignment="1">
      <alignment wrapText="1"/>
    </xf>
    <xf numFmtId="166" fontId="70" fillId="0" borderId="0" xfId="1" applyNumberFormat="1" applyFont="1" applyFill="1"/>
    <xf numFmtId="43" fontId="71" fillId="0" borderId="0" xfId="0" applyNumberFormat="1" applyFont="1"/>
    <xf numFmtId="0" fontId="71" fillId="0" borderId="0" xfId="0" applyFont="1" applyAlignment="1">
      <alignment vertical="top" wrapText="1"/>
    </xf>
    <xf numFmtId="0" fontId="73" fillId="0" borderId="0" xfId="0" applyFont="1"/>
    <xf numFmtId="0" fontId="73" fillId="0" borderId="29" xfId="0" applyFont="1" applyBorder="1"/>
    <xf numFmtId="0" fontId="63" fillId="0" borderId="1" xfId="0" applyFont="1" applyBorder="1" applyAlignment="1">
      <alignment horizontal="left" indent="2"/>
    </xf>
    <xf numFmtId="0" fontId="58" fillId="0" borderId="88" xfId="0" applyFont="1" applyBorder="1" applyAlignment="1">
      <alignment vertical="center" wrapText="1" readingOrder="1"/>
    </xf>
    <xf numFmtId="43" fontId="63" fillId="0" borderId="1" xfId="0" applyNumberFormat="1" applyFont="1" applyBorder="1"/>
    <xf numFmtId="0" fontId="63" fillId="0" borderId="1" xfId="0" applyFont="1" applyBorder="1"/>
    <xf numFmtId="9" fontId="63" fillId="0" borderId="1" xfId="0" applyNumberFormat="1" applyFont="1" applyBorder="1"/>
    <xf numFmtId="0" fontId="58" fillId="0" borderId="89" xfId="0" applyFont="1" applyBorder="1" applyAlignment="1">
      <alignment vertical="center" wrapText="1" readingOrder="1"/>
    </xf>
    <xf numFmtId="0" fontId="73" fillId="8" borderId="0" xfId="0" applyFont="1" applyFill="1"/>
    <xf numFmtId="0" fontId="73" fillId="13" borderId="0" xfId="0" applyFont="1" applyFill="1"/>
    <xf numFmtId="0" fontId="63" fillId="0" borderId="2" xfId="0" applyFont="1" applyBorder="1" applyAlignment="1">
      <alignment horizontal="left" indent="2"/>
    </xf>
    <xf numFmtId="0" fontId="58" fillId="0" borderId="90" xfId="0" applyFont="1" applyBorder="1" applyAlignment="1">
      <alignment vertical="center" wrapText="1" readingOrder="1"/>
    </xf>
    <xf numFmtId="43" fontId="63" fillId="0" borderId="2" xfId="1" applyFont="1" applyBorder="1"/>
    <xf numFmtId="0" fontId="61" fillId="0" borderId="1" xfId="0" applyFont="1" applyBorder="1" applyAlignment="1">
      <alignment vertical="center" wrapText="1" readingOrder="1"/>
    </xf>
    <xf numFmtId="0" fontId="63" fillId="0" borderId="1" xfId="0" applyFont="1" applyBorder="1" applyAlignment="1">
      <alignment horizontal="left" indent="3"/>
    </xf>
    <xf numFmtId="0" fontId="58" fillId="0" borderId="89" xfId="0" applyFont="1" applyBorder="1" applyAlignment="1">
      <alignment horizontal="left" vertical="center" wrapText="1" indent="1" readingOrder="1"/>
    </xf>
    <xf numFmtId="0" fontId="73" fillId="0" borderId="0" xfId="0" applyFont="1" applyAlignment="1">
      <alignment vertical="top" wrapText="1"/>
    </xf>
    <xf numFmtId="43" fontId="73" fillId="0" borderId="0" xfId="0" applyNumberFormat="1" applyFont="1"/>
    <xf numFmtId="9" fontId="2" fillId="0" borderId="0" xfId="2" applyFont="1"/>
    <xf numFmtId="10" fontId="2" fillId="0" borderId="0" xfId="2" applyNumberFormat="1" applyFont="1"/>
    <xf numFmtId="43" fontId="2" fillId="0" borderId="0" xfId="1" applyFont="1"/>
    <xf numFmtId="0" fontId="0" fillId="0" borderId="12" xfId="0" applyBorder="1" applyAlignment="1">
      <alignment horizontal="center" vertical="center"/>
    </xf>
    <xf numFmtId="43" fontId="0" fillId="7" borderId="19" xfId="1" applyFont="1" applyFill="1" applyBorder="1"/>
    <xf numFmtId="166" fontId="0" fillId="7" borderId="19" xfId="1" applyNumberFormat="1" applyFont="1" applyFill="1" applyBorder="1"/>
    <xf numFmtId="0" fontId="0" fillId="0" borderId="26" xfId="0" applyBorder="1" applyAlignment="1">
      <alignment horizontal="center" vertical="center"/>
    </xf>
    <xf numFmtId="0" fontId="25" fillId="0" borderId="27" xfId="7" applyFont="1" applyBorder="1" applyAlignment="1">
      <alignment vertical="center" wrapText="1"/>
    </xf>
    <xf numFmtId="43" fontId="0" fillId="0" borderId="27" xfId="1" applyFont="1" applyBorder="1"/>
    <xf numFmtId="43" fontId="0" fillId="7" borderId="27" xfId="1" applyFont="1" applyFill="1" applyBorder="1"/>
    <xf numFmtId="43" fontId="0" fillId="7" borderId="28" xfId="1" applyFont="1" applyFill="1" applyBorder="1"/>
    <xf numFmtId="166" fontId="21" fillId="0" borderId="0" xfId="1" applyNumberFormat="1" applyFont="1" applyFill="1"/>
    <xf numFmtId="165" fontId="4" fillId="0" borderId="0" xfId="0" applyNumberFormat="1" applyFont="1"/>
    <xf numFmtId="166" fontId="40" fillId="0" borderId="0" xfId="1" applyNumberFormat="1" applyFont="1" applyFill="1"/>
    <xf numFmtId="168" fontId="53" fillId="0" borderId="1" xfId="18" applyNumberFormat="1" applyFont="1" applyFill="1" applyBorder="1" applyAlignment="1" applyProtection="1">
      <alignment horizontal="right" vertical="center"/>
      <protection locked="0"/>
    </xf>
    <xf numFmtId="166" fontId="67" fillId="0" borderId="0" xfId="1" applyNumberFormat="1" applyFont="1" applyFill="1"/>
    <xf numFmtId="0" fontId="62" fillId="0" borderId="19" xfId="0" applyFont="1" applyBorder="1" applyAlignment="1">
      <alignment horizontal="center" vertical="center" wrapText="1"/>
    </xf>
    <xf numFmtId="49" fontId="63" fillId="2" borderId="12" xfId="13" applyNumberFormat="1" applyFont="1" applyFill="1" applyBorder="1" applyAlignment="1" applyProtection="1">
      <alignment horizontal="right" vertical="center"/>
      <protection locked="0"/>
    </xf>
    <xf numFmtId="43" fontId="59" fillId="0" borderId="19" xfId="1" applyFont="1" applyBorder="1"/>
    <xf numFmtId="49" fontId="63" fillId="0" borderId="12" xfId="13" applyNumberFormat="1" applyFont="1" applyBorder="1" applyAlignment="1" applyProtection="1">
      <alignment horizontal="right" vertical="center"/>
      <protection locked="0"/>
    </xf>
    <xf numFmtId="43" fontId="59" fillId="0" borderId="19" xfId="1" applyFont="1" applyFill="1" applyBorder="1"/>
    <xf numFmtId="49" fontId="66" fillId="0" borderId="26" xfId="13" applyNumberFormat="1" applyFont="1" applyBorder="1" applyAlignment="1" applyProtection="1">
      <alignment horizontal="right" vertical="center"/>
      <protection locked="0"/>
    </xf>
    <xf numFmtId="0" fontId="62" fillId="0" borderId="27" xfId="0" applyFont="1" applyBorder="1" applyAlignment="1">
      <alignment vertical="top" wrapText="1"/>
    </xf>
    <xf numFmtId="43" fontId="59" fillId="0" borderId="27" xfId="1" applyFont="1" applyBorder="1"/>
    <xf numFmtId="43" fontId="59" fillId="0" borderId="28" xfId="1" applyFont="1" applyBorder="1"/>
    <xf numFmtId="166" fontId="58" fillId="0" borderId="1" xfId="1" applyNumberFormat="1" applyFont="1" applyFill="1" applyBorder="1"/>
    <xf numFmtId="166" fontId="64" fillId="0" borderId="0" xfId="1" applyNumberFormat="1" applyFont="1" applyFill="1"/>
    <xf numFmtId="43" fontId="62" fillId="0" borderId="0" xfId="1" applyFont="1" applyFill="1"/>
    <xf numFmtId="43" fontId="59" fillId="0" borderId="0" xfId="1" applyFont="1" applyFill="1"/>
    <xf numFmtId="166" fontId="64" fillId="0" borderId="0" xfId="1" applyNumberFormat="1" applyFont="1" applyFill="1" applyBorder="1"/>
    <xf numFmtId="0" fontId="65" fillId="0" borderId="0" xfId="11" applyFont="1" applyAlignment="1" applyProtection="1">
      <alignment horizontal="left" vertical="center" wrapText="1"/>
      <protection locked="0"/>
    </xf>
    <xf numFmtId="43" fontId="62" fillId="0" borderId="0" xfId="1" applyFont="1" applyFill="1" applyBorder="1"/>
    <xf numFmtId="43" fontId="59" fillId="0" borderId="0" xfId="1" applyFont="1" applyFill="1" applyBorder="1"/>
    <xf numFmtId="0" fontId="68" fillId="0" borderId="0" xfId="0" applyFont="1"/>
    <xf numFmtId="0" fontId="59" fillId="0" borderId="0" xfId="0" applyFont="1" applyAlignment="1">
      <alignment horizontal="left"/>
    </xf>
    <xf numFmtId="166" fontId="59" fillId="0" borderId="0" xfId="0" applyNumberFormat="1" applyFont="1"/>
    <xf numFmtId="43" fontId="58" fillId="0" borderId="0" xfId="1" applyFont="1" applyFill="1"/>
    <xf numFmtId="43" fontId="67" fillId="0" borderId="0" xfId="0" applyNumberFormat="1" applyFont="1"/>
    <xf numFmtId="43" fontId="61" fillId="0" borderId="1" xfId="1" applyFont="1" applyFill="1" applyBorder="1"/>
    <xf numFmtId="43" fontId="61" fillId="0" borderId="1" xfId="0" applyNumberFormat="1" applyFont="1" applyBorder="1"/>
    <xf numFmtId="43" fontId="61" fillId="0" borderId="1" xfId="1" applyFont="1" applyFill="1" applyBorder="1" applyAlignment="1">
      <alignment horizontal="left" indent="1"/>
    </xf>
    <xf numFmtId="166" fontId="61" fillId="0" borderId="1" xfId="0" applyNumberFormat="1" applyFont="1" applyBorder="1"/>
    <xf numFmtId="166" fontId="58" fillId="0" borderId="1" xfId="1" applyNumberFormat="1" applyFont="1" applyFill="1" applyBorder="1" applyAlignment="1">
      <alignment horizontal="left" indent="1"/>
    </xf>
    <xf numFmtId="0" fontId="58" fillId="0" borderId="38" xfId="0" applyFont="1" applyBorder="1"/>
    <xf numFmtId="0" fontId="61" fillId="0" borderId="42" xfId="0" applyFont="1" applyBorder="1"/>
    <xf numFmtId="43" fontId="61" fillId="0" borderId="38" xfId="0" applyNumberFormat="1" applyFont="1" applyBorder="1"/>
    <xf numFmtId="0" fontId="58" fillId="0" borderId="12" xfId="0" applyFont="1" applyBorder="1" applyAlignment="1">
      <alignment horizontal="left" indent="1"/>
    </xf>
    <xf numFmtId="0" fontId="58" fillId="0" borderId="19" xfId="0" applyFont="1" applyBorder="1" applyAlignment="1">
      <alignment horizontal="left" indent="1"/>
    </xf>
    <xf numFmtId="43" fontId="58" fillId="0" borderId="12" xfId="1" applyFont="1" applyFill="1" applyBorder="1" applyAlignment="1">
      <alignment horizontal="center"/>
    </xf>
    <xf numFmtId="0" fontId="58" fillId="0" borderId="12" xfId="0" applyFont="1" applyBorder="1" applyAlignment="1">
      <alignment horizontal="left" indent="2"/>
    </xf>
    <xf numFmtId="0" fontId="58" fillId="0" borderId="19" xfId="0" applyFont="1" applyBorder="1" applyAlignment="1">
      <alignment horizontal="left" indent="2"/>
    </xf>
    <xf numFmtId="43" fontId="58" fillId="0" borderId="12" xfId="1" applyFont="1" applyFill="1" applyBorder="1" applyAlignment="1">
      <alignment horizontal="right" indent="2"/>
    </xf>
    <xf numFmtId="49" fontId="58" fillId="0" borderId="12" xfId="0" applyNumberFormat="1" applyFont="1" applyBorder="1" applyAlignment="1">
      <alignment horizontal="left" indent="3"/>
    </xf>
    <xf numFmtId="49" fontId="58" fillId="0" borderId="19" xfId="0" applyNumberFormat="1" applyFont="1" applyBorder="1" applyAlignment="1">
      <alignment horizontal="left" indent="3"/>
    </xf>
    <xf numFmtId="43" fontId="58" fillId="0" borderId="12" xfId="1" applyFont="1" applyFill="1" applyBorder="1" applyAlignment="1">
      <alignment horizontal="left" indent="3"/>
    </xf>
    <xf numFmtId="49" fontId="58" fillId="0" borderId="12" xfId="0" applyNumberFormat="1" applyFont="1" applyBorder="1" applyAlignment="1">
      <alignment horizontal="left" indent="1"/>
    </xf>
    <xf numFmtId="49" fontId="58" fillId="0" borderId="19" xfId="0" applyNumberFormat="1" applyFont="1" applyBorder="1" applyAlignment="1">
      <alignment horizontal="left" indent="1"/>
    </xf>
    <xf numFmtId="43" fontId="58" fillId="0" borderId="12" xfId="1" applyFont="1" applyFill="1" applyBorder="1" applyAlignment="1">
      <alignment horizontal="left" indent="1"/>
    </xf>
    <xf numFmtId="49" fontId="58" fillId="0" borderId="19" xfId="0" applyNumberFormat="1" applyFont="1" applyBorder="1" applyAlignment="1">
      <alignment horizontal="left" vertical="top" wrapText="1" indent="2"/>
    </xf>
    <xf numFmtId="43" fontId="58" fillId="0" borderId="1" xfId="1" applyFont="1" applyFill="1" applyBorder="1" applyAlignment="1">
      <alignment horizontal="left" vertical="center" wrapText="1"/>
    </xf>
    <xf numFmtId="43" fontId="4" fillId="0" borderId="19" xfId="1" applyFont="1" applyFill="1" applyBorder="1" applyAlignment="1">
      <alignment vertical="center" wrapText="1"/>
    </xf>
    <xf numFmtId="43" fontId="4" fillId="0" borderId="19" xfId="1" applyFont="1" applyBorder="1" applyAlignment="1">
      <alignment vertical="center"/>
    </xf>
    <xf numFmtId="0" fontId="8" fillId="0" borderId="1" xfId="11" applyFont="1" applyBorder="1" applyAlignment="1" applyProtection="1">
      <alignment vertical="center" wrapText="1"/>
      <protection locked="0"/>
    </xf>
    <xf numFmtId="165" fontId="0" fillId="7" borderId="11" xfId="0" applyNumberFormat="1" applyFill="1" applyBorder="1" applyAlignment="1">
      <alignment horizontal="right" vertical="center"/>
    </xf>
    <xf numFmtId="165" fontId="0" fillId="0" borderId="19" xfId="0" applyNumberFormat="1" applyBorder="1" applyAlignment="1">
      <alignment horizontal="right"/>
    </xf>
    <xf numFmtId="165" fontId="0" fillId="0" borderId="19" xfId="0" applyNumberFormat="1" applyBorder="1" applyAlignment="1">
      <alignment horizontal="right" wrapText="1"/>
    </xf>
    <xf numFmtId="165" fontId="0" fillId="7" borderId="19" xfId="0" applyNumberFormat="1" applyFill="1" applyBorder="1" applyAlignment="1">
      <alignment horizontal="right" vertical="center" wrapText="1"/>
    </xf>
    <xf numFmtId="165" fontId="0" fillId="7" borderId="28" xfId="0" applyNumberFormat="1" applyFill="1" applyBorder="1" applyAlignment="1">
      <alignment horizontal="right" vertical="center" wrapText="1"/>
    </xf>
    <xf numFmtId="43" fontId="33" fillId="7" borderId="1" xfId="1" applyFont="1" applyFill="1" applyBorder="1" applyAlignment="1">
      <alignment horizontal="left" vertical="center" wrapText="1"/>
    </xf>
    <xf numFmtId="43" fontId="58" fillId="7" borderId="1" xfId="1" applyFont="1" applyFill="1" applyBorder="1"/>
    <xf numFmtId="169" fontId="33" fillId="7" borderId="27" xfId="0" applyNumberFormat="1" applyFont="1" applyFill="1" applyBorder="1" applyAlignment="1">
      <alignment horizontal="right" vertical="center"/>
    </xf>
    <xf numFmtId="169" fontId="33" fillId="7" borderId="28" xfId="0" applyNumberFormat="1" applyFont="1" applyFill="1" applyBorder="1" applyAlignment="1">
      <alignment horizontal="right" vertical="center"/>
    </xf>
    <xf numFmtId="43" fontId="58" fillId="0" borderId="1" xfId="0" applyNumberFormat="1" applyFont="1" applyBorder="1"/>
    <xf numFmtId="166" fontId="58" fillId="0" borderId="1" xfId="0" applyNumberFormat="1" applyFont="1" applyBorder="1"/>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164" fontId="18" fillId="5" borderId="23" xfId="6" applyFill="1" applyBorder="1" applyAlignment="1">
      <alignment horizontal="center"/>
    </xf>
    <xf numFmtId="164" fontId="18" fillId="5" borderId="21" xfId="6" applyFill="1" applyBorder="1" applyAlignment="1">
      <alignment horizontal="center"/>
    </xf>
    <xf numFmtId="164" fontId="18" fillId="5" borderId="22" xfId="6" applyFill="1" applyBorder="1" applyAlignment="1">
      <alignment horizont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164" fontId="18" fillId="5" borderId="3" xfId="6" applyFill="1" applyBorder="1" applyAlignment="1">
      <alignment horizontal="center"/>
    </xf>
    <xf numFmtId="164" fontId="18" fillId="5" borderId="4" xfId="6" applyFill="1" applyBorder="1" applyAlignment="1">
      <alignment horizontal="center"/>
    </xf>
    <xf numFmtId="164" fontId="18" fillId="5" borderId="13" xfId="6" applyFill="1" applyBorder="1" applyAlignment="1">
      <alignment horizontal="center"/>
    </xf>
    <xf numFmtId="164" fontId="18" fillId="5" borderId="15" xfId="6" applyFill="1" applyBorder="1" applyAlignment="1">
      <alignment horizontal="center"/>
    </xf>
    <xf numFmtId="164" fontId="18" fillId="5" borderId="16" xfId="6" applyFill="1" applyBorder="1" applyAlignment="1">
      <alignment horizontal="center"/>
    </xf>
    <xf numFmtId="164" fontId="18" fillId="5" borderId="17" xfId="6" applyFill="1" applyBorder="1" applyAlignment="1">
      <alignment horizontal="center"/>
    </xf>
    <xf numFmtId="164" fontId="18" fillId="5" borderId="14" xfId="6" applyFill="1" applyBorder="1" applyAlignment="1">
      <alignment horizontal="center"/>
    </xf>
    <xf numFmtId="164" fontId="18" fillId="5" borderId="18" xfId="6" applyFill="1" applyBorder="1" applyAlignment="1">
      <alignment horizontal="center"/>
    </xf>
    <xf numFmtId="0" fontId="0" fillId="0" borderId="1" xfId="0" applyBorder="1" applyAlignment="1">
      <alignment horizontal="center" vertical="center"/>
    </xf>
    <xf numFmtId="0" fontId="22" fillId="0" borderId="2" xfId="0" applyFont="1" applyBorder="1" applyAlignment="1">
      <alignment horizontal="center" vertical="center"/>
    </xf>
    <xf numFmtId="0" fontId="22" fillId="0" borderId="29" xfId="0" applyFont="1" applyBorder="1" applyAlignment="1">
      <alignment horizontal="center" vertical="center"/>
    </xf>
    <xf numFmtId="166" fontId="14" fillId="0" borderId="10" xfId="1" applyNumberFormat="1" applyFont="1" applyBorder="1" applyAlignment="1">
      <alignment horizontal="center" vertical="center"/>
    </xf>
    <xf numFmtId="166" fontId="14" fillId="0" borderId="11" xfId="1" applyNumberFormat="1" applyFont="1" applyBorder="1" applyAlignment="1">
      <alignment horizontal="center" vertical="center"/>
    </xf>
    <xf numFmtId="0" fontId="0" fillId="0" borderId="49" xfId="0" applyBorder="1" applyAlignment="1">
      <alignment horizontal="center" vertical="center"/>
    </xf>
    <xf numFmtId="0" fontId="0" fillId="0" borderId="38" xfId="0" applyBorder="1" applyAlignment="1">
      <alignment horizontal="center" vertical="center"/>
    </xf>
    <xf numFmtId="0" fontId="22" fillId="0" borderId="46" xfId="0" applyFont="1" applyBorder="1" applyAlignment="1">
      <alignment horizontal="center" vertical="center" wrapText="1"/>
    </xf>
    <xf numFmtId="0" fontId="22" fillId="0" borderId="29"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3" fillId="0" borderId="1" xfId="0" applyFont="1" applyBorder="1" applyAlignment="1">
      <alignment horizontal="center" vertical="center" wrapText="1"/>
    </xf>
    <xf numFmtId="0" fontId="14" fillId="0" borderId="10" xfId="0" applyFont="1" applyBorder="1" applyAlignment="1">
      <alignment horizontal="center"/>
    </xf>
    <xf numFmtId="0" fontId="14" fillId="0" borderId="11" xfId="0" applyFont="1" applyBorder="1" applyAlignment="1">
      <alignment horizontal="center"/>
    </xf>
    <xf numFmtId="0" fontId="14" fillId="0" borderId="5" xfId="0" applyFont="1" applyBorder="1" applyAlignment="1">
      <alignment horizontal="center" wrapText="1"/>
    </xf>
    <xf numFmtId="0" fontId="39" fillId="0" borderId="1" xfId="0" applyFont="1" applyBorder="1" applyAlignment="1">
      <alignment wrapText="1"/>
    </xf>
    <xf numFmtId="0" fontId="4" fillId="0" borderId="19" xfId="0" applyFont="1" applyBorder="1"/>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xf>
    <xf numFmtId="0" fontId="4" fillId="0" borderId="22" xfId="0" applyFont="1" applyBorder="1" applyAlignment="1">
      <alignment horizontal="center"/>
    </xf>
    <xf numFmtId="0" fontId="33" fillId="7" borderId="47"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33" fillId="7" borderId="23" xfId="0" applyFont="1" applyFill="1" applyBorder="1" applyAlignment="1">
      <alignment horizontal="center" vertical="center" wrapText="1"/>
    </xf>
    <xf numFmtId="0" fontId="33" fillId="7" borderId="30" xfId="0" applyFont="1" applyFill="1" applyBorder="1" applyAlignment="1">
      <alignment horizontal="center" vertical="center" wrapText="1"/>
    </xf>
    <xf numFmtId="9" fontId="4" fillId="0" borderId="20" xfId="0" applyNumberFormat="1" applyFont="1" applyBorder="1" applyAlignment="1">
      <alignment horizontal="center" vertical="center"/>
    </xf>
    <xf numFmtId="9" fontId="4" fillId="0" borderId="30" xfId="0" applyNumberFormat="1" applyFont="1" applyBorder="1" applyAlignment="1">
      <alignment horizontal="center" vertical="center"/>
    </xf>
    <xf numFmtId="0" fontId="48" fillId="2" borderId="25" xfId="11" applyFont="1" applyFill="1" applyBorder="1" applyAlignment="1" applyProtection="1">
      <alignment horizontal="center" vertical="center" wrapText="1"/>
      <protection locked="0"/>
    </xf>
    <xf numFmtId="0" fontId="48" fillId="2" borderId="42" xfId="1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29" xfId="0" applyFont="1" applyBorder="1" applyAlignment="1">
      <alignment horizontal="center" vertical="center" wrapText="1"/>
    </xf>
    <xf numFmtId="166" fontId="15" fillId="2" borderId="9" xfId="15" applyNumberFormat="1" applyFont="1" applyFill="1" applyBorder="1" applyAlignment="1" applyProtection="1">
      <alignment horizontal="center"/>
      <protection locked="0"/>
    </xf>
    <xf numFmtId="166" fontId="15" fillId="2" borderId="10" xfId="15" applyNumberFormat="1" applyFont="1" applyFill="1" applyBorder="1" applyAlignment="1" applyProtection="1">
      <alignment horizontal="center"/>
      <protection locked="0"/>
    </xf>
    <xf numFmtId="166" fontId="15" fillId="2" borderId="11" xfId="15" applyNumberFormat="1" applyFont="1" applyFill="1" applyBorder="1" applyAlignment="1" applyProtection="1">
      <alignment horizontal="center"/>
      <protection locked="0"/>
    </xf>
    <xf numFmtId="166" fontId="15" fillId="0" borderId="66" xfId="15" applyNumberFormat="1" applyFont="1" applyFill="1" applyBorder="1" applyAlignment="1" applyProtection="1">
      <alignment horizontal="center" vertical="center" wrapText="1"/>
      <protection locked="0"/>
    </xf>
    <xf numFmtId="166" fontId="15" fillId="0" borderId="68" xfId="15" applyNumberFormat="1" applyFont="1" applyFill="1" applyBorder="1" applyAlignment="1" applyProtection="1">
      <alignment horizontal="center" vertical="center" wrapText="1"/>
      <protection locked="0"/>
    </xf>
    <xf numFmtId="0" fontId="33" fillId="0" borderId="67" xfId="0" applyFont="1" applyBorder="1" applyAlignment="1">
      <alignment horizontal="center" vertical="center" wrapText="1"/>
    </xf>
    <xf numFmtId="0" fontId="33" fillId="0" borderId="69" xfId="0" applyFont="1" applyBorder="1" applyAlignment="1">
      <alignment horizontal="center" vertical="center" wrapText="1"/>
    </xf>
    <xf numFmtId="0" fontId="4" fillId="0" borderId="20" xfId="0" applyFont="1" applyBorder="1" applyAlignment="1">
      <alignment horizontal="center" wrapText="1"/>
    </xf>
    <xf numFmtId="0" fontId="4" fillId="0" borderId="30" xfId="0" applyFont="1" applyBorder="1" applyAlignment="1">
      <alignment horizontal="center" wrapText="1"/>
    </xf>
    <xf numFmtId="0" fontId="4" fillId="0" borderId="25" xfId="0" applyFont="1" applyBorder="1" applyAlignment="1">
      <alignment horizontal="center" vertical="center" wrapText="1"/>
    </xf>
    <xf numFmtId="0" fontId="4" fillId="0" borderId="42" xfId="0" applyFont="1" applyBorder="1" applyAlignment="1">
      <alignment horizontal="center" vertical="center" wrapText="1"/>
    </xf>
    <xf numFmtId="0" fontId="50" fillId="0" borderId="63" xfId="0" applyFont="1" applyBorder="1" applyAlignment="1">
      <alignment horizontal="left" vertical="center"/>
    </xf>
    <xf numFmtId="0" fontId="50" fillId="0" borderId="64" xfId="0" applyFont="1" applyBorder="1" applyAlignment="1">
      <alignment horizontal="left" vertical="center"/>
    </xf>
    <xf numFmtId="0" fontId="4" fillId="0" borderId="64"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0" xfId="0" applyFont="1" applyBorder="1" applyAlignment="1">
      <alignment horizontal="center"/>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61" fillId="0" borderId="91" xfId="0" applyFont="1" applyBorder="1" applyAlignment="1">
      <alignment horizontal="left" vertical="center" wrapText="1"/>
    </xf>
    <xf numFmtId="0" fontId="61" fillId="0" borderId="92" xfId="0" applyFont="1" applyBorder="1" applyAlignment="1">
      <alignment horizontal="left" vertical="center" wrapText="1"/>
    </xf>
    <xf numFmtId="0" fontId="61" fillId="0" borderId="93" xfId="0" applyFont="1" applyBorder="1" applyAlignment="1">
      <alignment horizontal="left" vertical="center" wrapText="1"/>
    </xf>
    <xf numFmtId="0" fontId="61" fillId="0" borderId="81" xfId="0" applyFont="1" applyBorder="1" applyAlignment="1">
      <alignment horizontal="left" vertical="center" wrapText="1"/>
    </xf>
    <xf numFmtId="0" fontId="61" fillId="0" borderId="94" xfId="0" applyFont="1" applyBorder="1" applyAlignment="1">
      <alignment horizontal="left" vertical="center" wrapText="1"/>
    </xf>
    <xf numFmtId="0" fontId="61" fillId="0" borderId="83" xfId="0" applyFont="1" applyBorder="1" applyAlignment="1">
      <alignment horizontal="left" vertical="center" wrapText="1"/>
    </xf>
    <xf numFmtId="0" fontId="62" fillId="0" borderId="50" xfId="0" applyFont="1" applyBorder="1" applyAlignment="1">
      <alignment horizontal="center" vertical="center" wrapText="1"/>
    </xf>
    <xf numFmtId="0" fontId="62" fillId="0" borderId="64" xfId="0" applyFont="1" applyBorder="1" applyAlignment="1">
      <alignment horizontal="center" vertical="center" wrapText="1"/>
    </xf>
    <xf numFmtId="0" fontId="62" fillId="0" borderId="71" xfId="0" applyFont="1" applyBorder="1" applyAlignment="1">
      <alignment horizontal="center" vertical="center" wrapText="1"/>
    </xf>
    <xf numFmtId="0" fontId="62" fillId="0" borderId="15" xfId="0" applyFont="1" applyBorder="1" applyAlignment="1">
      <alignment horizontal="center" vertical="center" wrapText="1"/>
    </xf>
    <xf numFmtId="0" fontId="62" fillId="0" borderId="16" xfId="0" applyFont="1" applyBorder="1" applyAlignment="1">
      <alignment horizontal="center" vertical="center" wrapText="1"/>
    </xf>
    <xf numFmtId="0" fontId="62" fillId="0" borderId="1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82" xfId="0" applyFont="1" applyBorder="1" applyAlignment="1">
      <alignment horizontal="left" vertical="center" wrapText="1"/>
    </xf>
    <xf numFmtId="0" fontId="58" fillId="0" borderId="1"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29" xfId="0" applyFont="1" applyBorder="1" applyAlignment="1">
      <alignment horizontal="center" vertical="center" wrapText="1"/>
    </xf>
    <xf numFmtId="0" fontId="58" fillId="0" borderId="20" xfId="0" applyFont="1" applyBorder="1" applyAlignment="1">
      <alignment horizontal="center" vertical="center" wrapText="1"/>
    </xf>
    <xf numFmtId="0" fontId="58" fillId="0" borderId="30" xfId="0" applyFont="1" applyBorder="1" applyAlignment="1">
      <alignment horizontal="center" vertical="center" wrapText="1"/>
    </xf>
    <xf numFmtId="0" fontId="69" fillId="0" borderId="1" xfId="0" applyFont="1" applyBorder="1" applyAlignment="1">
      <alignment horizontal="center" vertical="center"/>
    </xf>
    <xf numFmtId="0" fontId="60" fillId="0" borderId="3" xfId="0" applyFont="1" applyBorder="1" applyAlignment="1">
      <alignment horizontal="center" vertical="center"/>
    </xf>
    <xf numFmtId="0" fontId="60" fillId="0" borderId="80" xfId="0" applyFont="1" applyBorder="1" applyAlignment="1">
      <alignment horizontal="center" vertical="center"/>
    </xf>
    <xf numFmtId="0" fontId="60" fillId="0" borderId="15" xfId="0" applyFont="1" applyBorder="1" applyAlignment="1">
      <alignment horizontal="center" vertical="center"/>
    </xf>
    <xf numFmtId="0" fontId="60" fillId="0" borderId="35" xfId="0" applyFont="1" applyBorder="1" applyAlignment="1">
      <alignment horizontal="center" vertical="center"/>
    </xf>
    <xf numFmtId="0" fontId="61" fillId="0" borderId="1"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0" xfId="0" applyFont="1" applyBorder="1" applyAlignment="1">
      <alignment horizontal="center" vertical="center" wrapText="1"/>
    </xf>
    <xf numFmtId="0" fontId="61" fillId="0" borderId="84" xfId="0" applyFont="1" applyBorder="1" applyAlignment="1">
      <alignment horizontal="center" vertical="center" wrapText="1"/>
    </xf>
    <xf numFmtId="0" fontId="61" fillId="0" borderId="34"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35" xfId="0" applyFont="1" applyBorder="1" applyAlignment="1">
      <alignment horizontal="center" vertical="center" wrapText="1"/>
    </xf>
    <xf numFmtId="0" fontId="58" fillId="0" borderId="21" xfId="0" applyFont="1" applyBorder="1" applyAlignment="1">
      <alignment horizontal="center" vertical="center" wrapText="1"/>
    </xf>
    <xf numFmtId="0" fontId="61" fillId="0" borderId="37" xfId="0" applyFont="1" applyBorder="1" applyAlignment="1">
      <alignment horizontal="center" vertical="center" wrapText="1"/>
    </xf>
    <xf numFmtId="0" fontId="61" fillId="0" borderId="29" xfId="0" applyFont="1" applyBorder="1" applyAlignment="1">
      <alignment horizontal="center" vertical="center" wrapText="1"/>
    </xf>
    <xf numFmtId="0" fontId="58" fillId="0" borderId="37"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80" xfId="0" applyFont="1" applyBorder="1" applyAlignment="1">
      <alignment horizontal="center" vertical="center" wrapText="1"/>
    </xf>
    <xf numFmtId="0" fontId="58" fillId="0" borderId="35" xfId="0" applyFont="1" applyBorder="1" applyAlignment="1">
      <alignment horizontal="center" vertical="center" wrapText="1"/>
    </xf>
    <xf numFmtId="0" fontId="61" fillId="0" borderId="63" xfId="0" applyFont="1" applyBorder="1" applyAlignment="1">
      <alignment horizontal="left" vertical="top" wrapText="1"/>
    </xf>
    <xf numFmtId="0" fontId="61" fillId="0" borderId="71" xfId="0" applyFont="1" applyBorder="1" applyAlignment="1">
      <alignment horizontal="left" vertical="top" wrapText="1"/>
    </xf>
    <xf numFmtId="0" fontId="61" fillId="0" borderId="65" xfId="0" applyFont="1" applyBorder="1" applyAlignment="1">
      <alignment horizontal="left" vertical="top" wrapText="1"/>
    </xf>
    <xf numFmtId="0" fontId="61" fillId="0" borderId="77" xfId="0" applyFont="1" applyBorder="1" applyAlignment="1">
      <alignment horizontal="left" vertical="top" wrapText="1"/>
    </xf>
    <xf numFmtId="0" fontId="61" fillId="0" borderId="18" xfId="0" applyFont="1" applyBorder="1" applyAlignment="1">
      <alignment horizontal="left" vertical="top" wrapText="1"/>
    </xf>
    <xf numFmtId="0" fontId="61" fillId="0" borderId="17" xfId="0" applyFont="1" applyBorder="1" applyAlignment="1">
      <alignment horizontal="left" vertical="top" wrapText="1"/>
    </xf>
    <xf numFmtId="0" fontId="58" fillId="0" borderId="63" xfId="0" applyFont="1" applyBorder="1" applyAlignment="1">
      <alignment horizontal="center" vertical="center" wrapText="1"/>
    </xf>
    <xf numFmtId="0" fontId="58" fillId="0" borderId="64" xfId="0" applyFont="1" applyBorder="1" applyAlignment="1">
      <alignment horizontal="center" vertical="center" wrapText="1"/>
    </xf>
    <xf numFmtId="0" fontId="58" fillId="0" borderId="71"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38"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3" xfId="0" applyFont="1" applyBorder="1" applyAlignment="1">
      <alignment horizontal="center" vertical="top" wrapText="1"/>
    </xf>
    <xf numFmtId="0" fontId="58" fillId="0" borderId="4" xfId="0" applyFont="1" applyBorder="1" applyAlignment="1">
      <alignment horizontal="center" vertical="top" wrapText="1"/>
    </xf>
    <xf numFmtId="0" fontId="58" fillId="0" borderId="21" xfId="0" applyFont="1" applyBorder="1" applyAlignment="1">
      <alignment horizontal="center" vertical="top" wrapText="1"/>
    </xf>
    <xf numFmtId="0" fontId="58" fillId="0" borderId="30" xfId="0" applyFont="1" applyBorder="1" applyAlignment="1">
      <alignment horizontal="center" vertical="top" wrapText="1"/>
    </xf>
    <xf numFmtId="0" fontId="72" fillId="0" borderId="86" xfId="0" applyFont="1" applyBorder="1" applyAlignment="1">
      <alignment horizontal="left" vertical="top" wrapText="1"/>
    </xf>
    <xf numFmtId="0" fontId="72" fillId="0" borderId="87" xfId="0" applyFont="1" applyBorder="1" applyAlignment="1">
      <alignment horizontal="left" vertical="top" wrapText="1"/>
    </xf>
    <xf numFmtId="0" fontId="63" fillId="0" borderId="1" xfId="0" applyFont="1" applyBorder="1" applyAlignment="1">
      <alignment horizontal="center" vertical="center" wrapText="1"/>
    </xf>
    <xf numFmtId="0" fontId="66" fillId="0" borderId="1" xfId="0" applyFont="1" applyBorder="1" applyAlignment="1">
      <alignment horizontal="center" vertical="center"/>
    </xf>
    <xf numFmtId="0" fontId="63" fillId="0" borderId="2" xfId="0" applyFont="1" applyBorder="1" applyAlignment="1">
      <alignment horizontal="center" vertical="center" wrapText="1"/>
    </xf>
  </cellXfs>
  <cellStyles count="22">
    <cellStyle name="=C:\WINNT35\SYSTEM32\COMMAND.COM" xfId="17" xr:uid="{6EE6FF9B-09EB-4DC4-9FD3-D45A0493571E}"/>
    <cellStyle name="1Normal 2" xfId="6" xr:uid="{29319911-5F78-45D6-ABD4-B5850D533338}"/>
    <cellStyle name="Comma" xfId="1" builtinId="3"/>
    <cellStyle name="Comma 10" xfId="18" xr:uid="{C71F1734-A77B-4698-99D9-D0EF4E83067B}"/>
    <cellStyle name="Comma 10 12" xfId="19" xr:uid="{2C54ABDA-1AD2-4BF2-8258-FC61BFF5433F}"/>
    <cellStyle name="Comma 111" xfId="21" xr:uid="{0F765B03-08D8-4F1F-98EE-AC85A90275E2}"/>
    <cellStyle name="Comma 2" xfId="15" xr:uid="{245C1E75-4B83-478A-9AF8-DBB5A774D26B}"/>
    <cellStyle name="Comma 3" xfId="10" xr:uid="{BA657C24-78D8-4F77-96AD-A075608CCE74}"/>
    <cellStyle name="Hyperlink" xfId="3" builtinId="8"/>
    <cellStyle name="Normal" xfId="0" builtinId="0"/>
    <cellStyle name="Normal 10 2" xfId="20" xr:uid="{312587FD-B2EC-435A-BE32-FB1862CF4427}"/>
    <cellStyle name="Normal 121 2" xfId="12" xr:uid="{92AAA737-C332-41A2-A7E3-22AAA537931C}"/>
    <cellStyle name="Normal 122" xfId="4" xr:uid="{F84E9188-F253-494B-BC0B-18183B1FE950}"/>
    <cellStyle name="Normal 123" xfId="7" xr:uid="{5793331D-F5F0-4C27-83E3-52E653AE405C}"/>
    <cellStyle name="Normal 2" xfId="5" xr:uid="{0FA0FE92-B96E-4592-B2D3-D11F22A467B8}"/>
    <cellStyle name="Normal 2 2" xfId="13" xr:uid="{17313F22-D7EC-42AC-B98A-20B55C9B588F}"/>
    <cellStyle name="Normal 4" xfId="11" xr:uid="{2A4F5328-F741-47C6-816A-99F682978F1D}"/>
    <cellStyle name="Normal_Capital &amp; RWA N" xfId="8" xr:uid="{56E6855F-9A0D-4BC5-A49D-31FFCDCE4120}"/>
    <cellStyle name="Normal_Capital &amp; RWA N 2" xfId="14" xr:uid="{0B39EDC1-3E46-4080-8AA4-E189226D8270}"/>
    <cellStyle name="Normal_Casestdy draft" xfId="16" xr:uid="{9EB35CDC-FD2D-4B79-97BA-DFA8FAEAEBB3}"/>
    <cellStyle name="Normal_Casestdy draft 2" xfId="9" xr:uid="{D939534E-C2D3-4F28-BA31-AA9409E2BB58}"/>
    <cellStyle name="Percent"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FF502792-B8C5-435A-A777-82828465E25F}"/>
            </a:ext>
          </a:extLst>
        </xdr:cNvPr>
        <xdr:cNvCxnSpPr/>
      </xdr:nvCxnSpPr>
      <xdr:spPr>
        <a:xfrm>
          <a:off x="704850" y="1162050"/>
          <a:ext cx="632460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87C1B-CEEA-456A-9FAB-39EE7C5FAEC8}">
  <dimension ref="A1:C35"/>
  <sheetViews>
    <sheetView zoomScaleNormal="85" workbookViewId="0">
      <pane xSplit="1" ySplit="7" topLeftCell="B17" activePane="bottomRight" state="frozen"/>
      <selection activeCell="I28" sqref="I28"/>
      <selection pane="topRight" activeCell="I28" sqref="I28"/>
      <selection pane="bottomLeft" activeCell="I28" sqref="I28"/>
      <selection pane="bottomRight" activeCell="C18" sqref="C18"/>
    </sheetView>
  </sheetViews>
  <sheetFormatPr defaultRowHeight="15" x14ac:dyDescent="0.25"/>
  <cols>
    <col min="1" max="1" width="10.28515625" style="20" customWidth="1"/>
    <col min="2" max="2" width="153" bestFit="1" customWidth="1"/>
    <col min="3" max="3" width="39.42578125" customWidth="1"/>
    <col min="7" max="7" width="62.140625" customWidth="1"/>
  </cols>
  <sheetData>
    <row r="1" spans="1:3" ht="15.75" x14ac:dyDescent="0.3">
      <c r="A1" s="1"/>
      <c r="B1" s="2" t="s">
        <v>0</v>
      </c>
      <c r="C1" s="3"/>
    </row>
    <row r="2" spans="1:3" s="7" customFormat="1" ht="15.75" x14ac:dyDescent="0.3">
      <c r="A2" s="4">
        <v>1</v>
      </c>
      <c r="B2" s="5" t="s">
        <v>1</v>
      </c>
      <c r="C2" s="6" t="s">
        <v>2</v>
      </c>
    </row>
    <row r="3" spans="1:3" s="7" customFormat="1" ht="15.75" x14ac:dyDescent="0.3">
      <c r="A3" s="4">
        <v>2</v>
      </c>
      <c r="B3" s="8" t="s">
        <v>3</v>
      </c>
      <c r="C3" s="6" t="s">
        <v>4</v>
      </c>
    </row>
    <row r="4" spans="1:3" s="7" customFormat="1" ht="40.5" customHeight="1" x14ac:dyDescent="0.3">
      <c r="A4" s="4">
        <v>3</v>
      </c>
      <c r="B4" s="8" t="s">
        <v>5</v>
      </c>
      <c r="C4" s="6" t="s">
        <v>6</v>
      </c>
    </row>
    <row r="5" spans="1:3" s="7" customFormat="1" ht="15.75" x14ac:dyDescent="0.3">
      <c r="A5" s="9">
        <v>4</v>
      </c>
      <c r="B5" s="10" t="s">
        <v>7</v>
      </c>
      <c r="C5" s="11" t="s">
        <v>8</v>
      </c>
    </row>
    <row r="6" spans="1:3" s="12" customFormat="1" ht="65.25" customHeight="1" x14ac:dyDescent="0.3">
      <c r="A6" s="775" t="s">
        <v>9</v>
      </c>
      <c r="B6" s="776"/>
      <c r="C6" s="776"/>
    </row>
    <row r="7" spans="1:3" x14ac:dyDescent="0.25">
      <c r="A7" s="13" t="s">
        <v>10</v>
      </c>
      <c r="B7" s="2" t="s">
        <v>11</v>
      </c>
    </row>
    <row r="8" spans="1:3" x14ac:dyDescent="0.25">
      <c r="A8" s="1">
        <v>1</v>
      </c>
      <c r="B8" s="14" t="s">
        <v>12</v>
      </c>
    </row>
    <row r="9" spans="1:3" x14ac:dyDescent="0.25">
      <c r="A9" s="1">
        <v>2</v>
      </c>
      <c r="B9" s="14" t="s">
        <v>13</v>
      </c>
    </row>
    <row r="10" spans="1:3" x14ac:dyDescent="0.25">
      <c r="A10" s="1">
        <v>3</v>
      </c>
      <c r="B10" s="14" t="s">
        <v>14</v>
      </c>
    </row>
    <row r="11" spans="1:3" x14ac:dyDescent="0.25">
      <c r="A11" s="1">
        <v>4</v>
      </c>
      <c r="B11" s="14" t="s">
        <v>15</v>
      </c>
    </row>
    <row r="12" spans="1:3" x14ac:dyDescent="0.25">
      <c r="A12" s="1">
        <v>5</v>
      </c>
      <c r="B12" s="14" t="s">
        <v>16</v>
      </c>
    </row>
    <row r="13" spans="1:3" x14ac:dyDescent="0.25">
      <c r="A13" s="1">
        <v>6</v>
      </c>
      <c r="B13" s="15" t="s">
        <v>17</v>
      </c>
    </row>
    <row r="14" spans="1:3" x14ac:dyDescent="0.25">
      <c r="A14" s="1">
        <v>7</v>
      </c>
      <c r="B14" s="14" t="s">
        <v>18</v>
      </c>
    </row>
    <row r="15" spans="1:3" x14ac:dyDescent="0.25">
      <c r="A15" s="1">
        <v>8</v>
      </c>
      <c r="B15" s="14" t="s">
        <v>19</v>
      </c>
    </row>
    <row r="16" spans="1:3" x14ac:dyDescent="0.25">
      <c r="A16" s="1">
        <v>9</v>
      </c>
      <c r="B16" s="14" t="s">
        <v>20</v>
      </c>
    </row>
    <row r="17" spans="1:2" x14ac:dyDescent="0.25">
      <c r="A17" s="16" t="s">
        <v>21</v>
      </c>
      <c r="B17" s="14" t="s">
        <v>22</v>
      </c>
    </row>
    <row r="18" spans="1:2" x14ac:dyDescent="0.25">
      <c r="A18" s="1">
        <v>10</v>
      </c>
      <c r="B18" s="14" t="s">
        <v>23</v>
      </c>
    </row>
    <row r="19" spans="1:2" x14ac:dyDescent="0.25">
      <c r="A19" s="1">
        <v>11</v>
      </c>
      <c r="B19" s="15" t="s">
        <v>24</v>
      </c>
    </row>
    <row r="20" spans="1:2" x14ac:dyDescent="0.25">
      <c r="A20" s="1">
        <v>12</v>
      </c>
      <c r="B20" s="15" t="s">
        <v>25</v>
      </c>
    </row>
    <row r="21" spans="1:2" x14ac:dyDescent="0.25">
      <c r="A21" s="1">
        <v>13</v>
      </c>
      <c r="B21" s="17" t="s">
        <v>26</v>
      </c>
    </row>
    <row r="22" spans="1:2" x14ac:dyDescent="0.25">
      <c r="A22" s="1">
        <v>14</v>
      </c>
      <c r="B22" s="18" t="s">
        <v>27</v>
      </c>
    </row>
    <row r="23" spans="1:2" x14ac:dyDescent="0.25">
      <c r="A23" s="1">
        <v>15</v>
      </c>
      <c r="B23" s="14" t="s">
        <v>28</v>
      </c>
    </row>
    <row r="24" spans="1:2" x14ac:dyDescent="0.25">
      <c r="A24" s="1">
        <v>15.1</v>
      </c>
      <c r="B24" s="14" t="s">
        <v>29</v>
      </c>
    </row>
    <row r="25" spans="1:2" x14ac:dyDescent="0.25">
      <c r="A25" s="1">
        <v>16</v>
      </c>
      <c r="B25" s="14" t="s">
        <v>30</v>
      </c>
    </row>
    <row r="26" spans="1:2" x14ac:dyDescent="0.25">
      <c r="A26" s="1">
        <v>17</v>
      </c>
      <c r="B26" s="14" t="s">
        <v>31</v>
      </c>
    </row>
    <row r="27" spans="1:2" x14ac:dyDescent="0.25">
      <c r="A27" s="1">
        <v>18</v>
      </c>
      <c r="B27" s="14" t="s">
        <v>32</v>
      </c>
    </row>
    <row r="28" spans="1:2" x14ac:dyDescent="0.25">
      <c r="A28" s="1">
        <v>19</v>
      </c>
      <c r="B28" s="14" t="s">
        <v>33</v>
      </c>
    </row>
    <row r="29" spans="1:2" x14ac:dyDescent="0.25">
      <c r="A29" s="1">
        <v>20</v>
      </c>
      <c r="B29" s="14" t="s">
        <v>34</v>
      </c>
    </row>
    <row r="30" spans="1:2" x14ac:dyDescent="0.25">
      <c r="A30" s="1">
        <v>21</v>
      </c>
      <c r="B30" s="14" t="s">
        <v>35</v>
      </c>
    </row>
    <row r="31" spans="1:2" x14ac:dyDescent="0.25">
      <c r="A31" s="1">
        <v>22</v>
      </c>
      <c r="B31" s="14" t="s">
        <v>36</v>
      </c>
    </row>
    <row r="32" spans="1:2" ht="25.5" x14ac:dyDescent="0.25">
      <c r="A32" s="1">
        <v>23</v>
      </c>
      <c r="B32" s="19" t="s">
        <v>37</v>
      </c>
    </row>
    <row r="33" spans="1:2" x14ac:dyDescent="0.25">
      <c r="A33" s="1">
        <v>24</v>
      </c>
      <c r="B33" s="14" t="s">
        <v>38</v>
      </c>
    </row>
    <row r="34" spans="1:2" x14ac:dyDescent="0.25">
      <c r="A34" s="1">
        <v>25</v>
      </c>
      <c r="B34" s="14" t="s">
        <v>39</v>
      </c>
    </row>
    <row r="35" spans="1:2" x14ac:dyDescent="0.25">
      <c r="A35" s="1">
        <v>26</v>
      </c>
      <c r="B35" s="14" t="s">
        <v>40</v>
      </c>
    </row>
  </sheetData>
  <mergeCells count="1">
    <mergeCell ref="A6:C6"/>
  </mergeCells>
  <hyperlinks>
    <hyperlink ref="B8" location="'1. key ratios'!A1" display="ცხრილი 1: ძირითადი მაჩვენებლები" xr:uid="{8532400D-82F9-4646-87A1-F5A95B867D88}"/>
    <hyperlink ref="B9" location="'2. SOFP'!A1" display="საბალანსო უწყისი" xr:uid="{46C403A5-9FD0-4169-88D7-67EDA7D83246}"/>
    <hyperlink ref="B10" location="'3. SOPL'!A1" display="მოგება-ზარალის ანგარიშგება" xr:uid="{2F0D1433-18EA-4F45-B7EF-83EF84EC746F}"/>
    <hyperlink ref="B11" location="'4. Off-Balance'!A1" display="ბალანსგარეშე ანგარიშების უწყისი " xr:uid="{907A4ED9-0179-490D-86B1-81B2DEAA42D7}"/>
    <hyperlink ref="B12" location="'5. RWA'!A1" display="ცხრილი 5: რისკის მიხედვით შეწონილი რისკის პოზიციები" xr:uid="{EA3F3A31-D5B6-4418-935A-27D29D0A661A}"/>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94065E62-BF52-477D-9A7B-F88917E89272}"/>
    <hyperlink ref="B13" location="'6. Administrators-shareholders'!A1" display="ინფორმაცია ბანკის სამეთვალყურეო საბჭოს, დირექტორატის და აქციონერთა შესახებ" xr:uid="{6A096552-693F-4A82-A6A1-4AA010581E7A}"/>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E613AEE7-C0BD-4D72-8183-7E660215CA19}"/>
    <hyperlink ref="B16" location="'9. Capital'!A1" display="ცხრილი 9: საზედამხედველო კაპიტალი" xr:uid="{6F567143-0497-4BC6-A8FB-8767B937120D}"/>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85718682-05CC-497E-82F1-CE14A30BF51D}"/>
    <hyperlink ref="B20" location="'12. CRM'!A1" display="საკრედიტო რისკის მიტიგაცია" xr:uid="{7CE93EDC-E7FF-4E9D-B076-C9D1A6E3F199}"/>
    <hyperlink ref="B19" location="'11. CRWA'!A1" display="საკრედიტო რისკის მიხედვით შეწონილი რისკის პოზიციები" xr:uid="{582913BA-6614-4918-9905-E36F74961F97}"/>
    <hyperlink ref="B21" location="'13. CRME'!A1" display="სტანდარტიზებული მიდგომა - საკრედიტო რისკი საკრედიტო რისკის მიტიგაციის ეფექტი" xr:uid="{BE88C1B4-A1C1-4820-868E-F0B1857C36E7}"/>
    <hyperlink ref="B23" location="'15. CCR'!A1" display="კონტრაგენტთან დაკავშირებული საკრედიტო რისკის მიხედვით შეწონილი რისკის პოზიციები" xr:uid="{B0C3949A-6F8F-440E-AE73-9CFB83941E88}"/>
    <hyperlink ref="B22" location="'14. LCR'!A1" display="ლიკვიდობის გადაფარვის კოეფიციენტი" xr:uid="{A7237CA2-5DFE-4741-8AC7-09C461FA4024}"/>
    <hyperlink ref="B17" location="'9.1. Capital Requirements'!A1" display="კაპიტალის ადეკვატურობის მოთხოვნები" xr:uid="{9521EAA4-3C5C-4D06-B841-893889A28244}"/>
    <hyperlink ref="B24" location="'15.1. LR'!A1" display="ლევერიჯის კოეფიციენტი" xr:uid="{59C7BF1D-AF92-4C63-BB22-C6118CED63D3}"/>
    <hyperlink ref="B25" location="'16. NSFR'!A1" display="წმინდა სტაბილური დაფინანსების კოეფიციენტი" xr:uid="{2D5D5468-1334-4DF3-9A68-F38F22022BE8}"/>
    <hyperlink ref="B26" location="' 17. Residual Maturity'!A1" display="რისკის პოზიციის ღირებულება ნარჩენი ვადიანობის  და რისკის კლასების მიხედვით" xr:uid="{06553CAE-3C08-4FE1-8A22-512F1FE68901}"/>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68AD7BC5-3A54-4EC9-BA06-9F32F16E13BB}"/>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D006EA6A-B8CA-43C3-80C8-F81A5C413D4A}"/>
    <hyperlink ref="B30" location="'21. NPL'!A1" display="უმოქმედო სესხების ცვლილება" xr:uid="{4DDFED28-CCF0-4ADA-B1A0-57F087463441}"/>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034B0135-5290-40F6-95E7-9B9380D8DC1A}"/>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3846D1A9-0E6E-4AF9-9DFA-5A0775839816}"/>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9AF636FE-8B86-46E5-AF0D-B047546BDCE8}"/>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ACF6301A-D012-4F3E-AC9C-E505EFEA5016}"/>
    <hyperlink ref="B29" location="'20. Reserves'!A1" display="რეზერვის ცვლილება სესხებზე და კორპორატიულ სავალო ფასიანი ქაღალდებზე" xr:uid="{7AB0C6C6-4FF1-4153-8D2B-07F8EFC0FD11}"/>
    <hyperlink ref="B35" location="'26. Retail Products'!A1" display="ზოგადი ინფორმაცია საცალო პროდუქტებზე" xr:uid="{029CCCEE-1374-435C-8009-C8757AD49241}"/>
    <hyperlink ref="C5" r:id="rId1" xr:uid="{6DC0C233-1FD2-4A84-9368-A5259C01B8F4}"/>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4260-D3A2-4FE1-A7FD-40324171EA9C}">
  <dimension ref="A1:F58"/>
  <sheetViews>
    <sheetView zoomScaleNormal="100" workbookViewId="0">
      <pane xSplit="1" ySplit="5" topLeftCell="B6" activePane="bottomRight" state="frozen"/>
      <selection activeCell="I28" sqref="I28"/>
      <selection pane="topRight" activeCell="I28" sqref="I28"/>
      <selection pane="bottomLeft" activeCell="I28" sqref="I28"/>
      <selection pane="bottomRight" activeCell="C1" sqref="C1:C1048576"/>
    </sheetView>
  </sheetViews>
  <sheetFormatPr defaultRowHeight="15" x14ac:dyDescent="0.25"/>
  <cols>
    <col min="1" max="1" width="9.5703125" style="20" bestFit="1" customWidth="1"/>
    <col min="2" max="2" width="132.42578125" style="20" customWidth="1"/>
    <col min="3" max="3" width="18.42578125" style="20" customWidth="1"/>
    <col min="5" max="5" width="13.7109375" style="237" bestFit="1" customWidth="1"/>
    <col min="6" max="6" width="14.42578125" bestFit="1" customWidth="1"/>
    <col min="7" max="7" width="10" customWidth="1"/>
  </cols>
  <sheetData>
    <row r="1" spans="1:6" ht="15.75" x14ac:dyDescent="0.3">
      <c r="A1" s="21" t="s">
        <v>41</v>
      </c>
      <c r="B1" s="23" t="str">
        <f>Info!C2</f>
        <v>სს სილქ ბანკი</v>
      </c>
      <c r="D1" s="20"/>
      <c r="E1" s="277"/>
      <c r="F1" s="20"/>
    </row>
    <row r="2" spans="1:6" s="21" customFormat="1" ht="15.75" customHeight="1" x14ac:dyDescent="0.3">
      <c r="A2" s="21" t="s">
        <v>42</v>
      </c>
      <c r="B2" s="24">
        <f>'1. key ratios'!B2</f>
        <v>45473</v>
      </c>
      <c r="E2" s="238"/>
    </row>
    <row r="3" spans="1:6" s="21" customFormat="1" ht="15.75" customHeight="1" x14ac:dyDescent="0.3">
      <c r="E3" s="238"/>
    </row>
    <row r="4" spans="1:6" ht="40.5" customHeight="1" thickBot="1" x14ac:dyDescent="0.3">
      <c r="A4" s="20" t="s">
        <v>306</v>
      </c>
      <c r="B4" s="278" t="s">
        <v>20</v>
      </c>
    </row>
    <row r="5" spans="1:6" x14ac:dyDescent="0.25">
      <c r="A5" s="279" t="s">
        <v>46</v>
      </c>
      <c r="B5" s="280"/>
      <c r="C5" s="281" t="s">
        <v>94</v>
      </c>
    </row>
    <row r="6" spans="1:6" x14ac:dyDescent="0.25">
      <c r="A6" s="282">
        <v>1</v>
      </c>
      <c r="B6" s="283" t="s">
        <v>307</v>
      </c>
      <c r="C6" s="284">
        <f>SUM(C7:C11)</f>
        <v>58864278.634895474</v>
      </c>
      <c r="E6" s="264"/>
    </row>
    <row r="7" spans="1:6" x14ac:dyDescent="0.25">
      <c r="A7" s="282">
        <v>2</v>
      </c>
      <c r="B7" s="285" t="s">
        <v>308</v>
      </c>
      <c r="C7" s="286">
        <f>'2. SOFP'!C55</f>
        <v>76211100</v>
      </c>
      <c r="E7" s="264"/>
    </row>
    <row r="8" spans="1:6" x14ac:dyDescent="0.25">
      <c r="A8" s="282">
        <v>3</v>
      </c>
      <c r="B8" s="287" t="s">
        <v>309</v>
      </c>
      <c r="C8" s="286"/>
      <c r="E8" s="264"/>
    </row>
    <row r="9" spans="1:6" x14ac:dyDescent="0.25">
      <c r="A9" s="282">
        <v>4</v>
      </c>
      <c r="B9" s="287" t="s">
        <v>310</v>
      </c>
      <c r="C9" s="286"/>
      <c r="E9" s="264"/>
    </row>
    <row r="10" spans="1:6" x14ac:dyDescent="0.25">
      <c r="A10" s="282">
        <v>5</v>
      </c>
      <c r="B10" s="287" t="s">
        <v>311</v>
      </c>
      <c r="C10" s="286">
        <f>'2. SOFP'!C64</f>
        <v>3615196.900470661</v>
      </c>
      <c r="E10" s="264"/>
    </row>
    <row r="11" spans="1:6" x14ac:dyDescent="0.25">
      <c r="A11" s="282">
        <v>6</v>
      </c>
      <c r="B11" s="288" t="s">
        <v>312</v>
      </c>
      <c r="C11" s="286">
        <f>'2. SOFP'!E67</f>
        <v>-20962018.265575189</v>
      </c>
      <c r="E11" s="264"/>
    </row>
    <row r="12" spans="1:6" s="223" customFormat="1" x14ac:dyDescent="0.25">
      <c r="A12" s="282">
        <v>7</v>
      </c>
      <c r="B12" s="283" t="s">
        <v>313</v>
      </c>
      <c r="C12" s="289">
        <f>SUM(C13:C28)</f>
        <v>5002970.5504706614</v>
      </c>
      <c r="E12" s="264"/>
    </row>
    <row r="13" spans="1:6" s="223" customFormat="1" x14ac:dyDescent="0.25">
      <c r="A13" s="282">
        <v>8</v>
      </c>
      <c r="B13" s="290" t="s">
        <v>314</v>
      </c>
      <c r="C13" s="291">
        <f>C10</f>
        <v>3615196.900470661</v>
      </c>
      <c r="E13" s="264"/>
    </row>
    <row r="14" spans="1:6" s="223" customFormat="1" ht="27" x14ac:dyDescent="0.25">
      <c r="A14" s="282">
        <v>9</v>
      </c>
      <c r="B14" s="292" t="s">
        <v>315</v>
      </c>
      <c r="C14" s="291"/>
      <c r="E14" s="264"/>
    </row>
    <row r="15" spans="1:6" s="223" customFormat="1" x14ac:dyDescent="0.25">
      <c r="A15" s="282">
        <v>10</v>
      </c>
      <c r="B15" s="293" t="s">
        <v>116</v>
      </c>
      <c r="C15" s="291">
        <f>'7. LI1'!C28</f>
        <v>1387773.6500000004</v>
      </c>
      <c r="E15" s="264"/>
    </row>
    <row r="16" spans="1:6" s="223" customFormat="1" x14ac:dyDescent="0.25">
      <c r="A16" s="282">
        <v>11</v>
      </c>
      <c r="B16" s="294" t="s">
        <v>316</v>
      </c>
      <c r="C16" s="291"/>
      <c r="E16" s="264"/>
    </row>
    <row r="17" spans="1:6" s="223" customFormat="1" x14ac:dyDescent="0.25">
      <c r="A17" s="282">
        <v>12</v>
      </c>
      <c r="B17" s="293" t="s">
        <v>317</v>
      </c>
      <c r="C17" s="291"/>
      <c r="E17" s="264"/>
    </row>
    <row r="18" spans="1:6" s="223" customFormat="1" x14ac:dyDescent="0.25">
      <c r="A18" s="282">
        <v>13</v>
      </c>
      <c r="B18" s="293" t="s">
        <v>318</v>
      </c>
      <c r="C18" s="291"/>
      <c r="E18" s="264"/>
    </row>
    <row r="19" spans="1:6" s="223" customFormat="1" x14ac:dyDescent="0.25">
      <c r="A19" s="282">
        <v>14</v>
      </c>
      <c r="B19" s="293" t="s">
        <v>319</v>
      </c>
      <c r="C19" s="291"/>
      <c r="E19" s="264"/>
    </row>
    <row r="20" spans="1:6" s="223" customFormat="1" ht="27" x14ac:dyDescent="0.25">
      <c r="A20" s="282">
        <v>15</v>
      </c>
      <c r="B20" s="293" t="s">
        <v>320</v>
      </c>
      <c r="C20" s="291"/>
      <c r="E20" s="264"/>
    </row>
    <row r="21" spans="1:6" s="223" customFormat="1" ht="27" x14ac:dyDescent="0.25">
      <c r="A21" s="282">
        <v>16</v>
      </c>
      <c r="B21" s="292" t="s">
        <v>321</v>
      </c>
      <c r="C21" s="291"/>
      <c r="E21" s="264"/>
    </row>
    <row r="22" spans="1:6" s="223" customFormat="1" x14ac:dyDescent="0.25">
      <c r="A22" s="282">
        <v>17</v>
      </c>
      <c r="B22" s="295" t="s">
        <v>322</v>
      </c>
      <c r="C22" s="291"/>
      <c r="E22" s="264"/>
    </row>
    <row r="23" spans="1:6" s="223" customFormat="1" x14ac:dyDescent="0.25">
      <c r="A23" s="282">
        <v>18</v>
      </c>
      <c r="B23" s="296" t="s">
        <v>323</v>
      </c>
      <c r="C23" s="291"/>
      <c r="E23" s="264"/>
    </row>
    <row r="24" spans="1:6" s="223" customFormat="1" ht="27" x14ac:dyDescent="0.25">
      <c r="A24" s="282">
        <v>19</v>
      </c>
      <c r="B24" s="292" t="s">
        <v>324</v>
      </c>
      <c r="C24" s="291"/>
      <c r="E24" s="264"/>
    </row>
    <row r="25" spans="1:6" s="223" customFormat="1" ht="27" x14ac:dyDescent="0.25">
      <c r="A25" s="282">
        <v>20</v>
      </c>
      <c r="B25" s="292" t="s">
        <v>325</v>
      </c>
      <c r="C25" s="291"/>
      <c r="E25" s="264"/>
    </row>
    <row r="26" spans="1:6" s="223" customFormat="1" ht="27" x14ac:dyDescent="0.25">
      <c r="A26" s="282">
        <v>21</v>
      </c>
      <c r="B26" s="294" t="s">
        <v>326</v>
      </c>
      <c r="C26" s="291"/>
      <c r="E26" s="264"/>
    </row>
    <row r="27" spans="1:6" s="223" customFormat="1" x14ac:dyDescent="0.25">
      <c r="A27" s="282">
        <v>22</v>
      </c>
      <c r="B27" s="294" t="s">
        <v>327</v>
      </c>
      <c r="C27" s="291"/>
      <c r="E27" s="264"/>
    </row>
    <row r="28" spans="1:6" s="223" customFormat="1" ht="27" x14ac:dyDescent="0.25">
      <c r="A28" s="282">
        <v>23</v>
      </c>
      <c r="B28" s="294" t="s">
        <v>328</v>
      </c>
      <c r="C28" s="291"/>
      <c r="E28" s="264"/>
    </row>
    <row r="29" spans="1:6" s="223" customFormat="1" x14ac:dyDescent="0.25">
      <c r="A29" s="282">
        <v>24</v>
      </c>
      <c r="B29" s="297" t="s">
        <v>53</v>
      </c>
      <c r="C29" s="289">
        <f>C6-C12</f>
        <v>53861308.084424809</v>
      </c>
      <c r="E29" s="264"/>
      <c r="F29" s="298"/>
    </row>
    <row r="30" spans="1:6" s="223" customFormat="1" x14ac:dyDescent="0.25">
      <c r="A30" s="299"/>
      <c r="B30" s="300"/>
      <c r="C30" s="291"/>
      <c r="E30" s="264"/>
    </row>
    <row r="31" spans="1:6" s="223" customFormat="1" x14ac:dyDescent="0.25">
      <c r="A31" s="299">
        <v>25</v>
      </c>
      <c r="B31" s="297" t="s">
        <v>329</v>
      </c>
      <c r="C31" s="289">
        <f>C32+C35</f>
        <v>0</v>
      </c>
      <c r="E31" s="264"/>
    </row>
    <row r="32" spans="1:6" s="223" customFormat="1" x14ac:dyDescent="0.25">
      <c r="A32" s="299">
        <v>26</v>
      </c>
      <c r="B32" s="287" t="s">
        <v>330</v>
      </c>
      <c r="C32" s="301">
        <f>C33+C34</f>
        <v>0</v>
      </c>
      <c r="E32" s="264"/>
    </row>
    <row r="33" spans="1:5" s="223" customFormat="1" x14ac:dyDescent="0.25">
      <c r="A33" s="299">
        <v>27</v>
      </c>
      <c r="B33" s="302" t="s">
        <v>331</v>
      </c>
      <c r="C33" s="291"/>
      <c r="E33" s="264"/>
    </row>
    <row r="34" spans="1:5" s="223" customFormat="1" x14ac:dyDescent="0.25">
      <c r="A34" s="299">
        <v>28</v>
      </c>
      <c r="B34" s="302" t="s">
        <v>332</v>
      </c>
      <c r="C34" s="291"/>
      <c r="E34" s="264"/>
    </row>
    <row r="35" spans="1:5" s="223" customFormat="1" x14ac:dyDescent="0.25">
      <c r="A35" s="299">
        <v>29</v>
      </c>
      <c r="B35" s="287" t="s">
        <v>333</v>
      </c>
      <c r="C35" s="291"/>
      <c r="E35" s="264"/>
    </row>
    <row r="36" spans="1:5" s="223" customFormat="1" x14ac:dyDescent="0.25">
      <c r="A36" s="299">
        <v>30</v>
      </c>
      <c r="B36" s="297" t="s">
        <v>334</v>
      </c>
      <c r="C36" s="289">
        <f>SUM(C37:C41)</f>
        <v>0</v>
      </c>
      <c r="E36" s="264"/>
    </row>
    <row r="37" spans="1:5" s="223" customFormat="1" x14ac:dyDescent="0.25">
      <c r="A37" s="299">
        <v>31</v>
      </c>
      <c r="B37" s="292" t="s">
        <v>335</v>
      </c>
      <c r="C37" s="291"/>
      <c r="E37" s="264"/>
    </row>
    <row r="38" spans="1:5" s="223" customFormat="1" x14ac:dyDescent="0.25">
      <c r="A38" s="299">
        <v>32</v>
      </c>
      <c r="B38" s="293" t="s">
        <v>336</v>
      </c>
      <c r="C38" s="291"/>
      <c r="E38" s="264"/>
    </row>
    <row r="39" spans="1:5" s="223" customFormat="1" ht="27" x14ac:dyDescent="0.25">
      <c r="A39" s="299">
        <v>33</v>
      </c>
      <c r="B39" s="292" t="s">
        <v>337</v>
      </c>
      <c r="C39" s="291"/>
      <c r="E39" s="264"/>
    </row>
    <row r="40" spans="1:5" s="223" customFormat="1" ht="27" x14ac:dyDescent="0.25">
      <c r="A40" s="299">
        <v>34</v>
      </c>
      <c r="B40" s="292" t="s">
        <v>325</v>
      </c>
      <c r="C40" s="291"/>
      <c r="E40" s="264"/>
    </row>
    <row r="41" spans="1:5" s="223" customFormat="1" ht="27" x14ac:dyDescent="0.25">
      <c r="A41" s="299">
        <v>35</v>
      </c>
      <c r="B41" s="294" t="s">
        <v>338</v>
      </c>
      <c r="C41" s="291"/>
      <c r="E41" s="264"/>
    </row>
    <row r="42" spans="1:5" s="223" customFormat="1" x14ac:dyDescent="0.25">
      <c r="A42" s="299">
        <v>36</v>
      </c>
      <c r="B42" s="297" t="s">
        <v>339</v>
      </c>
      <c r="C42" s="289">
        <f>C31-C36</f>
        <v>0</v>
      </c>
      <c r="E42" s="264"/>
    </row>
    <row r="43" spans="1:5" s="223" customFormat="1" x14ac:dyDescent="0.25">
      <c r="A43" s="299"/>
      <c r="B43" s="300"/>
      <c r="C43" s="291"/>
      <c r="E43" s="264"/>
    </row>
    <row r="44" spans="1:5" s="223" customFormat="1" x14ac:dyDescent="0.25">
      <c r="A44" s="299">
        <v>37</v>
      </c>
      <c r="B44" s="303" t="s">
        <v>340</v>
      </c>
      <c r="C44" s="289">
        <f>SUM(C45:C47)</f>
        <v>0</v>
      </c>
      <c r="E44" s="264"/>
    </row>
    <row r="45" spans="1:5" s="223" customFormat="1" x14ac:dyDescent="0.25">
      <c r="A45" s="299">
        <v>38</v>
      </c>
      <c r="B45" s="287" t="s">
        <v>341</v>
      </c>
      <c r="C45" s="291">
        <v>0</v>
      </c>
      <c r="E45" s="264"/>
    </row>
    <row r="46" spans="1:5" s="223" customFormat="1" x14ac:dyDescent="0.25">
      <c r="A46" s="299">
        <v>39</v>
      </c>
      <c r="B46" s="287" t="s">
        <v>342</v>
      </c>
      <c r="C46" s="291"/>
      <c r="E46" s="264"/>
    </row>
    <row r="47" spans="1:5" s="223" customFormat="1" x14ac:dyDescent="0.25">
      <c r="A47" s="299">
        <v>40</v>
      </c>
      <c r="B47" s="763" t="s">
        <v>343</v>
      </c>
      <c r="C47" s="291"/>
      <c r="E47" s="264"/>
    </row>
    <row r="48" spans="1:5" s="223" customFormat="1" x14ac:dyDescent="0.25">
      <c r="A48" s="299">
        <v>41</v>
      </c>
      <c r="B48" s="303" t="s">
        <v>344</v>
      </c>
      <c r="C48" s="289">
        <f>SUM(C49:C52)</f>
        <v>0</v>
      </c>
      <c r="E48" s="264"/>
    </row>
    <row r="49" spans="1:5" s="223" customFormat="1" x14ac:dyDescent="0.25">
      <c r="A49" s="299">
        <v>42</v>
      </c>
      <c r="B49" s="292" t="s">
        <v>345</v>
      </c>
      <c r="C49" s="291"/>
      <c r="E49" s="264"/>
    </row>
    <row r="50" spans="1:5" s="223" customFormat="1" x14ac:dyDescent="0.25">
      <c r="A50" s="299">
        <v>43</v>
      </c>
      <c r="B50" s="293" t="s">
        <v>346</v>
      </c>
      <c r="C50" s="291"/>
      <c r="E50" s="264"/>
    </row>
    <row r="51" spans="1:5" s="223" customFormat="1" ht="27" x14ac:dyDescent="0.25">
      <c r="A51" s="299">
        <v>44</v>
      </c>
      <c r="B51" s="292" t="s">
        <v>347</v>
      </c>
      <c r="C51" s="291"/>
      <c r="E51" s="264"/>
    </row>
    <row r="52" spans="1:5" s="223" customFormat="1" ht="27" x14ac:dyDescent="0.25">
      <c r="A52" s="299">
        <v>45</v>
      </c>
      <c r="B52" s="292" t="s">
        <v>325</v>
      </c>
      <c r="C52" s="291"/>
      <c r="E52" s="264"/>
    </row>
    <row r="53" spans="1:5" s="223" customFormat="1" ht="15.75" thickBot="1" x14ac:dyDescent="0.3">
      <c r="A53" s="299">
        <v>46</v>
      </c>
      <c r="B53" s="304" t="s">
        <v>348</v>
      </c>
      <c r="C53" s="305">
        <f>C44-C48</f>
        <v>0</v>
      </c>
      <c r="E53" s="264"/>
    </row>
    <row r="55" spans="1:5" x14ac:dyDescent="0.25">
      <c r="C55" s="306"/>
    </row>
    <row r="56" spans="1:5" x14ac:dyDescent="0.25">
      <c r="B56" s="20" t="s">
        <v>349</v>
      </c>
      <c r="C56" s="307"/>
    </row>
    <row r="57" spans="1:5" x14ac:dyDescent="0.25">
      <c r="C57" s="307"/>
    </row>
    <row r="58" spans="1:5" x14ac:dyDescent="0.25">
      <c r="C58" s="308"/>
    </row>
  </sheetData>
  <dataValidations count="1">
    <dataValidation operator="lessThanOrEqual" allowBlank="1" showInputMessage="1" showErrorMessage="1" errorTitle="Should be negative number" error="Should be whole negative number or 0" sqref="C13:C53" xr:uid="{CC15E3B2-EA17-4D93-A8CA-7B2389811CAE}"/>
  </dataValidations>
  <pageMargins left="0.7" right="0.7" top="0.75" bottom="0.75" header="0.3" footer="0.3"/>
  <pageSetup paperSize="0" orientation="portrait" horizontalDpi="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D0D8B-62FE-489B-AAAA-6C48ADDE623F}">
  <dimension ref="A1:D23"/>
  <sheetViews>
    <sheetView workbookViewId="0">
      <selection activeCell="C1" sqref="C1:D1048576"/>
    </sheetView>
  </sheetViews>
  <sheetFormatPr defaultColWidth="9.140625" defaultRowHeight="13.5" x14ac:dyDescent="0.25"/>
  <cols>
    <col min="1" max="1" width="10.85546875" style="20" bestFit="1" customWidth="1"/>
    <col min="2" max="2" width="59" style="20" customWidth="1"/>
    <col min="3" max="3" width="16.7109375" style="20" bestFit="1" customWidth="1"/>
    <col min="4" max="4" width="22.140625" style="20" customWidth="1"/>
    <col min="5" max="16384" width="9.140625" style="20"/>
  </cols>
  <sheetData>
    <row r="1" spans="1:4" ht="15" x14ac:dyDescent="0.3">
      <c r="A1" s="21" t="s">
        <v>41</v>
      </c>
      <c r="B1" s="23" t="str">
        <f>Info!C2</f>
        <v>სს სილქ ბანკი</v>
      </c>
    </row>
    <row r="2" spans="1:4" s="21" customFormat="1" ht="15.75" customHeight="1" x14ac:dyDescent="0.3">
      <c r="A2" s="21" t="s">
        <v>42</v>
      </c>
      <c r="B2" s="24">
        <f>'1. key ratios'!B2</f>
        <v>45473</v>
      </c>
    </row>
    <row r="3" spans="1:4" s="21" customFormat="1" ht="15.75" customHeight="1" x14ac:dyDescent="0.3"/>
    <row r="4" spans="1:4" ht="40.5" customHeight="1" thickBot="1" x14ac:dyDescent="0.3">
      <c r="A4" s="20" t="s">
        <v>350</v>
      </c>
      <c r="B4" s="309" t="s">
        <v>22</v>
      </c>
    </row>
    <row r="5" spans="1:4" s="275" customFormat="1" x14ac:dyDescent="0.25">
      <c r="A5" s="816" t="s">
        <v>351</v>
      </c>
      <c r="B5" s="817"/>
      <c r="C5" s="310" t="s">
        <v>352</v>
      </c>
      <c r="D5" s="311" t="s">
        <v>353</v>
      </c>
    </row>
    <row r="6" spans="1:4" s="315" customFormat="1" x14ac:dyDescent="0.25">
      <c r="A6" s="312">
        <v>1</v>
      </c>
      <c r="B6" s="313" t="s">
        <v>354</v>
      </c>
      <c r="C6" s="313"/>
      <c r="D6" s="314"/>
    </row>
    <row r="7" spans="1:4" s="315" customFormat="1" x14ac:dyDescent="0.25">
      <c r="A7" s="316" t="s">
        <v>355</v>
      </c>
      <c r="B7" s="317" t="s">
        <v>356</v>
      </c>
      <c r="C7" s="318">
        <v>4.4999999999999998E-2</v>
      </c>
      <c r="D7" s="319">
        <v>7034128.0291678468</v>
      </c>
    </row>
    <row r="8" spans="1:4" s="315" customFormat="1" x14ac:dyDescent="0.25">
      <c r="A8" s="316" t="s">
        <v>357</v>
      </c>
      <c r="B8" s="317" t="s">
        <v>358</v>
      </c>
      <c r="C8" s="318">
        <v>0.06</v>
      </c>
      <c r="D8" s="319">
        <v>9378837.3722237945</v>
      </c>
    </row>
    <row r="9" spans="1:4" s="315" customFormat="1" x14ac:dyDescent="0.25">
      <c r="A9" s="316" t="s">
        <v>359</v>
      </c>
      <c r="B9" s="317" t="s">
        <v>360</v>
      </c>
      <c r="C9" s="318">
        <v>0.08</v>
      </c>
      <c r="D9" s="319">
        <v>12505116.496298395</v>
      </c>
    </row>
    <row r="10" spans="1:4" s="315" customFormat="1" x14ac:dyDescent="0.25">
      <c r="A10" s="312" t="s">
        <v>361</v>
      </c>
      <c r="B10" s="313" t="s">
        <v>362</v>
      </c>
      <c r="C10" s="320">
        <v>2.75E-2</v>
      </c>
      <c r="D10" s="769">
        <v>4298633.7956025731</v>
      </c>
    </row>
    <row r="11" spans="1:4" s="325" customFormat="1" x14ac:dyDescent="0.25">
      <c r="A11" s="321" t="s">
        <v>363</v>
      </c>
      <c r="B11" s="322" t="s">
        <v>364</v>
      </c>
      <c r="C11" s="323">
        <v>2.5000000000000001E-2</v>
      </c>
      <c r="D11" s="324">
        <v>3907848.9050932485</v>
      </c>
    </row>
    <row r="12" spans="1:4" s="325" customFormat="1" x14ac:dyDescent="0.25">
      <c r="A12" s="321" t="s">
        <v>365</v>
      </c>
      <c r="B12" s="322" t="s">
        <v>366</v>
      </c>
      <c r="C12" s="323">
        <v>2.5000000000000001E-3</v>
      </c>
      <c r="D12" s="324">
        <v>390784.89050932485</v>
      </c>
    </row>
    <row r="13" spans="1:4" s="325" customFormat="1" x14ac:dyDescent="0.25">
      <c r="A13" s="321" t="s">
        <v>367</v>
      </c>
      <c r="B13" s="322" t="s">
        <v>368</v>
      </c>
      <c r="C13" s="323">
        <v>0</v>
      </c>
      <c r="D13" s="324">
        <v>0</v>
      </c>
    </row>
    <row r="14" spans="1:4" s="315" customFormat="1" x14ac:dyDescent="0.25">
      <c r="A14" s="312" t="s">
        <v>369</v>
      </c>
      <c r="B14" s="313" t="s">
        <v>370</v>
      </c>
      <c r="C14" s="326"/>
      <c r="D14" s="327"/>
    </row>
    <row r="15" spans="1:4" s="315" customFormat="1" x14ac:dyDescent="0.25">
      <c r="A15" s="328" t="s">
        <v>371</v>
      </c>
      <c r="B15" s="322" t="s">
        <v>372</v>
      </c>
      <c r="C15" s="323">
        <v>9.2234327292906038E-2</v>
      </c>
      <c r="D15" s="324">
        <v>14417512.596943807</v>
      </c>
    </row>
    <row r="16" spans="1:4" s="315" customFormat="1" x14ac:dyDescent="0.25">
      <c r="A16" s="328" t="s">
        <v>373</v>
      </c>
      <c r="B16" s="322" t="s">
        <v>374</v>
      </c>
      <c r="C16" s="323">
        <v>0.11498220445828794</v>
      </c>
      <c r="D16" s="324">
        <v>17973323.271901142</v>
      </c>
    </row>
    <row r="17" spans="1:4" s="315" customFormat="1" x14ac:dyDescent="0.25">
      <c r="A17" s="328" t="s">
        <v>375</v>
      </c>
      <c r="B17" s="322" t="s">
        <v>376</v>
      </c>
      <c r="C17" s="323">
        <v>0.14491362178115888</v>
      </c>
      <c r="D17" s="324">
        <v>22652021.528423954</v>
      </c>
    </row>
    <row r="18" spans="1:4" s="275" customFormat="1" x14ac:dyDescent="0.25">
      <c r="A18" s="818" t="s">
        <v>377</v>
      </c>
      <c r="B18" s="819"/>
      <c r="C18" s="329" t="s">
        <v>352</v>
      </c>
      <c r="D18" s="330" t="s">
        <v>353</v>
      </c>
    </row>
    <row r="19" spans="1:4" s="315" customFormat="1" x14ac:dyDescent="0.25">
      <c r="A19" s="331">
        <v>4</v>
      </c>
      <c r="B19" s="322" t="s">
        <v>53</v>
      </c>
      <c r="C19" s="323">
        <v>0.16473432729290605</v>
      </c>
      <c r="D19" s="319">
        <v>25750274.421714228</v>
      </c>
    </row>
    <row r="20" spans="1:4" s="315" customFormat="1" x14ac:dyDescent="0.25">
      <c r="A20" s="331">
        <v>5</v>
      </c>
      <c r="B20" s="322" t="s">
        <v>54</v>
      </c>
      <c r="C20" s="323">
        <v>0.20248220445828793</v>
      </c>
      <c r="D20" s="319">
        <v>31650794.439727508</v>
      </c>
    </row>
    <row r="21" spans="1:4" s="315" customFormat="1" ht="14.25" thickBot="1" x14ac:dyDescent="0.3">
      <c r="A21" s="332" t="s">
        <v>378</v>
      </c>
      <c r="B21" s="333" t="s">
        <v>20</v>
      </c>
      <c r="C21" s="334">
        <v>0.25241362178115889</v>
      </c>
      <c r="D21" s="335">
        <v>39455771.82032492</v>
      </c>
    </row>
    <row r="22" spans="1:4" x14ac:dyDescent="0.25">
      <c r="B22" s="210"/>
    </row>
    <row r="23" spans="1:4" ht="67.5" x14ac:dyDescent="0.25">
      <c r="B23" s="109" t="s">
        <v>379</v>
      </c>
    </row>
  </sheetData>
  <mergeCells count="2">
    <mergeCell ref="A5:B5"/>
    <mergeCell ref="A18:B18"/>
  </mergeCells>
  <conditionalFormatting sqref="C21">
    <cfRule type="cellIs" dxfId="23"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7B83D-8EF2-464D-91DB-45B7DC630373}">
  <dimension ref="A1:E72"/>
  <sheetViews>
    <sheetView zoomScaleNormal="100" workbookViewId="0">
      <pane xSplit="1" ySplit="5" topLeftCell="B58" activePane="bottomRight" state="frozen"/>
      <selection activeCell="I28" sqref="I28"/>
      <selection pane="topRight" activeCell="I28" sqref="I28"/>
      <selection pane="bottomLeft" activeCell="I28" sqref="I28"/>
      <selection pane="bottomRight" activeCell="C76" sqref="C76"/>
    </sheetView>
  </sheetViews>
  <sheetFormatPr defaultRowHeight="15.75" x14ac:dyDescent="0.3"/>
  <cols>
    <col min="1" max="1" width="10.7109375" style="336" customWidth="1"/>
    <col min="2" max="2" width="91.85546875" style="336" customWidth="1"/>
    <col min="3" max="3" width="53.140625" style="336" customWidth="1"/>
    <col min="4" max="4" width="24" style="336" customWidth="1"/>
    <col min="5" max="5" width="9.42578125" customWidth="1"/>
  </cols>
  <sheetData>
    <row r="1" spans="1:5" x14ac:dyDescent="0.3">
      <c r="A1" s="21" t="s">
        <v>41</v>
      </c>
      <c r="B1" s="108" t="str">
        <f>Info!C2</f>
        <v>სს სილქ ბანკი</v>
      </c>
      <c r="E1" s="20"/>
    </row>
    <row r="2" spans="1:5" s="21" customFormat="1" ht="15.75" customHeight="1" x14ac:dyDescent="0.3">
      <c r="A2" s="21" t="s">
        <v>42</v>
      </c>
      <c r="B2" s="24">
        <f>'1. key ratios'!B2</f>
        <v>45473</v>
      </c>
    </row>
    <row r="3" spans="1:5" s="21" customFormat="1" ht="15.75" customHeight="1" x14ac:dyDescent="0.3">
      <c r="A3" s="337"/>
    </row>
    <row r="4" spans="1:5" s="21" customFormat="1" ht="40.5" customHeight="1" thickBot="1" x14ac:dyDescent="0.35">
      <c r="A4" s="21" t="s">
        <v>380</v>
      </c>
      <c r="B4" s="338" t="s">
        <v>23</v>
      </c>
      <c r="D4" s="339" t="s">
        <v>238</v>
      </c>
    </row>
    <row r="5" spans="1:5" ht="27" x14ac:dyDescent="0.25">
      <c r="A5" s="340" t="s">
        <v>46</v>
      </c>
      <c r="B5" s="341" t="s">
        <v>289</v>
      </c>
      <c r="C5" s="342" t="s">
        <v>381</v>
      </c>
      <c r="D5" s="343" t="s">
        <v>382</v>
      </c>
    </row>
    <row r="6" spans="1:5" x14ac:dyDescent="0.3">
      <c r="A6" s="119">
        <v>1</v>
      </c>
      <c r="B6" s="120" t="s">
        <v>98</v>
      </c>
      <c r="C6" s="344">
        <f>SUM(C7:C9)</f>
        <v>60851566.14081157</v>
      </c>
      <c r="D6" s="345"/>
      <c r="E6" s="346"/>
    </row>
    <row r="7" spans="1:5" x14ac:dyDescent="0.3">
      <c r="A7" s="119">
        <v>1.1000000000000001</v>
      </c>
      <c r="B7" s="123" t="s">
        <v>99</v>
      </c>
      <c r="C7" s="347">
        <f>'7. LI1'!E9</f>
        <v>3446412.4000000027</v>
      </c>
      <c r="D7" s="348"/>
      <c r="E7" s="346"/>
    </row>
    <row r="8" spans="1:5" x14ac:dyDescent="0.3">
      <c r="A8" s="119">
        <v>1.2</v>
      </c>
      <c r="B8" s="123" t="s">
        <v>100</v>
      </c>
      <c r="C8" s="347">
        <f>'7. LI1'!E10</f>
        <v>4064540.6100000027</v>
      </c>
      <c r="D8" s="348"/>
      <c r="E8" s="346"/>
    </row>
    <row r="9" spans="1:5" x14ac:dyDescent="0.3">
      <c r="A9" s="119">
        <v>1.3</v>
      </c>
      <c r="B9" s="123" t="s">
        <v>101</v>
      </c>
      <c r="C9" s="347">
        <f>'7. LI1'!E11</f>
        <v>53340613.130811565</v>
      </c>
      <c r="D9" s="348"/>
      <c r="E9" s="346"/>
    </row>
    <row r="10" spans="1:5" x14ac:dyDescent="0.3">
      <c r="A10" s="119">
        <v>2</v>
      </c>
      <c r="B10" s="125" t="s">
        <v>102</v>
      </c>
      <c r="C10" s="347">
        <f>'7. LI1'!E12</f>
        <v>130815.54650862557</v>
      </c>
      <c r="D10" s="348"/>
      <c r="E10" s="346"/>
    </row>
    <row r="11" spans="1:5" x14ac:dyDescent="0.3">
      <c r="A11" s="119">
        <v>2.1</v>
      </c>
      <c r="B11" s="126" t="s">
        <v>103</v>
      </c>
      <c r="C11" s="347">
        <f>'7. LI1'!E13</f>
        <v>130815.54650862557</v>
      </c>
      <c r="D11" s="349"/>
      <c r="E11" s="350"/>
    </row>
    <row r="12" spans="1:5" ht="23.45" customHeight="1" x14ac:dyDescent="0.3">
      <c r="A12" s="119">
        <v>3</v>
      </c>
      <c r="B12" s="127" t="s">
        <v>104</v>
      </c>
      <c r="C12" s="347">
        <f>'7. LI1'!E14</f>
        <v>0</v>
      </c>
      <c r="D12" s="349"/>
      <c r="E12" s="350"/>
    </row>
    <row r="13" spans="1:5" ht="23.1" customHeight="1" x14ac:dyDescent="0.3">
      <c r="A13" s="119">
        <v>4</v>
      </c>
      <c r="B13" s="128" t="s">
        <v>105</v>
      </c>
      <c r="C13" s="347">
        <f>'7. LI1'!E15</f>
        <v>0</v>
      </c>
      <c r="D13" s="349"/>
      <c r="E13" s="350"/>
    </row>
    <row r="14" spans="1:5" x14ac:dyDescent="0.3">
      <c r="A14" s="119">
        <v>5</v>
      </c>
      <c r="B14" s="128" t="s">
        <v>106</v>
      </c>
      <c r="C14" s="351">
        <f>SUM(C15:C17)</f>
        <v>20000</v>
      </c>
      <c r="D14" s="349"/>
      <c r="E14" s="350"/>
    </row>
    <row r="15" spans="1:5" x14ac:dyDescent="0.3">
      <c r="A15" s="119">
        <v>5.0999999999999996</v>
      </c>
      <c r="B15" s="131" t="s">
        <v>107</v>
      </c>
      <c r="C15" s="347">
        <f>'7. LI1'!E17</f>
        <v>20000</v>
      </c>
      <c r="D15" s="349"/>
      <c r="E15" s="346"/>
    </row>
    <row r="16" spans="1:5" x14ac:dyDescent="0.3">
      <c r="A16" s="119">
        <v>5.2</v>
      </c>
      <c r="B16" s="131" t="s">
        <v>108</v>
      </c>
      <c r="C16" s="347">
        <f>'7. LI1'!E18</f>
        <v>0</v>
      </c>
      <c r="D16" s="348"/>
      <c r="E16" s="346"/>
    </row>
    <row r="17" spans="1:5" x14ac:dyDescent="0.3">
      <c r="A17" s="119">
        <v>5.3</v>
      </c>
      <c r="B17" s="131" t="s">
        <v>109</v>
      </c>
      <c r="C17" s="347">
        <f>'7. LI1'!E19</f>
        <v>0</v>
      </c>
      <c r="D17" s="348"/>
      <c r="E17" s="346"/>
    </row>
    <row r="18" spans="1:5" x14ac:dyDescent="0.3">
      <c r="A18" s="119">
        <v>6</v>
      </c>
      <c r="B18" s="127" t="s">
        <v>110</v>
      </c>
      <c r="C18" s="352">
        <f>SUM(C19:C20)</f>
        <v>112695397.55445398</v>
      </c>
      <c r="D18" s="348"/>
      <c r="E18" s="346"/>
    </row>
    <row r="19" spans="1:5" x14ac:dyDescent="0.3">
      <c r="A19" s="119">
        <v>6.1</v>
      </c>
      <c r="B19" s="131" t="s">
        <v>108</v>
      </c>
      <c r="C19" s="353">
        <f>'7. LI1'!C21</f>
        <v>26773268.061655898</v>
      </c>
      <c r="D19" s="348"/>
      <c r="E19" s="346"/>
    </row>
    <row r="20" spans="1:5" x14ac:dyDescent="0.3">
      <c r="A20" s="119">
        <v>6.2</v>
      </c>
      <c r="B20" s="131" t="s">
        <v>109</v>
      </c>
      <c r="C20" s="353">
        <f>'7. LI1'!C22</f>
        <v>85922129.49279809</v>
      </c>
      <c r="D20" s="348"/>
      <c r="E20" s="346"/>
    </row>
    <row r="21" spans="1:5" x14ac:dyDescent="0.3">
      <c r="A21" s="119">
        <v>7</v>
      </c>
      <c r="B21" s="143" t="s">
        <v>111</v>
      </c>
      <c r="C21" s="351"/>
      <c r="D21" s="348"/>
      <c r="E21" s="346"/>
    </row>
    <row r="22" spans="1:5" x14ac:dyDescent="0.3">
      <c r="A22" s="119">
        <v>8</v>
      </c>
      <c r="B22" s="354" t="s">
        <v>112</v>
      </c>
      <c r="C22" s="352">
        <f>'7. LI1'!E24</f>
        <v>3405446.1870027352</v>
      </c>
      <c r="D22" s="348"/>
      <c r="E22" s="346"/>
    </row>
    <row r="23" spans="1:5" x14ac:dyDescent="0.3">
      <c r="A23" s="119">
        <v>9</v>
      </c>
      <c r="B23" s="128" t="s">
        <v>113</v>
      </c>
      <c r="C23" s="352">
        <f>SUM(C24:C25)</f>
        <v>16937598.419214901</v>
      </c>
      <c r="D23" s="355"/>
      <c r="E23" s="346"/>
    </row>
    <row r="24" spans="1:5" x14ac:dyDescent="0.3">
      <c r="A24" s="119">
        <v>9.1</v>
      </c>
      <c r="B24" s="134" t="s">
        <v>114</v>
      </c>
      <c r="C24" s="356">
        <f>'7. LI1'!E26</f>
        <v>16937598.419214901</v>
      </c>
      <c r="D24" s="357"/>
      <c r="E24" s="346"/>
    </row>
    <row r="25" spans="1:5" x14ac:dyDescent="0.3">
      <c r="A25" s="119">
        <v>9.1999999999999993</v>
      </c>
      <c r="B25" s="134" t="s">
        <v>115</v>
      </c>
      <c r="C25" s="356">
        <f>'7. LI1'!E27</f>
        <v>0</v>
      </c>
      <c r="D25" s="358"/>
      <c r="E25" s="359"/>
    </row>
    <row r="26" spans="1:5" x14ac:dyDescent="0.3">
      <c r="A26" s="119">
        <v>10</v>
      </c>
      <c r="B26" s="128" t="s">
        <v>116</v>
      </c>
      <c r="C26" s="360">
        <f>SUM(C27:C28)</f>
        <v>1387773.6500000004</v>
      </c>
      <c r="D26" s="361" t="s">
        <v>383</v>
      </c>
      <c r="E26" s="346"/>
    </row>
    <row r="27" spans="1:5" x14ac:dyDescent="0.3">
      <c r="A27" s="119">
        <v>10.1</v>
      </c>
      <c r="B27" s="134" t="s">
        <v>117</v>
      </c>
      <c r="C27" s="347">
        <f>'7. LI1'!C29</f>
        <v>0</v>
      </c>
      <c r="D27" s="348"/>
      <c r="E27" s="346"/>
    </row>
    <row r="28" spans="1:5" x14ac:dyDescent="0.3">
      <c r="A28" s="119">
        <v>10.199999999999999</v>
      </c>
      <c r="B28" s="134" t="s">
        <v>118</v>
      </c>
      <c r="C28" s="347">
        <f>'7. LI1'!C30</f>
        <v>1387773.6500000004</v>
      </c>
      <c r="D28" s="348"/>
      <c r="E28" s="346"/>
    </row>
    <row r="29" spans="1:5" x14ac:dyDescent="0.3">
      <c r="A29" s="119">
        <v>11</v>
      </c>
      <c r="B29" s="128" t="s">
        <v>119</v>
      </c>
      <c r="C29" s="352">
        <f>SUM(C30:C31)</f>
        <v>45248.5</v>
      </c>
      <c r="D29" s="348"/>
      <c r="E29" s="346"/>
    </row>
    <row r="30" spans="1:5" x14ac:dyDescent="0.3">
      <c r="A30" s="119">
        <v>11.1</v>
      </c>
      <c r="B30" s="134" t="s">
        <v>120</v>
      </c>
      <c r="C30" s="347">
        <f>'7. LI1'!C32</f>
        <v>45248.5</v>
      </c>
      <c r="D30" s="348"/>
      <c r="E30" s="346"/>
    </row>
    <row r="31" spans="1:5" x14ac:dyDescent="0.3">
      <c r="A31" s="119">
        <v>11.2</v>
      </c>
      <c r="B31" s="134" t="s">
        <v>121</v>
      </c>
      <c r="C31" s="347">
        <f>'7. LI1'!C33</f>
        <v>0</v>
      </c>
      <c r="D31" s="348"/>
      <c r="E31" s="346"/>
    </row>
    <row r="32" spans="1:5" x14ac:dyDescent="0.3">
      <c r="A32" s="119">
        <v>13</v>
      </c>
      <c r="B32" s="128" t="s">
        <v>122</v>
      </c>
      <c r="C32" s="347">
        <f>'7. LI1'!C34</f>
        <v>7854999.7100000009</v>
      </c>
      <c r="D32" s="348"/>
      <c r="E32" s="346"/>
    </row>
    <row r="33" spans="1:5" x14ac:dyDescent="0.3">
      <c r="A33" s="119">
        <v>13.1</v>
      </c>
      <c r="B33" s="135" t="s">
        <v>123</v>
      </c>
      <c r="C33" s="347">
        <f>'7. LI1'!C35</f>
        <v>0</v>
      </c>
      <c r="D33" s="348"/>
      <c r="E33" s="346"/>
    </row>
    <row r="34" spans="1:5" x14ac:dyDescent="0.3">
      <c r="A34" s="119">
        <v>13.2</v>
      </c>
      <c r="B34" s="135" t="s">
        <v>124</v>
      </c>
      <c r="C34" s="347">
        <f>'7. LI1'!C36</f>
        <v>0</v>
      </c>
      <c r="D34" s="357"/>
      <c r="E34" s="346"/>
    </row>
    <row r="35" spans="1:5" x14ac:dyDescent="0.3">
      <c r="A35" s="119">
        <v>14</v>
      </c>
      <c r="B35" s="136" t="s">
        <v>125</v>
      </c>
      <c r="C35" s="362">
        <f>SUM(C6,C10,C12,C13,C14,C18,C21,C22,C23,C26,C29,C32)</f>
        <v>203328845.70799184</v>
      </c>
      <c r="D35" s="357"/>
      <c r="E35" s="346"/>
    </row>
    <row r="36" spans="1:5" x14ac:dyDescent="0.3">
      <c r="A36" s="119"/>
      <c r="B36" s="137" t="s">
        <v>126</v>
      </c>
      <c r="C36" s="363"/>
      <c r="D36" s="364"/>
      <c r="E36" s="346"/>
    </row>
    <row r="37" spans="1:5" x14ac:dyDescent="0.3">
      <c r="A37" s="119">
        <v>15</v>
      </c>
      <c r="B37" s="142" t="s">
        <v>127</v>
      </c>
      <c r="C37" s="365">
        <f>'2. SOFP'!E38</f>
        <v>233109.90677948453</v>
      </c>
      <c r="D37" s="358"/>
      <c r="E37" s="359"/>
    </row>
    <row r="38" spans="1:5" x14ac:dyDescent="0.3">
      <c r="A38" s="119">
        <v>15.1</v>
      </c>
      <c r="B38" s="126" t="s">
        <v>103</v>
      </c>
      <c r="C38" s="365">
        <f>'2. SOFP'!E39</f>
        <v>233109.90677948453</v>
      </c>
      <c r="D38" s="348"/>
      <c r="E38" s="346"/>
    </row>
    <row r="39" spans="1:5" ht="21" x14ac:dyDescent="0.3">
      <c r="A39" s="119">
        <v>16</v>
      </c>
      <c r="B39" s="143" t="s">
        <v>128</v>
      </c>
      <c r="C39" s="365">
        <f>'2. SOFP'!E40</f>
        <v>0</v>
      </c>
      <c r="D39" s="348"/>
      <c r="E39" s="346"/>
    </row>
    <row r="40" spans="1:5" x14ac:dyDescent="0.3">
      <c r="A40" s="119">
        <v>17</v>
      </c>
      <c r="B40" s="143" t="s">
        <v>129</v>
      </c>
      <c r="C40" s="352">
        <f>SUM(C41:C44)</f>
        <v>141900004.21987209</v>
      </c>
      <c r="D40" s="348"/>
      <c r="E40" s="346"/>
    </row>
    <row r="41" spans="1:5" x14ac:dyDescent="0.3">
      <c r="A41" s="119">
        <v>17.100000000000001</v>
      </c>
      <c r="B41" s="145" t="s">
        <v>130</v>
      </c>
      <c r="C41" s="347">
        <f>'2. SOFP'!E42</f>
        <v>140721384.45268464</v>
      </c>
      <c r="D41" s="348"/>
      <c r="E41" s="346"/>
    </row>
    <row r="42" spans="1:5" x14ac:dyDescent="0.3">
      <c r="A42" s="366">
        <v>17.2</v>
      </c>
      <c r="B42" s="367" t="s">
        <v>131</v>
      </c>
      <c r="C42" s="347">
        <f>'2. SOFP'!E43</f>
        <v>0</v>
      </c>
      <c r="D42" s="357"/>
      <c r="E42" s="346"/>
    </row>
    <row r="43" spans="1:5" x14ac:dyDescent="0.3">
      <c r="A43" s="119">
        <v>17.3</v>
      </c>
      <c r="B43" s="368" t="s">
        <v>132</v>
      </c>
      <c r="C43" s="347">
        <f>'2. SOFP'!E44</f>
        <v>0</v>
      </c>
      <c r="D43" s="369"/>
      <c r="E43" s="346"/>
    </row>
    <row r="44" spans="1:5" x14ac:dyDescent="0.3">
      <c r="A44" s="119">
        <v>17.399999999999999</v>
      </c>
      <c r="B44" s="368" t="s">
        <v>133</v>
      </c>
      <c r="C44" s="347">
        <f>'2. SOFP'!E45</f>
        <v>1178619.7671874382</v>
      </c>
      <c r="D44" s="369"/>
      <c r="E44" s="346"/>
    </row>
    <row r="45" spans="1:5" x14ac:dyDescent="0.3">
      <c r="A45" s="119">
        <v>18</v>
      </c>
      <c r="B45" s="149" t="s">
        <v>134</v>
      </c>
      <c r="C45" s="347">
        <f>'2. SOFP'!E46</f>
        <v>28641.815353747574</v>
      </c>
      <c r="D45" s="369"/>
      <c r="E45" s="359"/>
    </row>
    <row r="46" spans="1:5" x14ac:dyDescent="0.3">
      <c r="A46" s="119">
        <v>19</v>
      </c>
      <c r="B46" s="149" t="s">
        <v>135</v>
      </c>
      <c r="C46" s="370">
        <f>SUM(C47:C48)</f>
        <v>1139408.8970912299</v>
      </c>
      <c r="D46" s="3"/>
    </row>
    <row r="47" spans="1:5" x14ac:dyDescent="0.3">
      <c r="A47" s="119">
        <v>19.100000000000001</v>
      </c>
      <c r="B47" s="371" t="s">
        <v>136</v>
      </c>
      <c r="C47" s="372">
        <f>'2. SOFP'!E48</f>
        <v>0</v>
      </c>
      <c r="D47" s="3"/>
    </row>
    <row r="48" spans="1:5" x14ac:dyDescent="0.3">
      <c r="A48" s="119">
        <v>19.2</v>
      </c>
      <c r="B48" s="371" t="s">
        <v>137</v>
      </c>
      <c r="C48" s="372">
        <f>'2. SOFP'!E49</f>
        <v>1139408.8970912299</v>
      </c>
      <c r="D48" s="3"/>
    </row>
    <row r="49" spans="1:4" x14ac:dyDescent="0.3">
      <c r="A49" s="119">
        <v>20</v>
      </c>
      <c r="B49" s="136" t="s">
        <v>138</v>
      </c>
      <c r="C49" s="373">
        <f>'2. SOFP'!E50</f>
        <v>0</v>
      </c>
      <c r="D49" s="3"/>
    </row>
    <row r="50" spans="1:4" x14ac:dyDescent="0.3">
      <c r="A50" s="119">
        <v>20.100000000000001</v>
      </c>
      <c r="B50" s="136" t="s">
        <v>384</v>
      </c>
      <c r="C50" s="373">
        <v>0</v>
      </c>
      <c r="D50" s="361" t="s">
        <v>385</v>
      </c>
    </row>
    <row r="51" spans="1:4" x14ac:dyDescent="0.3">
      <c r="A51" s="119">
        <v>21</v>
      </c>
      <c r="B51" s="125" t="s">
        <v>139</v>
      </c>
      <c r="C51" s="372">
        <f>'2. SOFP'!E51</f>
        <v>1163401.9300000002</v>
      </c>
      <c r="D51" s="3"/>
    </row>
    <row r="52" spans="1:4" x14ac:dyDescent="0.3">
      <c r="A52" s="119">
        <v>21.1</v>
      </c>
      <c r="B52" s="123" t="s">
        <v>140</v>
      </c>
      <c r="C52" s="372">
        <f>'2. SOFP'!E52</f>
        <v>0</v>
      </c>
      <c r="D52" s="3"/>
    </row>
    <row r="53" spans="1:4" x14ac:dyDescent="0.3">
      <c r="A53" s="119">
        <v>22</v>
      </c>
      <c r="B53" s="136" t="s">
        <v>141</v>
      </c>
      <c r="C53" s="370">
        <f>SUM(C37,C39,C40,C45,C46,C49,C51)</f>
        <v>144464566.76909658</v>
      </c>
      <c r="D53" s="3"/>
    </row>
    <row r="54" spans="1:4" x14ac:dyDescent="0.3">
      <c r="A54" s="119"/>
      <c r="B54" s="137" t="s">
        <v>142</v>
      </c>
      <c r="C54" s="3"/>
      <c r="D54" s="3"/>
    </row>
    <row r="55" spans="1:4" x14ac:dyDescent="0.3">
      <c r="A55" s="119">
        <v>23</v>
      </c>
      <c r="B55" s="136" t="s">
        <v>143</v>
      </c>
      <c r="C55" s="374">
        <f>'2. SOFP'!E55</f>
        <v>76211100</v>
      </c>
      <c r="D55" s="3"/>
    </row>
    <row r="56" spans="1:4" x14ac:dyDescent="0.3">
      <c r="A56" s="119">
        <v>24</v>
      </c>
      <c r="B56" s="136" t="s">
        <v>144</v>
      </c>
      <c r="C56" s="374">
        <f>'2. SOFP'!E56</f>
        <v>0</v>
      </c>
      <c r="D56" s="3"/>
    </row>
    <row r="57" spans="1:4" x14ac:dyDescent="0.3">
      <c r="A57" s="119">
        <v>25</v>
      </c>
      <c r="B57" s="136" t="s">
        <v>145</v>
      </c>
      <c r="C57" s="374">
        <f>'2. SOFP'!E57</f>
        <v>0</v>
      </c>
      <c r="D57" s="3"/>
    </row>
    <row r="58" spans="1:4" x14ac:dyDescent="0.3">
      <c r="A58" s="119">
        <v>26</v>
      </c>
      <c r="B58" s="149" t="s">
        <v>146</v>
      </c>
      <c r="C58" s="374">
        <f>'2. SOFP'!E58</f>
        <v>0</v>
      </c>
      <c r="D58" s="3"/>
    </row>
    <row r="59" spans="1:4" x14ac:dyDescent="0.3">
      <c r="A59" s="119">
        <v>27</v>
      </c>
      <c r="B59" s="149" t="s">
        <v>147</v>
      </c>
      <c r="C59" s="374">
        <f>SUM(C60:C61)</f>
        <v>0</v>
      </c>
      <c r="D59" s="3"/>
    </row>
    <row r="60" spans="1:4" x14ac:dyDescent="0.3">
      <c r="A60" s="119">
        <v>27.1</v>
      </c>
      <c r="B60" s="371" t="s">
        <v>148</v>
      </c>
      <c r="C60" s="375">
        <f>'2. SOFP'!E60</f>
        <v>0</v>
      </c>
      <c r="D60" s="3"/>
    </row>
    <row r="61" spans="1:4" x14ac:dyDescent="0.3">
      <c r="A61" s="119">
        <v>27.2</v>
      </c>
      <c r="B61" s="368" t="s">
        <v>149</v>
      </c>
      <c r="C61" s="375">
        <f>'2. SOFP'!E61</f>
        <v>0</v>
      </c>
      <c r="D61" s="3"/>
    </row>
    <row r="62" spans="1:4" x14ac:dyDescent="0.3">
      <c r="A62" s="119">
        <v>28</v>
      </c>
      <c r="B62" s="125" t="s">
        <v>150</v>
      </c>
      <c r="C62" s="375">
        <f>'2. SOFP'!E62</f>
        <v>0</v>
      </c>
      <c r="D62" s="3"/>
    </row>
    <row r="63" spans="1:4" x14ac:dyDescent="0.3">
      <c r="A63" s="119">
        <v>29</v>
      </c>
      <c r="B63" s="149" t="s">
        <v>151</v>
      </c>
      <c r="C63" s="374">
        <f>SUM(C64:C66)</f>
        <v>3615196.900470661</v>
      </c>
      <c r="D63" s="3"/>
    </row>
    <row r="64" spans="1:4" x14ac:dyDescent="0.3">
      <c r="A64" s="119">
        <v>29.1</v>
      </c>
      <c r="B64" s="376" t="s">
        <v>152</v>
      </c>
      <c r="C64" s="375">
        <f>'2. SOFP'!E64</f>
        <v>3615196.900470661</v>
      </c>
      <c r="D64" s="3"/>
    </row>
    <row r="65" spans="1:4" ht="24" customHeight="1" x14ac:dyDescent="0.3">
      <c r="A65" s="119">
        <v>29.2</v>
      </c>
      <c r="B65" s="371" t="s">
        <v>153</v>
      </c>
      <c r="C65" s="375">
        <f>'2. SOFP'!E65</f>
        <v>0</v>
      </c>
      <c r="D65" s="3"/>
    </row>
    <row r="66" spans="1:4" ht="21.95" customHeight="1" x14ac:dyDescent="0.3">
      <c r="A66" s="119">
        <v>29.3</v>
      </c>
      <c r="B66" s="377" t="s">
        <v>154</v>
      </c>
      <c r="C66" s="375">
        <f>'2. SOFP'!E66</f>
        <v>0</v>
      </c>
      <c r="D66" s="3"/>
    </row>
    <row r="67" spans="1:4" x14ac:dyDescent="0.3">
      <c r="A67" s="119">
        <v>30</v>
      </c>
      <c r="B67" s="149" t="s">
        <v>155</v>
      </c>
      <c r="C67" s="375">
        <f>'2. SOFP'!E67</f>
        <v>-20962018.265575189</v>
      </c>
      <c r="D67" s="3"/>
    </row>
    <row r="68" spans="1:4" x14ac:dyDescent="0.3">
      <c r="A68" s="119">
        <v>31</v>
      </c>
      <c r="B68" s="148" t="s">
        <v>156</v>
      </c>
      <c r="C68" s="374">
        <f>SUM(C55,C56,C57,C58,C59,C62,C63,C67)</f>
        <v>58864278.634895474</v>
      </c>
      <c r="D68" s="3"/>
    </row>
    <row r="69" spans="1:4" x14ac:dyDescent="0.3">
      <c r="A69" s="119">
        <v>32</v>
      </c>
      <c r="B69" s="149" t="s">
        <v>157</v>
      </c>
      <c r="C69" s="374">
        <f>SUM(C53,C68)</f>
        <v>203328845.40399206</v>
      </c>
      <c r="D69" s="3"/>
    </row>
    <row r="70" spans="1:4" x14ac:dyDescent="0.3">
      <c r="C70" s="378"/>
    </row>
    <row r="71" spans="1:4" x14ac:dyDescent="0.3">
      <c r="C71" s="379"/>
    </row>
    <row r="72" spans="1:4" x14ac:dyDescent="0.3">
      <c r="C72" s="379"/>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4D9CC-7E57-4C71-89F2-D754ACE3ABC9}">
  <dimension ref="A1:S26"/>
  <sheetViews>
    <sheetView workbookViewId="0">
      <pane xSplit="2" ySplit="7" topLeftCell="K8" activePane="bottomRight" state="frozen"/>
      <selection activeCell="I28" sqref="I28"/>
      <selection pane="topRight" activeCell="I28" sqref="I28"/>
      <selection pane="bottomLeft" activeCell="I28" sqref="I28"/>
      <selection pane="bottomRight" activeCell="L29" sqref="L29"/>
    </sheetView>
  </sheetViews>
  <sheetFormatPr defaultColWidth="9.140625" defaultRowHeight="13.5" x14ac:dyDescent="0.25"/>
  <cols>
    <col min="1" max="1" width="10.5703125" style="20" bestFit="1" customWidth="1"/>
    <col min="2" max="2" width="95" style="20" customWidth="1"/>
    <col min="3" max="3" width="13.85546875" style="20" customWidth="1"/>
    <col min="4" max="4" width="13.28515625" style="20" bestFit="1" customWidth="1"/>
    <col min="5" max="5" width="14" style="20" customWidth="1"/>
    <col min="6" max="6" width="13.28515625" style="20" bestFit="1" customWidth="1"/>
    <col min="7" max="7" width="18.140625" style="20" customWidth="1"/>
    <col min="8" max="8" width="13.28515625" style="20" bestFit="1" customWidth="1"/>
    <col min="9" max="9" width="12.42578125" style="20" customWidth="1"/>
    <col min="10" max="10" width="13.28515625" style="20" bestFit="1" customWidth="1"/>
    <col min="11" max="11" width="11.5703125" style="20" customWidth="1"/>
    <col min="12" max="12" width="13.28515625" style="20" bestFit="1" customWidth="1"/>
    <col min="13" max="13" width="13.42578125" style="20" customWidth="1"/>
    <col min="14" max="14" width="13.28515625" style="20" bestFit="1" customWidth="1"/>
    <col min="15" max="15" width="14" style="20" customWidth="1"/>
    <col min="16" max="16" width="13.28515625" style="20" bestFit="1" customWidth="1"/>
    <col min="17" max="17" width="13" style="20" customWidth="1"/>
    <col min="18" max="18" width="14" style="20" customWidth="1"/>
    <col min="19" max="19" width="31.5703125" style="20" bestFit="1" customWidth="1"/>
    <col min="20" max="16384" width="9.140625" style="186"/>
  </cols>
  <sheetData>
    <row r="1" spans="1:19" x14ac:dyDescent="0.25">
      <c r="A1" s="20" t="s">
        <v>41</v>
      </c>
      <c r="B1" s="20" t="str">
        <f>Info!C2</f>
        <v>სს სილქ ბანკი</v>
      </c>
    </row>
    <row r="2" spans="1:19" x14ac:dyDescent="0.25">
      <c r="A2" s="20" t="s">
        <v>42</v>
      </c>
      <c r="B2" s="24">
        <f>'1. key ratios'!B2</f>
        <v>45473</v>
      </c>
    </row>
    <row r="4" spans="1:19" ht="40.5" customHeight="1" thickBot="1" x14ac:dyDescent="0.3">
      <c r="A4" s="275" t="s">
        <v>386</v>
      </c>
      <c r="B4" s="380" t="s">
        <v>387</v>
      </c>
    </row>
    <row r="5" spans="1:19" x14ac:dyDescent="0.25">
      <c r="A5" s="381"/>
      <c r="B5" s="382"/>
      <c r="C5" s="383" t="s">
        <v>286</v>
      </c>
      <c r="D5" s="383" t="s">
        <v>287</v>
      </c>
      <c r="E5" s="383" t="s">
        <v>288</v>
      </c>
      <c r="F5" s="383" t="s">
        <v>388</v>
      </c>
      <c r="G5" s="383" t="s">
        <v>389</v>
      </c>
      <c r="H5" s="383" t="s">
        <v>390</v>
      </c>
      <c r="I5" s="383" t="s">
        <v>391</v>
      </c>
      <c r="J5" s="383" t="s">
        <v>392</v>
      </c>
      <c r="K5" s="383" t="s">
        <v>393</v>
      </c>
      <c r="L5" s="383" t="s">
        <v>394</v>
      </c>
      <c r="M5" s="383" t="s">
        <v>395</v>
      </c>
      <c r="N5" s="383" t="s">
        <v>396</v>
      </c>
      <c r="O5" s="383" t="s">
        <v>397</v>
      </c>
      <c r="P5" s="383" t="s">
        <v>398</v>
      </c>
      <c r="Q5" s="383" t="s">
        <v>399</v>
      </c>
      <c r="R5" s="384" t="s">
        <v>400</v>
      </c>
      <c r="S5" s="385" t="s">
        <v>401</v>
      </c>
    </row>
    <row r="6" spans="1:19" ht="46.5" customHeight="1" x14ac:dyDescent="0.25">
      <c r="A6" s="386"/>
      <c r="B6" s="824" t="s">
        <v>402</v>
      </c>
      <c r="C6" s="820">
        <v>0</v>
      </c>
      <c r="D6" s="821"/>
      <c r="E6" s="820">
        <v>0.2</v>
      </c>
      <c r="F6" s="821"/>
      <c r="G6" s="820">
        <v>0.35</v>
      </c>
      <c r="H6" s="821"/>
      <c r="I6" s="820">
        <v>0.5</v>
      </c>
      <c r="J6" s="821"/>
      <c r="K6" s="820">
        <v>0.75</v>
      </c>
      <c r="L6" s="821"/>
      <c r="M6" s="820">
        <v>1</v>
      </c>
      <c r="N6" s="821"/>
      <c r="O6" s="820">
        <v>1.5</v>
      </c>
      <c r="P6" s="821"/>
      <c r="Q6" s="820">
        <v>2.5</v>
      </c>
      <c r="R6" s="821"/>
      <c r="S6" s="822" t="s">
        <v>403</v>
      </c>
    </row>
    <row r="7" spans="1:19" x14ac:dyDescent="0.25">
      <c r="A7" s="386"/>
      <c r="B7" s="825"/>
      <c r="C7" s="387" t="s">
        <v>404</v>
      </c>
      <c r="D7" s="387" t="s">
        <v>405</v>
      </c>
      <c r="E7" s="387" t="s">
        <v>404</v>
      </c>
      <c r="F7" s="387" t="s">
        <v>405</v>
      </c>
      <c r="G7" s="387" t="s">
        <v>404</v>
      </c>
      <c r="H7" s="387" t="s">
        <v>405</v>
      </c>
      <c r="I7" s="387" t="s">
        <v>404</v>
      </c>
      <c r="J7" s="387" t="s">
        <v>405</v>
      </c>
      <c r="K7" s="387" t="s">
        <v>404</v>
      </c>
      <c r="L7" s="387" t="s">
        <v>405</v>
      </c>
      <c r="M7" s="387" t="s">
        <v>404</v>
      </c>
      <c r="N7" s="387" t="s">
        <v>405</v>
      </c>
      <c r="O7" s="387" t="s">
        <v>404</v>
      </c>
      <c r="P7" s="387" t="s">
        <v>405</v>
      </c>
      <c r="Q7" s="387" t="s">
        <v>404</v>
      </c>
      <c r="R7" s="387" t="s">
        <v>405</v>
      </c>
      <c r="S7" s="823"/>
    </row>
    <row r="8" spans="1:19" x14ac:dyDescent="0.25">
      <c r="A8" s="388">
        <v>1</v>
      </c>
      <c r="B8" s="389" t="s">
        <v>406</v>
      </c>
      <c r="C8" s="390">
        <v>25484642.122955903</v>
      </c>
      <c r="D8" s="390"/>
      <c r="E8" s="390">
        <v>0</v>
      </c>
      <c r="F8" s="391"/>
      <c r="G8" s="390">
        <v>0</v>
      </c>
      <c r="H8" s="390"/>
      <c r="I8" s="390">
        <v>0</v>
      </c>
      <c r="J8" s="390"/>
      <c r="K8" s="390">
        <v>0</v>
      </c>
      <c r="L8" s="390"/>
      <c r="M8" s="390">
        <v>3040490.7799999979</v>
      </c>
      <c r="N8" s="390"/>
      <c r="O8" s="390">
        <v>0</v>
      </c>
      <c r="P8" s="390"/>
      <c r="Q8" s="390">
        <v>0</v>
      </c>
      <c r="R8" s="391"/>
      <c r="S8" s="392">
        <f>$C$6*SUM(C8:D8)+$E$6*SUM(E8:F8)+$G$6*SUM(G8:H8)+$I$6*SUM(I8:J8)+$K$6*SUM(K8:L8)+$M$6*SUM(M8:N8)+$O$6*SUM(O8:P8)+$Q$6*SUM(Q8:R8)</f>
        <v>3040490.7799999979</v>
      </c>
    </row>
    <row r="9" spans="1:19" x14ac:dyDescent="0.25">
      <c r="A9" s="388">
        <v>2</v>
      </c>
      <c r="B9" s="389" t="s">
        <v>407</v>
      </c>
      <c r="C9" s="390">
        <v>0</v>
      </c>
      <c r="D9" s="390"/>
      <c r="E9" s="390">
        <v>0</v>
      </c>
      <c r="F9" s="390"/>
      <c r="G9" s="390">
        <v>0</v>
      </c>
      <c r="H9" s="390"/>
      <c r="I9" s="390">
        <v>0</v>
      </c>
      <c r="J9" s="390"/>
      <c r="K9" s="390">
        <v>0</v>
      </c>
      <c r="L9" s="390"/>
      <c r="M9" s="390">
        <v>0</v>
      </c>
      <c r="N9" s="390"/>
      <c r="O9" s="390">
        <v>0</v>
      </c>
      <c r="P9" s="390"/>
      <c r="Q9" s="390">
        <v>0</v>
      </c>
      <c r="R9" s="391"/>
      <c r="S9" s="392">
        <f t="shared" ref="S9:S21" si="0">$C$6*SUM(C9:D9)+$E$6*SUM(E9:F9)+$G$6*SUM(G9:H9)+$I$6*SUM(I9:J9)+$K$6*SUM(K9:L9)+$M$6*SUM(M9:N9)+$O$6*SUM(O9:P9)+$Q$6*SUM(Q9:R9)</f>
        <v>0</v>
      </c>
    </row>
    <row r="10" spans="1:19" x14ac:dyDescent="0.25">
      <c r="A10" s="388">
        <v>3</v>
      </c>
      <c r="B10" s="389" t="s">
        <v>408</v>
      </c>
      <c r="C10" s="390">
        <v>0</v>
      </c>
      <c r="D10" s="390"/>
      <c r="E10" s="390">
        <v>0</v>
      </c>
      <c r="F10" s="390"/>
      <c r="G10" s="390">
        <v>0</v>
      </c>
      <c r="H10" s="390"/>
      <c r="I10" s="390">
        <v>0</v>
      </c>
      <c r="J10" s="390"/>
      <c r="K10" s="390">
        <v>0</v>
      </c>
      <c r="L10" s="390"/>
      <c r="M10" s="390">
        <v>0</v>
      </c>
      <c r="N10" s="390"/>
      <c r="O10" s="390">
        <v>0</v>
      </c>
      <c r="P10" s="390"/>
      <c r="Q10" s="390">
        <v>0</v>
      </c>
      <c r="R10" s="391"/>
      <c r="S10" s="392">
        <f t="shared" si="0"/>
        <v>0</v>
      </c>
    </row>
    <row r="11" spans="1:19" x14ac:dyDescent="0.25">
      <c r="A11" s="388">
        <v>4</v>
      </c>
      <c r="B11" s="389" t="s">
        <v>409</v>
      </c>
      <c r="C11" s="390">
        <v>0</v>
      </c>
      <c r="D11" s="390"/>
      <c r="E11" s="390">
        <v>0</v>
      </c>
      <c r="F11" s="390"/>
      <c r="G11" s="390">
        <v>0</v>
      </c>
      <c r="H11" s="390"/>
      <c r="I11" s="390">
        <v>0</v>
      </c>
      <c r="J11" s="390"/>
      <c r="K11" s="390">
        <v>0</v>
      </c>
      <c r="L11" s="390"/>
      <c r="M11" s="390">
        <v>0</v>
      </c>
      <c r="N11" s="390"/>
      <c r="O11" s="390">
        <v>0</v>
      </c>
      <c r="P11" s="390"/>
      <c r="Q11" s="390">
        <v>0</v>
      </c>
      <c r="R11" s="391"/>
      <c r="S11" s="392">
        <f t="shared" si="0"/>
        <v>0</v>
      </c>
    </row>
    <row r="12" spans="1:19" x14ac:dyDescent="0.25">
      <c r="A12" s="388">
        <v>5</v>
      </c>
      <c r="B12" s="389" t="s">
        <v>410</v>
      </c>
      <c r="C12" s="390">
        <v>0</v>
      </c>
      <c r="D12" s="390"/>
      <c r="E12" s="390">
        <v>0</v>
      </c>
      <c r="F12" s="390"/>
      <c r="G12" s="390">
        <v>0</v>
      </c>
      <c r="H12" s="390"/>
      <c r="I12" s="390">
        <v>0</v>
      </c>
      <c r="J12" s="390"/>
      <c r="K12" s="390">
        <v>0</v>
      </c>
      <c r="L12" s="390"/>
      <c r="M12" s="390">
        <v>0</v>
      </c>
      <c r="N12" s="390"/>
      <c r="O12" s="390">
        <v>0</v>
      </c>
      <c r="P12" s="390"/>
      <c r="Q12" s="390">
        <v>0</v>
      </c>
      <c r="R12" s="391"/>
      <c r="S12" s="392">
        <f t="shared" si="0"/>
        <v>0</v>
      </c>
    </row>
    <row r="13" spans="1:19" x14ac:dyDescent="0.25">
      <c r="A13" s="388">
        <v>6</v>
      </c>
      <c r="B13" s="389" t="s">
        <v>411</v>
      </c>
      <c r="C13" s="390">
        <v>0</v>
      </c>
      <c r="D13" s="390"/>
      <c r="E13" s="390">
        <v>41607307.120000005</v>
      </c>
      <c r="F13" s="390"/>
      <c r="G13" s="390">
        <v>0</v>
      </c>
      <c r="H13" s="390"/>
      <c r="I13" s="390">
        <v>0</v>
      </c>
      <c r="J13" s="390"/>
      <c r="K13" s="390">
        <v>0</v>
      </c>
      <c r="L13" s="390"/>
      <c r="M13" s="390">
        <v>11733304.910000004</v>
      </c>
      <c r="N13" s="390"/>
      <c r="O13" s="390">
        <v>0</v>
      </c>
      <c r="P13" s="390"/>
      <c r="Q13" s="390">
        <v>0</v>
      </c>
      <c r="R13" s="391"/>
      <c r="S13" s="392">
        <f t="shared" si="0"/>
        <v>20054766.334000006</v>
      </c>
    </row>
    <row r="14" spans="1:19" x14ac:dyDescent="0.25">
      <c r="A14" s="388">
        <v>7</v>
      </c>
      <c r="B14" s="389" t="s">
        <v>412</v>
      </c>
      <c r="C14" s="390">
        <v>0</v>
      </c>
      <c r="D14" s="390"/>
      <c r="E14" s="390">
        <v>0</v>
      </c>
      <c r="F14" s="390"/>
      <c r="G14" s="390">
        <v>0</v>
      </c>
      <c r="H14" s="390"/>
      <c r="I14" s="390">
        <v>0</v>
      </c>
      <c r="J14" s="390"/>
      <c r="K14" s="390">
        <v>0</v>
      </c>
      <c r="L14" s="390"/>
      <c r="M14" s="390">
        <v>65259092.979999997</v>
      </c>
      <c r="N14" s="390">
        <v>5787333.593861334</v>
      </c>
      <c r="O14" s="390">
        <v>0</v>
      </c>
      <c r="P14" s="390"/>
      <c r="Q14" s="390">
        <v>0</v>
      </c>
      <c r="R14" s="391"/>
      <c r="S14" s="392">
        <f t="shared" si="0"/>
        <v>71046426.573861331</v>
      </c>
    </row>
    <row r="15" spans="1:19" x14ac:dyDescent="0.25">
      <c r="A15" s="388">
        <v>8</v>
      </c>
      <c r="B15" s="393" t="s">
        <v>413</v>
      </c>
      <c r="C15" s="390">
        <v>0</v>
      </c>
      <c r="D15" s="390"/>
      <c r="E15" s="390">
        <v>0</v>
      </c>
      <c r="F15" s="390"/>
      <c r="G15" s="390">
        <v>0</v>
      </c>
      <c r="H15" s="390"/>
      <c r="I15" s="390">
        <v>0</v>
      </c>
      <c r="J15" s="390"/>
      <c r="K15" s="390">
        <v>0</v>
      </c>
      <c r="L15" s="390"/>
      <c r="M15" s="390">
        <v>20532955.57</v>
      </c>
      <c r="N15" s="390"/>
      <c r="O15" s="390">
        <v>0</v>
      </c>
      <c r="P15" s="390"/>
      <c r="Q15" s="390">
        <v>0</v>
      </c>
      <c r="R15" s="391"/>
      <c r="S15" s="392">
        <f t="shared" si="0"/>
        <v>20532955.57</v>
      </c>
    </row>
    <row r="16" spans="1:19" x14ac:dyDescent="0.25">
      <c r="A16" s="388">
        <v>9</v>
      </c>
      <c r="B16" s="393" t="s">
        <v>414</v>
      </c>
      <c r="C16" s="390">
        <v>0</v>
      </c>
      <c r="D16" s="390"/>
      <c r="E16" s="390">
        <v>0</v>
      </c>
      <c r="F16" s="390"/>
      <c r="G16" s="390">
        <v>0</v>
      </c>
      <c r="H16" s="390"/>
      <c r="I16" s="390">
        <v>0</v>
      </c>
      <c r="J16" s="390"/>
      <c r="K16" s="390">
        <v>0</v>
      </c>
      <c r="L16" s="390"/>
      <c r="M16" s="390">
        <v>0</v>
      </c>
      <c r="N16" s="390"/>
      <c r="O16" s="390">
        <v>0</v>
      </c>
      <c r="P16" s="390"/>
      <c r="Q16" s="390">
        <v>0</v>
      </c>
      <c r="R16" s="391"/>
      <c r="S16" s="392">
        <f t="shared" si="0"/>
        <v>0</v>
      </c>
    </row>
    <row r="17" spans="1:19" x14ac:dyDescent="0.25">
      <c r="A17" s="388">
        <v>10</v>
      </c>
      <c r="B17" s="393" t="s">
        <v>415</v>
      </c>
      <c r="C17" s="390">
        <v>0</v>
      </c>
      <c r="D17" s="390"/>
      <c r="E17" s="390">
        <v>0</v>
      </c>
      <c r="F17" s="390"/>
      <c r="G17" s="390">
        <v>0</v>
      </c>
      <c r="H17" s="390"/>
      <c r="I17" s="390">
        <v>0</v>
      </c>
      <c r="J17" s="390"/>
      <c r="K17" s="390">
        <v>0</v>
      </c>
      <c r="L17" s="390"/>
      <c r="M17" s="390">
        <v>130080.95</v>
      </c>
      <c r="N17" s="390"/>
      <c r="O17" s="390">
        <v>0</v>
      </c>
      <c r="P17" s="390"/>
      <c r="Q17" s="390">
        <v>0</v>
      </c>
      <c r="R17" s="391"/>
      <c r="S17" s="392">
        <f t="shared" si="0"/>
        <v>130080.95</v>
      </c>
    </row>
    <row r="18" spans="1:19" x14ac:dyDescent="0.25">
      <c r="A18" s="388">
        <v>11</v>
      </c>
      <c r="B18" s="393" t="s">
        <v>416</v>
      </c>
      <c r="C18" s="390">
        <v>0</v>
      </c>
      <c r="D18" s="390"/>
      <c r="E18" s="390">
        <v>0</v>
      </c>
      <c r="F18" s="390"/>
      <c r="G18" s="390">
        <v>0</v>
      </c>
      <c r="H18" s="390"/>
      <c r="I18" s="390">
        <v>0</v>
      </c>
      <c r="J18" s="390"/>
      <c r="K18" s="390">
        <v>0</v>
      </c>
      <c r="L18" s="390"/>
      <c r="M18" s="390">
        <v>0</v>
      </c>
      <c r="N18" s="390"/>
      <c r="O18" s="390">
        <v>0</v>
      </c>
      <c r="P18" s="390"/>
      <c r="Q18" s="390">
        <v>0</v>
      </c>
      <c r="R18" s="391"/>
      <c r="S18" s="392">
        <f t="shared" si="0"/>
        <v>0</v>
      </c>
    </row>
    <row r="19" spans="1:19" x14ac:dyDescent="0.25">
      <c r="A19" s="388">
        <v>12</v>
      </c>
      <c r="B19" s="393" t="s">
        <v>417</v>
      </c>
      <c r="C19" s="390">
        <v>0</v>
      </c>
      <c r="D19" s="390"/>
      <c r="E19" s="390">
        <v>0</v>
      </c>
      <c r="F19" s="390"/>
      <c r="G19" s="390">
        <v>0</v>
      </c>
      <c r="H19" s="390"/>
      <c r="I19" s="390">
        <v>0</v>
      </c>
      <c r="J19" s="390"/>
      <c r="K19" s="390">
        <v>0</v>
      </c>
      <c r="L19" s="390"/>
      <c r="M19" s="390">
        <v>0</v>
      </c>
      <c r="N19" s="390"/>
      <c r="O19" s="390">
        <v>0</v>
      </c>
      <c r="P19" s="390"/>
      <c r="Q19" s="390">
        <v>0</v>
      </c>
      <c r="R19" s="391"/>
      <c r="S19" s="392">
        <f t="shared" si="0"/>
        <v>0</v>
      </c>
    </row>
    <row r="20" spans="1:19" x14ac:dyDescent="0.25">
      <c r="A20" s="388">
        <v>13</v>
      </c>
      <c r="B20" s="393" t="s">
        <v>418</v>
      </c>
      <c r="C20" s="390">
        <v>0</v>
      </c>
      <c r="D20" s="390"/>
      <c r="E20" s="390">
        <v>0</v>
      </c>
      <c r="F20" s="390"/>
      <c r="G20" s="390">
        <v>0</v>
      </c>
      <c r="H20" s="390"/>
      <c r="I20" s="390">
        <v>0</v>
      </c>
      <c r="J20" s="390"/>
      <c r="K20" s="390">
        <v>0</v>
      </c>
      <c r="L20" s="390"/>
      <c r="M20" s="390">
        <v>0</v>
      </c>
      <c r="N20" s="390"/>
      <c r="O20" s="390">
        <v>0</v>
      </c>
      <c r="P20" s="390"/>
      <c r="Q20" s="390">
        <v>0</v>
      </c>
      <c r="R20" s="391"/>
      <c r="S20" s="392">
        <f t="shared" si="0"/>
        <v>0</v>
      </c>
    </row>
    <row r="21" spans="1:19" x14ac:dyDescent="0.25">
      <c r="A21" s="388">
        <v>14</v>
      </c>
      <c r="B21" s="393" t="s">
        <v>419</v>
      </c>
      <c r="C21" s="390">
        <v>3227952.74</v>
      </c>
      <c r="D21" s="390"/>
      <c r="E21" s="390">
        <v>218459.25999999978</v>
      </c>
      <c r="F21" s="390"/>
      <c r="G21" s="390">
        <v>0</v>
      </c>
      <c r="H21" s="390"/>
      <c r="I21" s="390">
        <v>0</v>
      </c>
      <c r="J21" s="390"/>
      <c r="K21" s="390">
        <v>0</v>
      </c>
      <c r="L21" s="390"/>
      <c r="M21" s="390">
        <v>30706783.712211363</v>
      </c>
      <c r="N21" s="390"/>
      <c r="O21" s="390">
        <v>0</v>
      </c>
      <c r="P21" s="390"/>
      <c r="Q21" s="390">
        <v>0</v>
      </c>
      <c r="R21" s="391"/>
      <c r="S21" s="392">
        <f t="shared" si="0"/>
        <v>30750475.564211361</v>
      </c>
    </row>
    <row r="22" spans="1:19" ht="14.25" thickBot="1" x14ac:dyDescent="0.3">
      <c r="A22" s="394"/>
      <c r="B22" s="395" t="s">
        <v>96</v>
      </c>
      <c r="C22" s="396">
        <f>SUM(C8:C21)</f>
        <v>28712594.862955905</v>
      </c>
      <c r="D22" s="396">
        <f t="shared" ref="D22:S22" si="1">SUM(D8:D21)</f>
        <v>0</v>
      </c>
      <c r="E22" s="396">
        <f t="shared" si="1"/>
        <v>41825766.380000003</v>
      </c>
      <c r="F22" s="396">
        <f t="shared" si="1"/>
        <v>0</v>
      </c>
      <c r="G22" s="396">
        <f t="shared" si="1"/>
        <v>0</v>
      </c>
      <c r="H22" s="396">
        <f t="shared" si="1"/>
        <v>0</v>
      </c>
      <c r="I22" s="396">
        <f t="shared" si="1"/>
        <v>0</v>
      </c>
      <c r="J22" s="396">
        <f t="shared" si="1"/>
        <v>0</v>
      </c>
      <c r="K22" s="396">
        <f t="shared" si="1"/>
        <v>0</v>
      </c>
      <c r="L22" s="396">
        <f t="shared" si="1"/>
        <v>0</v>
      </c>
      <c r="M22" s="396">
        <f>SUM(M8:M21)</f>
        <v>131402708.90221137</v>
      </c>
      <c r="N22" s="396">
        <f t="shared" si="1"/>
        <v>5787333.593861334</v>
      </c>
      <c r="O22" s="396">
        <f t="shared" si="1"/>
        <v>0</v>
      </c>
      <c r="P22" s="396">
        <f t="shared" si="1"/>
        <v>0</v>
      </c>
      <c r="Q22" s="396">
        <f t="shared" si="1"/>
        <v>0</v>
      </c>
      <c r="R22" s="396">
        <f t="shared" si="1"/>
        <v>0</v>
      </c>
      <c r="S22" s="397">
        <f t="shared" si="1"/>
        <v>145555195.7720727</v>
      </c>
    </row>
    <row r="24" spans="1:19" x14ac:dyDescent="0.25">
      <c r="C24" s="712"/>
      <c r="E24" s="712"/>
      <c r="G24" s="712"/>
      <c r="I24" s="712"/>
      <c r="K24" s="712"/>
      <c r="M24" s="712"/>
      <c r="N24" s="712"/>
      <c r="O24" s="712"/>
      <c r="Q24" s="712"/>
      <c r="R24" s="713"/>
      <c r="S24" s="209"/>
    </row>
    <row r="25" spans="1:19" x14ac:dyDescent="0.25">
      <c r="R25" s="308"/>
      <c r="S25" s="712"/>
    </row>
    <row r="26" spans="1:19" x14ac:dyDescent="0.25">
      <c r="R26" s="712"/>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86BE6-EE23-4743-87A3-2804E79CC19C}">
  <dimension ref="A1:V28"/>
  <sheetViews>
    <sheetView zoomScale="90" zoomScaleNormal="90" workbookViewId="0">
      <pane xSplit="2" ySplit="6" topLeftCell="N7" activePane="bottomRight" state="frozen"/>
      <selection activeCell="I28" sqref="I28"/>
      <selection pane="topRight" activeCell="I28" sqref="I28"/>
      <selection pane="bottomLeft" activeCell="I28" sqref="I28"/>
      <selection pane="bottomRight" activeCell="Q23" sqref="Q23"/>
    </sheetView>
  </sheetViews>
  <sheetFormatPr defaultColWidth="9.140625" defaultRowHeight="13.5" x14ac:dyDescent="0.25"/>
  <cols>
    <col min="1" max="1" width="10.5703125" style="20" bestFit="1" customWidth="1"/>
    <col min="2" max="2" width="74.5703125" style="20" customWidth="1"/>
    <col min="3" max="3" width="19" style="20" customWidth="1"/>
    <col min="4" max="4" width="19.5703125" style="20" customWidth="1"/>
    <col min="5" max="5" width="31.140625" style="20" customWidth="1"/>
    <col min="6" max="6" width="29.140625" style="20" customWidth="1"/>
    <col min="7" max="7" width="34.28515625" style="20" customWidth="1"/>
    <col min="8" max="8" width="26.42578125" style="20" customWidth="1"/>
    <col min="9" max="9" width="23.7109375" style="20" customWidth="1"/>
    <col min="10" max="10" width="21.5703125" style="20" customWidth="1"/>
    <col min="11" max="11" width="15.7109375" style="20" customWidth="1"/>
    <col min="12" max="12" width="13.28515625" style="20" customWidth="1"/>
    <col min="13" max="13" width="20.85546875" style="20" customWidth="1"/>
    <col min="14" max="14" width="19.28515625" style="20" customWidth="1"/>
    <col min="15" max="15" width="18.42578125" style="20" customWidth="1"/>
    <col min="16" max="16" width="19" style="20" customWidth="1"/>
    <col min="17" max="17" width="20.28515625" style="20" customWidth="1"/>
    <col min="18" max="18" width="18" style="20" customWidth="1"/>
    <col min="19" max="19" width="36" style="20" customWidth="1"/>
    <col min="20" max="20" width="19.42578125" style="20" customWidth="1"/>
    <col min="21" max="21" width="19.140625" style="20" customWidth="1"/>
    <col min="22" max="22" width="20" style="20" customWidth="1"/>
    <col min="23" max="16384" width="9.140625" style="186"/>
  </cols>
  <sheetData>
    <row r="1" spans="1:22" x14ac:dyDescent="0.25">
      <c r="A1" s="20" t="s">
        <v>41</v>
      </c>
      <c r="B1" s="20" t="str">
        <f>Info!C2</f>
        <v>სს სილქ ბანკი</v>
      </c>
    </row>
    <row r="2" spans="1:22" x14ac:dyDescent="0.25">
      <c r="A2" s="20" t="s">
        <v>42</v>
      </c>
      <c r="B2" s="24">
        <f>'1. key ratios'!B2</f>
        <v>45473</v>
      </c>
    </row>
    <row r="4" spans="1:22" ht="40.5" customHeight="1" thickBot="1" x14ac:dyDescent="0.35">
      <c r="A4" s="20" t="s">
        <v>420</v>
      </c>
      <c r="B4" s="380" t="s">
        <v>421</v>
      </c>
      <c r="V4" s="339" t="s">
        <v>238</v>
      </c>
    </row>
    <row r="5" spans="1:22" x14ac:dyDescent="0.25">
      <c r="A5" s="398"/>
      <c r="B5" s="399"/>
      <c r="C5" s="826" t="s">
        <v>422</v>
      </c>
      <c r="D5" s="827"/>
      <c r="E5" s="827"/>
      <c r="F5" s="827"/>
      <c r="G5" s="827"/>
      <c r="H5" s="827"/>
      <c r="I5" s="827"/>
      <c r="J5" s="827"/>
      <c r="K5" s="827"/>
      <c r="L5" s="828"/>
      <c r="M5" s="826" t="s">
        <v>423</v>
      </c>
      <c r="N5" s="827"/>
      <c r="O5" s="827"/>
      <c r="P5" s="827"/>
      <c r="Q5" s="827"/>
      <c r="R5" s="827"/>
      <c r="S5" s="828"/>
      <c r="T5" s="829" t="s">
        <v>424</v>
      </c>
      <c r="U5" s="829" t="s">
        <v>425</v>
      </c>
      <c r="V5" s="831" t="s">
        <v>426</v>
      </c>
    </row>
    <row r="6" spans="1:22" s="275" customFormat="1" ht="148.5" x14ac:dyDescent="0.25">
      <c r="A6" s="265"/>
      <c r="B6" s="400"/>
      <c r="C6" s="401" t="s">
        <v>427</v>
      </c>
      <c r="D6" s="402" t="s">
        <v>428</v>
      </c>
      <c r="E6" s="403" t="s">
        <v>429</v>
      </c>
      <c r="F6" s="403" t="s">
        <v>430</v>
      </c>
      <c r="G6" s="402" t="s">
        <v>431</v>
      </c>
      <c r="H6" s="402" t="s">
        <v>432</v>
      </c>
      <c r="I6" s="402" t="s">
        <v>433</v>
      </c>
      <c r="J6" s="402" t="s">
        <v>434</v>
      </c>
      <c r="K6" s="402" t="s">
        <v>435</v>
      </c>
      <c r="L6" s="404" t="s">
        <v>436</v>
      </c>
      <c r="M6" s="401" t="s">
        <v>437</v>
      </c>
      <c r="N6" s="402" t="s">
        <v>438</v>
      </c>
      <c r="O6" s="402" t="s">
        <v>439</v>
      </c>
      <c r="P6" s="402" t="s">
        <v>440</v>
      </c>
      <c r="Q6" s="402" t="s">
        <v>441</v>
      </c>
      <c r="R6" s="402" t="s">
        <v>442</v>
      </c>
      <c r="S6" s="404" t="s">
        <v>443</v>
      </c>
      <c r="T6" s="830"/>
      <c r="U6" s="830"/>
      <c r="V6" s="832"/>
    </row>
    <row r="7" spans="1:22" x14ac:dyDescent="0.25">
      <c r="A7" s="405">
        <v>1</v>
      </c>
      <c r="B7" s="406" t="s">
        <v>406</v>
      </c>
      <c r="C7" s="407">
        <v>0</v>
      </c>
      <c r="D7" s="390">
        <v>0</v>
      </c>
      <c r="E7" s="390">
        <v>0</v>
      </c>
      <c r="F7" s="390">
        <v>0</v>
      </c>
      <c r="G7" s="390">
        <v>0</v>
      </c>
      <c r="H7" s="390">
        <v>0</v>
      </c>
      <c r="I7" s="390">
        <v>0</v>
      </c>
      <c r="J7" s="390">
        <v>0</v>
      </c>
      <c r="K7" s="390">
        <v>0</v>
      </c>
      <c r="L7" s="408">
        <v>0</v>
      </c>
      <c r="M7" s="407">
        <v>0</v>
      </c>
      <c r="N7" s="390">
        <v>0</v>
      </c>
      <c r="O7" s="390">
        <v>0</v>
      </c>
      <c r="P7" s="390">
        <v>0</v>
      </c>
      <c r="Q7" s="390">
        <v>0</v>
      </c>
      <c r="R7" s="390">
        <v>0</v>
      </c>
      <c r="S7" s="408">
        <v>0</v>
      </c>
      <c r="T7" s="409">
        <v>0</v>
      </c>
      <c r="U7" s="410">
        <v>0</v>
      </c>
      <c r="V7" s="411">
        <f>SUM(C7:U7)</f>
        <v>0</v>
      </c>
    </row>
    <row r="8" spans="1:22" x14ac:dyDescent="0.25">
      <c r="A8" s="405">
        <v>2</v>
      </c>
      <c r="B8" s="406" t="s">
        <v>407</v>
      </c>
      <c r="C8" s="407">
        <v>0</v>
      </c>
      <c r="D8" s="390">
        <v>0</v>
      </c>
      <c r="E8" s="390">
        <v>0</v>
      </c>
      <c r="F8" s="390">
        <v>0</v>
      </c>
      <c r="G8" s="390">
        <v>0</v>
      </c>
      <c r="H8" s="390">
        <v>0</v>
      </c>
      <c r="I8" s="390">
        <v>0</v>
      </c>
      <c r="J8" s="390">
        <v>0</v>
      </c>
      <c r="K8" s="390">
        <v>0</v>
      </c>
      <c r="L8" s="408">
        <v>0</v>
      </c>
      <c r="M8" s="407">
        <v>0</v>
      </c>
      <c r="N8" s="390">
        <v>0</v>
      </c>
      <c r="O8" s="390">
        <v>0</v>
      </c>
      <c r="P8" s="390">
        <v>0</v>
      </c>
      <c r="Q8" s="390">
        <v>0</v>
      </c>
      <c r="R8" s="390">
        <v>0</v>
      </c>
      <c r="S8" s="408">
        <v>0</v>
      </c>
      <c r="T8" s="410">
        <v>0</v>
      </c>
      <c r="U8" s="410">
        <v>0</v>
      </c>
      <c r="V8" s="411">
        <f>SUM(C8:S8)</f>
        <v>0</v>
      </c>
    </row>
    <row r="9" spans="1:22" x14ac:dyDescent="0.25">
      <c r="A9" s="405">
        <v>3</v>
      </c>
      <c r="B9" s="406" t="s">
        <v>408</v>
      </c>
      <c r="C9" s="407">
        <v>0</v>
      </c>
      <c r="D9" s="390">
        <v>0</v>
      </c>
      <c r="E9" s="390">
        <v>0</v>
      </c>
      <c r="F9" s="390">
        <v>0</v>
      </c>
      <c r="G9" s="390">
        <v>0</v>
      </c>
      <c r="H9" s="390">
        <v>0</v>
      </c>
      <c r="I9" s="390">
        <v>0</v>
      </c>
      <c r="J9" s="390">
        <v>0</v>
      </c>
      <c r="K9" s="390">
        <v>0</v>
      </c>
      <c r="L9" s="408">
        <v>0</v>
      </c>
      <c r="M9" s="407">
        <v>0</v>
      </c>
      <c r="N9" s="390">
        <v>0</v>
      </c>
      <c r="O9" s="390">
        <v>0</v>
      </c>
      <c r="P9" s="390">
        <v>0</v>
      </c>
      <c r="Q9" s="390">
        <v>0</v>
      </c>
      <c r="R9" s="390">
        <v>0</v>
      </c>
      <c r="S9" s="408">
        <v>0</v>
      </c>
      <c r="T9" s="410">
        <v>0</v>
      </c>
      <c r="U9" s="410">
        <v>0</v>
      </c>
      <c r="V9" s="411">
        <f t="shared" ref="V9:V20" si="0">SUM(C9:U9)</f>
        <v>0</v>
      </c>
    </row>
    <row r="10" spans="1:22" x14ac:dyDescent="0.25">
      <c r="A10" s="405">
        <v>4</v>
      </c>
      <c r="B10" s="406" t="s">
        <v>409</v>
      </c>
      <c r="C10" s="407">
        <v>0</v>
      </c>
      <c r="D10" s="390">
        <v>0</v>
      </c>
      <c r="E10" s="390">
        <v>0</v>
      </c>
      <c r="F10" s="390">
        <v>0</v>
      </c>
      <c r="G10" s="390">
        <v>0</v>
      </c>
      <c r="H10" s="390">
        <v>0</v>
      </c>
      <c r="I10" s="390">
        <v>0</v>
      </c>
      <c r="J10" s="390">
        <v>0</v>
      </c>
      <c r="K10" s="390">
        <v>0</v>
      </c>
      <c r="L10" s="408">
        <v>0</v>
      </c>
      <c r="M10" s="407">
        <v>0</v>
      </c>
      <c r="N10" s="390">
        <v>0</v>
      </c>
      <c r="O10" s="390">
        <v>0</v>
      </c>
      <c r="P10" s="390">
        <v>0</v>
      </c>
      <c r="Q10" s="390">
        <v>0</v>
      </c>
      <c r="R10" s="390">
        <v>0</v>
      </c>
      <c r="S10" s="408">
        <v>0</v>
      </c>
      <c r="T10" s="410">
        <v>0</v>
      </c>
      <c r="U10" s="410">
        <v>0</v>
      </c>
      <c r="V10" s="411">
        <f t="shared" si="0"/>
        <v>0</v>
      </c>
    </row>
    <row r="11" spans="1:22" x14ac:dyDescent="0.25">
      <c r="A11" s="405">
        <v>5</v>
      </c>
      <c r="B11" s="406" t="s">
        <v>410</v>
      </c>
      <c r="C11" s="407">
        <v>0</v>
      </c>
      <c r="D11" s="390">
        <v>0</v>
      </c>
      <c r="E11" s="390">
        <v>0</v>
      </c>
      <c r="F11" s="390">
        <v>0</v>
      </c>
      <c r="G11" s="390">
        <v>0</v>
      </c>
      <c r="H11" s="390">
        <v>0</v>
      </c>
      <c r="I11" s="390">
        <v>0</v>
      </c>
      <c r="J11" s="390">
        <v>0</v>
      </c>
      <c r="K11" s="390">
        <v>0</v>
      </c>
      <c r="L11" s="408">
        <v>0</v>
      </c>
      <c r="M11" s="407">
        <v>0</v>
      </c>
      <c r="N11" s="390">
        <v>0</v>
      </c>
      <c r="O11" s="390">
        <v>0</v>
      </c>
      <c r="P11" s="390">
        <v>0</v>
      </c>
      <c r="Q11" s="390">
        <v>0</v>
      </c>
      <c r="R11" s="390">
        <v>0</v>
      </c>
      <c r="S11" s="408">
        <v>0</v>
      </c>
      <c r="T11" s="410">
        <v>0</v>
      </c>
      <c r="U11" s="410">
        <v>0</v>
      </c>
      <c r="V11" s="411">
        <f t="shared" si="0"/>
        <v>0</v>
      </c>
    </row>
    <row r="12" spans="1:22" x14ac:dyDescent="0.25">
      <c r="A12" s="405">
        <v>6</v>
      </c>
      <c r="B12" s="406" t="s">
        <v>411</v>
      </c>
      <c r="C12" s="407">
        <v>0</v>
      </c>
      <c r="D12" s="390">
        <v>0</v>
      </c>
      <c r="E12" s="390">
        <v>0</v>
      </c>
      <c r="F12" s="390">
        <v>0</v>
      </c>
      <c r="G12" s="390">
        <v>0</v>
      </c>
      <c r="H12" s="390">
        <v>0</v>
      </c>
      <c r="I12" s="390">
        <v>0</v>
      </c>
      <c r="J12" s="390">
        <v>0</v>
      </c>
      <c r="K12" s="390">
        <v>0</v>
      </c>
      <c r="L12" s="408">
        <v>0</v>
      </c>
      <c r="M12" s="407">
        <v>0</v>
      </c>
      <c r="N12" s="390">
        <v>0</v>
      </c>
      <c r="O12" s="390">
        <v>0</v>
      </c>
      <c r="P12" s="390">
        <v>0</v>
      </c>
      <c r="Q12" s="390">
        <v>0</v>
      </c>
      <c r="R12" s="390">
        <v>0</v>
      </c>
      <c r="S12" s="408">
        <v>0</v>
      </c>
      <c r="T12" s="410">
        <v>0</v>
      </c>
      <c r="U12" s="410">
        <v>0</v>
      </c>
      <c r="V12" s="411">
        <f t="shared" si="0"/>
        <v>0</v>
      </c>
    </row>
    <row r="13" spans="1:22" x14ac:dyDescent="0.25">
      <c r="A13" s="405">
        <v>7</v>
      </c>
      <c r="B13" s="406" t="s">
        <v>412</v>
      </c>
      <c r="C13" s="407">
        <v>0</v>
      </c>
      <c r="D13" s="390">
        <v>0</v>
      </c>
      <c r="E13" s="390">
        <v>0</v>
      </c>
      <c r="F13" s="390">
        <v>0</v>
      </c>
      <c r="G13" s="390">
        <v>0</v>
      </c>
      <c r="H13" s="390">
        <v>0</v>
      </c>
      <c r="I13" s="390">
        <v>0</v>
      </c>
      <c r="J13" s="390">
        <v>0</v>
      </c>
      <c r="K13" s="390">
        <v>0</v>
      </c>
      <c r="L13" s="408">
        <v>0</v>
      </c>
      <c r="M13" s="407">
        <v>0</v>
      </c>
      <c r="N13" s="390">
        <v>0</v>
      </c>
      <c r="O13" s="390">
        <v>0</v>
      </c>
      <c r="P13" s="390">
        <v>0</v>
      </c>
      <c r="Q13" s="390">
        <v>0</v>
      </c>
      <c r="R13" s="390">
        <v>0</v>
      </c>
      <c r="S13" s="408">
        <v>0</v>
      </c>
      <c r="T13" s="410">
        <v>0</v>
      </c>
      <c r="U13" s="410">
        <v>0</v>
      </c>
      <c r="V13" s="411">
        <f t="shared" si="0"/>
        <v>0</v>
      </c>
    </row>
    <row r="14" spans="1:22" x14ac:dyDescent="0.25">
      <c r="A14" s="405">
        <v>8</v>
      </c>
      <c r="B14" s="406" t="s">
        <v>413</v>
      </c>
      <c r="C14" s="407">
        <v>0</v>
      </c>
      <c r="D14" s="390">
        <v>0</v>
      </c>
      <c r="E14" s="390">
        <v>0</v>
      </c>
      <c r="F14" s="390">
        <v>0</v>
      </c>
      <c r="G14" s="390">
        <v>0</v>
      </c>
      <c r="H14" s="390">
        <v>0</v>
      </c>
      <c r="I14" s="390">
        <v>0</v>
      </c>
      <c r="J14" s="390">
        <v>0</v>
      </c>
      <c r="K14" s="390">
        <v>0</v>
      </c>
      <c r="L14" s="408">
        <v>0</v>
      </c>
      <c r="M14" s="407">
        <v>0</v>
      </c>
      <c r="N14" s="390">
        <v>0</v>
      </c>
      <c r="O14" s="390">
        <v>0</v>
      </c>
      <c r="P14" s="390">
        <v>0</v>
      </c>
      <c r="Q14" s="390">
        <v>0</v>
      </c>
      <c r="R14" s="390">
        <v>0</v>
      </c>
      <c r="S14" s="408">
        <v>0</v>
      </c>
      <c r="T14" s="410">
        <v>0</v>
      </c>
      <c r="U14" s="410">
        <v>0</v>
      </c>
      <c r="V14" s="411">
        <f t="shared" si="0"/>
        <v>0</v>
      </c>
    </row>
    <row r="15" spans="1:22" x14ac:dyDescent="0.25">
      <c r="A15" s="405">
        <v>9</v>
      </c>
      <c r="B15" s="406" t="s">
        <v>414</v>
      </c>
      <c r="C15" s="407">
        <v>0</v>
      </c>
      <c r="D15" s="390">
        <v>0</v>
      </c>
      <c r="E15" s="390">
        <v>0</v>
      </c>
      <c r="F15" s="390">
        <v>0</v>
      </c>
      <c r="G15" s="390">
        <v>0</v>
      </c>
      <c r="H15" s="390">
        <v>0</v>
      </c>
      <c r="I15" s="390">
        <v>0</v>
      </c>
      <c r="J15" s="390">
        <v>0</v>
      </c>
      <c r="K15" s="390">
        <v>0</v>
      </c>
      <c r="L15" s="408">
        <v>0</v>
      </c>
      <c r="M15" s="407">
        <v>0</v>
      </c>
      <c r="N15" s="390">
        <v>0</v>
      </c>
      <c r="O15" s="390">
        <v>0</v>
      </c>
      <c r="P15" s="390">
        <v>0</v>
      </c>
      <c r="Q15" s="390">
        <v>0</v>
      </c>
      <c r="R15" s="390">
        <v>0</v>
      </c>
      <c r="S15" s="408">
        <v>0</v>
      </c>
      <c r="T15" s="410">
        <v>0</v>
      </c>
      <c r="U15" s="410">
        <v>0</v>
      </c>
      <c r="V15" s="411">
        <f t="shared" si="0"/>
        <v>0</v>
      </c>
    </row>
    <row r="16" spans="1:22" x14ac:dyDescent="0.25">
      <c r="A16" s="405">
        <v>10</v>
      </c>
      <c r="B16" s="406" t="s">
        <v>415</v>
      </c>
      <c r="C16" s="407">
        <v>0</v>
      </c>
      <c r="D16" s="390">
        <v>0</v>
      </c>
      <c r="E16" s="390">
        <v>0</v>
      </c>
      <c r="F16" s="390">
        <v>0</v>
      </c>
      <c r="G16" s="390">
        <v>0</v>
      </c>
      <c r="H16" s="390">
        <v>0</v>
      </c>
      <c r="I16" s="390">
        <v>0</v>
      </c>
      <c r="J16" s="390">
        <v>0</v>
      </c>
      <c r="K16" s="390">
        <v>0</v>
      </c>
      <c r="L16" s="408">
        <v>0</v>
      </c>
      <c r="M16" s="407">
        <v>0</v>
      </c>
      <c r="N16" s="390">
        <v>0</v>
      </c>
      <c r="O16" s="390">
        <v>0</v>
      </c>
      <c r="P16" s="390">
        <v>0</v>
      </c>
      <c r="Q16" s="390">
        <v>0</v>
      </c>
      <c r="R16" s="390">
        <v>0</v>
      </c>
      <c r="S16" s="408">
        <v>0</v>
      </c>
      <c r="T16" s="410">
        <v>0</v>
      </c>
      <c r="U16" s="410">
        <v>0</v>
      </c>
      <c r="V16" s="411">
        <f t="shared" si="0"/>
        <v>0</v>
      </c>
    </row>
    <row r="17" spans="1:22" x14ac:dyDescent="0.25">
      <c r="A17" s="405">
        <v>11</v>
      </c>
      <c r="B17" s="406" t="s">
        <v>416</v>
      </c>
      <c r="C17" s="407">
        <v>0</v>
      </c>
      <c r="D17" s="390">
        <v>0</v>
      </c>
      <c r="E17" s="390">
        <v>0</v>
      </c>
      <c r="F17" s="390">
        <v>0</v>
      </c>
      <c r="G17" s="390">
        <v>0</v>
      </c>
      <c r="H17" s="390">
        <v>0</v>
      </c>
      <c r="I17" s="390">
        <v>0</v>
      </c>
      <c r="J17" s="390">
        <v>0</v>
      </c>
      <c r="K17" s="390">
        <v>0</v>
      </c>
      <c r="L17" s="408">
        <v>0</v>
      </c>
      <c r="M17" s="407">
        <v>0</v>
      </c>
      <c r="N17" s="390">
        <v>0</v>
      </c>
      <c r="O17" s="390">
        <v>0</v>
      </c>
      <c r="P17" s="390">
        <v>0</v>
      </c>
      <c r="Q17" s="390">
        <v>0</v>
      </c>
      <c r="R17" s="390">
        <v>0</v>
      </c>
      <c r="S17" s="408">
        <v>0</v>
      </c>
      <c r="T17" s="410">
        <v>0</v>
      </c>
      <c r="U17" s="410">
        <v>0</v>
      </c>
      <c r="V17" s="411">
        <f t="shared" si="0"/>
        <v>0</v>
      </c>
    </row>
    <row r="18" spans="1:22" x14ac:dyDescent="0.25">
      <c r="A18" s="405">
        <v>12</v>
      </c>
      <c r="B18" s="406" t="s">
        <v>417</v>
      </c>
      <c r="C18" s="407">
        <v>0</v>
      </c>
      <c r="D18" s="390">
        <v>0</v>
      </c>
      <c r="E18" s="390">
        <v>0</v>
      </c>
      <c r="F18" s="390">
        <v>0</v>
      </c>
      <c r="G18" s="390">
        <v>0</v>
      </c>
      <c r="H18" s="390">
        <v>0</v>
      </c>
      <c r="I18" s="390">
        <v>0</v>
      </c>
      <c r="J18" s="390">
        <v>0</v>
      </c>
      <c r="K18" s="390">
        <v>0</v>
      </c>
      <c r="L18" s="408">
        <v>0</v>
      </c>
      <c r="M18" s="407">
        <v>0</v>
      </c>
      <c r="N18" s="390">
        <v>0</v>
      </c>
      <c r="O18" s="390">
        <v>0</v>
      </c>
      <c r="P18" s="390">
        <v>0</v>
      </c>
      <c r="Q18" s="390">
        <v>0</v>
      </c>
      <c r="R18" s="390">
        <v>0</v>
      </c>
      <c r="S18" s="408">
        <v>0</v>
      </c>
      <c r="T18" s="410">
        <v>0</v>
      </c>
      <c r="U18" s="410">
        <v>0</v>
      </c>
      <c r="V18" s="411">
        <f t="shared" si="0"/>
        <v>0</v>
      </c>
    </row>
    <row r="19" spans="1:22" x14ac:dyDescent="0.25">
      <c r="A19" s="405">
        <v>13</v>
      </c>
      <c r="B19" s="406" t="s">
        <v>418</v>
      </c>
      <c r="C19" s="407">
        <v>0</v>
      </c>
      <c r="D19" s="390">
        <v>0</v>
      </c>
      <c r="E19" s="390">
        <v>0</v>
      </c>
      <c r="F19" s="390">
        <v>0</v>
      </c>
      <c r="G19" s="390">
        <v>0</v>
      </c>
      <c r="H19" s="390">
        <v>0</v>
      </c>
      <c r="I19" s="390">
        <v>0</v>
      </c>
      <c r="J19" s="390">
        <v>0</v>
      </c>
      <c r="K19" s="390">
        <v>0</v>
      </c>
      <c r="L19" s="408">
        <v>0</v>
      </c>
      <c r="M19" s="407">
        <v>0</v>
      </c>
      <c r="N19" s="390">
        <v>0</v>
      </c>
      <c r="O19" s="390">
        <v>0</v>
      </c>
      <c r="P19" s="390">
        <v>0</v>
      </c>
      <c r="Q19" s="390">
        <v>0</v>
      </c>
      <c r="R19" s="390">
        <v>0</v>
      </c>
      <c r="S19" s="408">
        <v>0</v>
      </c>
      <c r="T19" s="410">
        <v>0</v>
      </c>
      <c r="U19" s="410">
        <v>0</v>
      </c>
      <c r="V19" s="411">
        <f t="shared" si="0"/>
        <v>0</v>
      </c>
    </row>
    <row r="20" spans="1:22" x14ac:dyDescent="0.25">
      <c r="A20" s="405">
        <v>14</v>
      </c>
      <c r="B20" s="406" t="s">
        <v>419</v>
      </c>
      <c r="C20" s="407">
        <v>0</v>
      </c>
      <c r="D20" s="390">
        <v>0</v>
      </c>
      <c r="E20" s="390">
        <v>0</v>
      </c>
      <c r="F20" s="390">
        <v>0</v>
      </c>
      <c r="G20" s="390">
        <v>0</v>
      </c>
      <c r="H20" s="390">
        <v>0</v>
      </c>
      <c r="I20" s="390">
        <v>0</v>
      </c>
      <c r="J20" s="390">
        <v>0</v>
      </c>
      <c r="K20" s="390">
        <v>0</v>
      </c>
      <c r="L20" s="408">
        <v>0</v>
      </c>
      <c r="M20" s="407">
        <v>0</v>
      </c>
      <c r="N20" s="390">
        <v>0</v>
      </c>
      <c r="O20" s="390">
        <v>0</v>
      </c>
      <c r="P20" s="390">
        <v>0</v>
      </c>
      <c r="Q20" s="390">
        <v>0</v>
      </c>
      <c r="R20" s="390">
        <v>0</v>
      </c>
      <c r="S20" s="408">
        <v>0</v>
      </c>
      <c r="T20" s="410">
        <v>0</v>
      </c>
      <c r="U20" s="410">
        <v>0</v>
      </c>
      <c r="V20" s="411">
        <f t="shared" si="0"/>
        <v>0</v>
      </c>
    </row>
    <row r="21" spans="1:22" ht="14.25" thickBot="1" x14ac:dyDescent="0.3">
      <c r="A21" s="394"/>
      <c r="B21" s="412" t="s">
        <v>96</v>
      </c>
      <c r="C21" s="413">
        <f>SUM(C7:C20)</f>
        <v>0</v>
      </c>
      <c r="D21" s="396">
        <f t="shared" ref="D21:V21" si="1">SUM(D7:D20)</f>
        <v>0</v>
      </c>
      <c r="E21" s="396">
        <f t="shared" si="1"/>
        <v>0</v>
      </c>
      <c r="F21" s="396">
        <f t="shared" si="1"/>
        <v>0</v>
      </c>
      <c r="G21" s="396">
        <f t="shared" si="1"/>
        <v>0</v>
      </c>
      <c r="H21" s="396">
        <f t="shared" si="1"/>
        <v>0</v>
      </c>
      <c r="I21" s="396">
        <f t="shared" si="1"/>
        <v>0</v>
      </c>
      <c r="J21" s="396">
        <f t="shared" si="1"/>
        <v>0</v>
      </c>
      <c r="K21" s="396">
        <f t="shared" si="1"/>
        <v>0</v>
      </c>
      <c r="L21" s="414">
        <f t="shared" si="1"/>
        <v>0</v>
      </c>
      <c r="M21" s="413">
        <f t="shared" si="1"/>
        <v>0</v>
      </c>
      <c r="N21" s="396">
        <f t="shared" si="1"/>
        <v>0</v>
      </c>
      <c r="O21" s="396">
        <f t="shared" si="1"/>
        <v>0</v>
      </c>
      <c r="P21" s="396">
        <f t="shared" si="1"/>
        <v>0</v>
      </c>
      <c r="Q21" s="396">
        <f t="shared" si="1"/>
        <v>0</v>
      </c>
      <c r="R21" s="396">
        <f t="shared" si="1"/>
        <v>0</v>
      </c>
      <c r="S21" s="414">
        <f t="shared" si="1"/>
        <v>0</v>
      </c>
      <c r="T21" s="414">
        <f>SUM(T7:T20)</f>
        <v>0</v>
      </c>
      <c r="U21" s="414">
        <f t="shared" si="1"/>
        <v>0</v>
      </c>
      <c r="V21" s="415">
        <f t="shared" si="1"/>
        <v>0</v>
      </c>
    </row>
    <row r="22" spans="1:22" x14ac:dyDescent="0.25">
      <c r="B22" s="210"/>
    </row>
    <row r="24" spans="1:22" x14ac:dyDescent="0.25">
      <c r="C24" s="416"/>
      <c r="D24" s="416"/>
      <c r="E24" s="416"/>
    </row>
    <row r="25" spans="1:22" x14ac:dyDescent="0.25">
      <c r="A25" s="260"/>
      <c r="B25" s="260"/>
      <c r="D25" s="416"/>
      <c r="E25" s="416"/>
    </row>
    <row r="26" spans="1:22" x14ac:dyDescent="0.25">
      <c r="A26" s="260"/>
      <c r="B26" s="417"/>
      <c r="D26" s="416"/>
      <c r="E26" s="416"/>
    </row>
    <row r="27" spans="1:22" x14ac:dyDescent="0.25">
      <c r="A27" s="260"/>
      <c r="B27" s="260"/>
      <c r="D27" s="416"/>
      <c r="E27" s="416"/>
    </row>
    <row r="28" spans="1:22" x14ac:dyDescent="0.25">
      <c r="A28" s="260"/>
      <c r="B28" s="417"/>
      <c r="D28" s="416"/>
      <c r="E28" s="416"/>
    </row>
  </sheetData>
  <mergeCells count="5">
    <mergeCell ref="C5:L5"/>
    <mergeCell ref="M5:S5"/>
    <mergeCell ref="T5:T6"/>
    <mergeCell ref="U5:U6"/>
    <mergeCell ref="V5:V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1FE74-DEFB-4DD3-B9B0-5FC698ED93BE}">
  <dimension ref="A1:I27"/>
  <sheetViews>
    <sheetView zoomScaleNormal="100" workbookViewId="0">
      <pane xSplit="1" ySplit="7" topLeftCell="B8" activePane="bottomRight" state="frozen"/>
      <selection activeCell="I28" sqref="I28"/>
      <selection pane="topRight" activeCell="I28" sqref="I28"/>
      <selection pane="bottomLeft" activeCell="I28" sqref="I28"/>
      <selection pane="bottomRight" activeCell="H26" sqref="H26"/>
    </sheetView>
  </sheetViews>
  <sheetFormatPr defaultColWidth="9.140625" defaultRowHeight="13.5" x14ac:dyDescent="0.25"/>
  <cols>
    <col min="1" max="1" width="10.5703125" style="20" bestFit="1" customWidth="1"/>
    <col min="2" max="2" width="101.85546875" style="20" customWidth="1"/>
    <col min="3" max="3" width="13.7109375" style="20" customWidth="1"/>
    <col min="4" max="4" width="14.85546875" style="20" bestFit="1" customWidth="1"/>
    <col min="5" max="5" width="17.7109375" style="20" customWidth="1"/>
    <col min="6" max="6" width="15.85546875" style="20" customWidth="1"/>
    <col min="7" max="7" width="22.85546875" style="20" customWidth="1"/>
    <col min="8" max="8" width="15.28515625" style="20" customWidth="1"/>
    <col min="9" max="16384" width="9.140625" style="186"/>
  </cols>
  <sheetData>
    <row r="1" spans="1:9" x14ac:dyDescent="0.25">
      <c r="A1" s="20" t="s">
        <v>41</v>
      </c>
      <c r="B1" s="20" t="str">
        <f>Info!C2</f>
        <v>სს სილქ ბანკი</v>
      </c>
    </row>
    <row r="2" spans="1:9" x14ac:dyDescent="0.25">
      <c r="A2" s="20" t="s">
        <v>42</v>
      </c>
      <c r="B2" s="24">
        <f>'1. key ratios'!B2</f>
        <v>45473</v>
      </c>
    </row>
    <row r="4" spans="1:9" ht="40.5" customHeight="1" thickBot="1" x14ac:dyDescent="0.3">
      <c r="A4" s="20" t="s">
        <v>444</v>
      </c>
      <c r="B4" s="278" t="s">
        <v>445</v>
      </c>
    </row>
    <row r="5" spans="1:9" x14ac:dyDescent="0.25">
      <c r="A5" s="398"/>
      <c r="B5" s="418"/>
      <c r="C5" s="419" t="s">
        <v>286</v>
      </c>
      <c r="D5" s="419" t="s">
        <v>287</v>
      </c>
      <c r="E5" s="419" t="s">
        <v>288</v>
      </c>
      <c r="F5" s="419" t="s">
        <v>388</v>
      </c>
      <c r="G5" s="420" t="s">
        <v>389</v>
      </c>
      <c r="H5" s="421" t="s">
        <v>390</v>
      </c>
      <c r="I5" s="422"/>
    </row>
    <row r="6" spans="1:9" ht="15" customHeight="1" x14ac:dyDescent="0.25">
      <c r="A6" s="386"/>
      <c r="B6" s="423"/>
      <c r="C6" s="824" t="s">
        <v>446</v>
      </c>
      <c r="D6" s="833" t="s">
        <v>447</v>
      </c>
      <c r="E6" s="834"/>
      <c r="F6" s="824" t="s">
        <v>448</v>
      </c>
      <c r="G6" s="824" t="s">
        <v>449</v>
      </c>
      <c r="H6" s="835" t="s">
        <v>450</v>
      </c>
      <c r="I6" s="422"/>
    </row>
    <row r="7" spans="1:9" ht="81" x14ac:dyDescent="0.25">
      <c r="A7" s="386"/>
      <c r="B7" s="423"/>
      <c r="C7" s="825"/>
      <c r="D7" s="250" t="s">
        <v>451</v>
      </c>
      <c r="E7" s="250" t="s">
        <v>452</v>
      </c>
      <c r="F7" s="825"/>
      <c r="G7" s="825"/>
      <c r="H7" s="836"/>
      <c r="I7" s="422"/>
    </row>
    <row r="8" spans="1:9" x14ac:dyDescent="0.25">
      <c r="A8" s="424">
        <v>1</v>
      </c>
      <c r="B8" s="292" t="s">
        <v>406</v>
      </c>
      <c r="C8" s="390">
        <v>28525132.902955901</v>
      </c>
      <c r="D8" s="390"/>
      <c r="E8" s="390"/>
      <c r="F8" s="390">
        <v>3040490.7799999979</v>
      </c>
      <c r="G8" s="391">
        <v>3040490.7799999979</v>
      </c>
      <c r="H8" s="425">
        <f>G8/(C8+E8)</f>
        <v>0.10658989005744225</v>
      </c>
    </row>
    <row r="9" spans="1:9" ht="15" customHeight="1" x14ac:dyDescent="0.25">
      <c r="A9" s="424">
        <v>2</v>
      </c>
      <c r="B9" s="292" t="s">
        <v>407</v>
      </c>
      <c r="C9" s="390">
        <v>0</v>
      </c>
      <c r="D9" s="390"/>
      <c r="E9" s="390"/>
      <c r="F9" s="390">
        <v>0</v>
      </c>
      <c r="G9" s="391">
        <v>0</v>
      </c>
      <c r="H9" s="425" t="e">
        <f t="shared" ref="H9:H21" si="0">G9/(C9+E9)</f>
        <v>#DIV/0!</v>
      </c>
    </row>
    <row r="10" spans="1:9" x14ac:dyDescent="0.25">
      <c r="A10" s="424">
        <v>3</v>
      </c>
      <c r="B10" s="292" t="s">
        <v>408</v>
      </c>
      <c r="C10" s="390">
        <v>0</v>
      </c>
      <c r="D10" s="390"/>
      <c r="E10" s="390"/>
      <c r="F10" s="390">
        <v>0</v>
      </c>
      <c r="G10" s="391">
        <v>0</v>
      </c>
      <c r="H10" s="425" t="e">
        <f t="shared" si="0"/>
        <v>#DIV/0!</v>
      </c>
    </row>
    <row r="11" spans="1:9" x14ac:dyDescent="0.25">
      <c r="A11" s="424">
        <v>4</v>
      </c>
      <c r="B11" s="292" t="s">
        <v>409</v>
      </c>
      <c r="C11" s="390">
        <v>0</v>
      </c>
      <c r="D11" s="390"/>
      <c r="E11" s="390"/>
      <c r="F11" s="390">
        <v>0</v>
      </c>
      <c r="G11" s="391">
        <v>0</v>
      </c>
      <c r="H11" s="425" t="e">
        <f t="shared" si="0"/>
        <v>#DIV/0!</v>
      </c>
    </row>
    <row r="12" spans="1:9" x14ac:dyDescent="0.25">
      <c r="A12" s="424">
        <v>5</v>
      </c>
      <c r="B12" s="292" t="s">
        <v>410</v>
      </c>
      <c r="C12" s="390">
        <v>0</v>
      </c>
      <c r="D12" s="390"/>
      <c r="E12" s="390"/>
      <c r="F12" s="390">
        <v>0</v>
      </c>
      <c r="G12" s="391">
        <v>0</v>
      </c>
      <c r="H12" s="425" t="e">
        <f t="shared" si="0"/>
        <v>#DIV/0!</v>
      </c>
    </row>
    <row r="13" spans="1:9" x14ac:dyDescent="0.25">
      <c r="A13" s="424">
        <v>6</v>
      </c>
      <c r="B13" s="292" t="s">
        <v>411</v>
      </c>
      <c r="C13" s="390">
        <v>53340612.030000009</v>
      </c>
      <c r="D13" s="390"/>
      <c r="E13" s="390"/>
      <c r="F13" s="390">
        <v>20054766.334000006</v>
      </c>
      <c r="G13" s="391">
        <v>20054766.334000006</v>
      </c>
      <c r="H13" s="425">
        <f t="shared" si="0"/>
        <v>0.37597555728683307</v>
      </c>
    </row>
    <row r="14" spans="1:9" x14ac:dyDescent="0.25">
      <c r="A14" s="424">
        <v>7</v>
      </c>
      <c r="B14" s="292" t="s">
        <v>412</v>
      </c>
      <c r="C14" s="390">
        <v>65259092.979999997</v>
      </c>
      <c r="D14" s="390">
        <v>10086764.184646253</v>
      </c>
      <c r="E14" s="390">
        <v>5787333.593861334</v>
      </c>
      <c r="F14" s="390">
        <v>65259092.979999997</v>
      </c>
      <c r="G14" s="391">
        <v>65259092.979999997</v>
      </c>
      <c r="H14" s="425">
        <f>G14/(C14+E14)</f>
        <v>0.91854152456429738</v>
      </c>
    </row>
    <row r="15" spans="1:9" x14ac:dyDescent="0.25">
      <c r="A15" s="424">
        <v>8</v>
      </c>
      <c r="B15" s="292" t="s">
        <v>413</v>
      </c>
      <c r="C15" s="390">
        <v>20532955.57</v>
      </c>
      <c r="D15" s="390"/>
      <c r="E15" s="390"/>
      <c r="F15" s="390">
        <v>20532955.57</v>
      </c>
      <c r="G15" s="391">
        <v>20532955.57</v>
      </c>
      <c r="H15" s="425">
        <f t="shared" si="0"/>
        <v>1</v>
      </c>
    </row>
    <row r="16" spans="1:9" x14ac:dyDescent="0.25">
      <c r="A16" s="424">
        <v>9</v>
      </c>
      <c r="B16" s="292" t="s">
        <v>414</v>
      </c>
      <c r="C16" s="390">
        <v>0</v>
      </c>
      <c r="D16" s="390"/>
      <c r="E16" s="390"/>
      <c r="F16" s="390">
        <v>0</v>
      </c>
      <c r="G16" s="391">
        <v>0</v>
      </c>
      <c r="H16" s="425" t="e">
        <f t="shared" si="0"/>
        <v>#DIV/0!</v>
      </c>
    </row>
    <row r="17" spans="1:8" x14ac:dyDescent="0.25">
      <c r="A17" s="424">
        <v>10</v>
      </c>
      <c r="B17" s="292" t="s">
        <v>415</v>
      </c>
      <c r="C17" s="390">
        <v>130080.95</v>
      </c>
      <c r="D17" s="390"/>
      <c r="E17" s="390"/>
      <c r="F17" s="390">
        <v>130080.95</v>
      </c>
      <c r="G17" s="391">
        <v>130080.95</v>
      </c>
      <c r="H17" s="425">
        <f t="shared" si="0"/>
        <v>1</v>
      </c>
    </row>
    <row r="18" spans="1:8" x14ac:dyDescent="0.25">
      <c r="A18" s="424">
        <v>11</v>
      </c>
      <c r="B18" s="292" t="s">
        <v>416</v>
      </c>
      <c r="C18" s="390">
        <v>0</v>
      </c>
      <c r="D18" s="390"/>
      <c r="E18" s="390"/>
      <c r="F18" s="390">
        <v>0</v>
      </c>
      <c r="G18" s="391">
        <v>0</v>
      </c>
      <c r="H18" s="425" t="e">
        <f t="shared" si="0"/>
        <v>#DIV/0!</v>
      </c>
    </row>
    <row r="19" spans="1:8" x14ac:dyDescent="0.25">
      <c r="A19" s="424">
        <v>12</v>
      </c>
      <c r="B19" s="292" t="s">
        <v>417</v>
      </c>
      <c r="C19" s="390">
        <v>0</v>
      </c>
      <c r="D19" s="390"/>
      <c r="E19" s="390"/>
      <c r="F19" s="390">
        <v>0</v>
      </c>
      <c r="G19" s="391">
        <v>0</v>
      </c>
      <c r="H19" s="425" t="e">
        <f t="shared" si="0"/>
        <v>#DIV/0!</v>
      </c>
    </row>
    <row r="20" spans="1:8" x14ac:dyDescent="0.25">
      <c r="A20" s="424">
        <v>13</v>
      </c>
      <c r="B20" s="292" t="s">
        <v>418</v>
      </c>
      <c r="C20" s="390">
        <v>0</v>
      </c>
      <c r="D20" s="390"/>
      <c r="E20" s="390"/>
      <c r="F20" s="390">
        <v>0</v>
      </c>
      <c r="G20" s="391">
        <v>0</v>
      </c>
      <c r="H20" s="425" t="e">
        <f t="shared" si="0"/>
        <v>#DIV/0!</v>
      </c>
    </row>
    <row r="21" spans="1:8" x14ac:dyDescent="0.25">
      <c r="A21" s="424">
        <v>14</v>
      </c>
      <c r="B21" s="292" t="s">
        <v>419</v>
      </c>
      <c r="C21" s="390">
        <v>34153195.712211363</v>
      </c>
      <c r="D21" s="390"/>
      <c r="E21" s="390"/>
      <c r="F21" s="390">
        <v>30750475.564211361</v>
      </c>
      <c r="G21" s="391">
        <v>30750475.564211361</v>
      </c>
      <c r="H21" s="425">
        <f t="shared" si="0"/>
        <v>0.90036890905692402</v>
      </c>
    </row>
    <row r="22" spans="1:8" ht="14.25" thickBot="1" x14ac:dyDescent="0.3">
      <c r="A22" s="426"/>
      <c r="B22" s="427" t="s">
        <v>96</v>
      </c>
      <c r="C22" s="396">
        <f>SUM(C8:C21)</f>
        <v>201941070.14516726</v>
      </c>
      <c r="D22" s="396">
        <f>SUM(D8:D21)</f>
        <v>10086764.184646253</v>
      </c>
      <c r="E22" s="396">
        <f>SUM(E8:E21)</f>
        <v>5787333.593861334</v>
      </c>
      <c r="F22" s="396">
        <f>SUM(F8:F21)</f>
        <v>139767862.17821136</v>
      </c>
      <c r="G22" s="396">
        <f>SUM(G8:G21)</f>
        <v>139767862.17821136</v>
      </c>
      <c r="H22" s="428">
        <f>G22/(C22+E22)</f>
        <v>0.67283943679557279</v>
      </c>
    </row>
    <row r="27" spans="1:8" ht="10.5" customHeight="1" x14ac:dyDescent="0.25"/>
  </sheetData>
  <mergeCells count="5">
    <mergeCell ref="C6:C7"/>
    <mergeCell ref="D6:E6"/>
    <mergeCell ref="F6:F7"/>
    <mergeCell ref="G6:G7"/>
    <mergeCell ref="H6:H7"/>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C0DF7-A4D5-4576-84DE-D60594F99BA3}">
  <dimension ref="A1:K29"/>
  <sheetViews>
    <sheetView zoomScaleNormal="100" workbookViewId="0">
      <pane xSplit="2" ySplit="6" topLeftCell="C7" activePane="bottomRight" state="frozen"/>
      <selection activeCell="I28" sqref="I28"/>
      <selection pane="topRight" activeCell="I28" sqref="I28"/>
      <selection pane="bottomLeft" activeCell="I28" sqref="I28"/>
      <selection pane="bottomRight" activeCell="J28" sqref="J28"/>
    </sheetView>
  </sheetViews>
  <sheetFormatPr defaultColWidth="9.140625" defaultRowHeight="13.5" x14ac:dyDescent="0.25"/>
  <cols>
    <col min="1" max="1" width="10.5703125" style="20" bestFit="1" customWidth="1"/>
    <col min="2" max="2" width="70.28515625" style="20" customWidth="1"/>
    <col min="3" max="6" width="12.7109375" style="20" customWidth="1"/>
    <col min="7" max="7" width="15.42578125" style="20" customWidth="1"/>
    <col min="8" max="8" width="14.7109375" style="20" customWidth="1"/>
    <col min="9" max="9" width="15" style="20" customWidth="1"/>
    <col min="10" max="10" width="12.7109375" style="20" customWidth="1"/>
    <col min="11" max="11" width="15" style="20" customWidth="1"/>
    <col min="12" max="16384" width="9.140625" style="20"/>
  </cols>
  <sheetData>
    <row r="1" spans="1:11" x14ac:dyDescent="0.25">
      <c r="A1" s="20" t="s">
        <v>41</v>
      </c>
      <c r="B1" s="20" t="str">
        <f>Info!C2</f>
        <v>სს სილქ ბანკი</v>
      </c>
    </row>
    <row r="2" spans="1:11" x14ac:dyDescent="0.25">
      <c r="A2" s="20" t="s">
        <v>42</v>
      </c>
      <c r="B2" s="24">
        <f>'1. key ratios'!B2</f>
        <v>45473</v>
      </c>
    </row>
    <row r="3" spans="1:11" x14ac:dyDescent="0.25">
      <c r="B3" s="429"/>
    </row>
    <row r="4" spans="1:11" ht="40.5" customHeight="1" thickBot="1" x14ac:dyDescent="0.3">
      <c r="A4" s="20" t="s">
        <v>453</v>
      </c>
      <c r="B4" s="278" t="s">
        <v>27</v>
      </c>
    </row>
    <row r="5" spans="1:11" ht="30" customHeight="1" x14ac:dyDescent="0.25">
      <c r="A5" s="837"/>
      <c r="B5" s="838"/>
      <c r="C5" s="839" t="s">
        <v>454</v>
      </c>
      <c r="D5" s="839"/>
      <c r="E5" s="839"/>
      <c r="F5" s="839" t="s">
        <v>455</v>
      </c>
      <c r="G5" s="839"/>
      <c r="H5" s="839"/>
      <c r="I5" s="839" t="s">
        <v>456</v>
      </c>
      <c r="J5" s="839"/>
      <c r="K5" s="840"/>
    </row>
    <row r="6" spans="1:11" x14ac:dyDescent="0.25">
      <c r="A6" s="430"/>
      <c r="B6" s="431"/>
      <c r="C6" s="250" t="s">
        <v>94</v>
      </c>
      <c r="D6" s="250" t="s">
        <v>457</v>
      </c>
      <c r="E6" s="250" t="s">
        <v>96</v>
      </c>
      <c r="F6" s="250" t="s">
        <v>94</v>
      </c>
      <c r="G6" s="250" t="s">
        <v>457</v>
      </c>
      <c r="H6" s="250" t="s">
        <v>96</v>
      </c>
      <c r="I6" s="250" t="s">
        <v>94</v>
      </c>
      <c r="J6" s="250" t="s">
        <v>457</v>
      </c>
      <c r="K6" s="432" t="s">
        <v>96</v>
      </c>
    </row>
    <row r="7" spans="1:11" x14ac:dyDescent="0.25">
      <c r="A7" s="433" t="s">
        <v>458</v>
      </c>
      <c r="B7" s="434"/>
      <c r="C7" s="434"/>
      <c r="D7" s="434"/>
      <c r="E7" s="434"/>
      <c r="F7" s="434"/>
      <c r="G7" s="434"/>
      <c r="H7" s="434"/>
      <c r="I7" s="434"/>
      <c r="J7" s="434"/>
      <c r="K7" s="435"/>
    </row>
    <row r="8" spans="1:11" x14ac:dyDescent="0.25">
      <c r="A8" s="436">
        <v>1</v>
      </c>
      <c r="B8" s="437" t="s">
        <v>458</v>
      </c>
      <c r="C8" s="438"/>
      <c r="D8" s="438"/>
      <c r="E8" s="438"/>
      <c r="F8" s="439">
        <v>52731128.479999997</v>
      </c>
      <c r="G8" s="439">
        <v>13042966.549999999</v>
      </c>
      <c r="H8" s="439">
        <f>F8+G8</f>
        <v>65774095.029999994</v>
      </c>
      <c r="I8" s="439">
        <v>24448966.759999998</v>
      </c>
      <c r="J8" s="439">
        <v>4972866.91</v>
      </c>
      <c r="K8" s="440">
        <f>I8+J8</f>
        <v>29421833.669999998</v>
      </c>
    </row>
    <row r="9" spans="1:11" x14ac:dyDescent="0.25">
      <c r="A9" s="433" t="s">
        <v>459</v>
      </c>
      <c r="B9" s="434"/>
      <c r="C9" s="434"/>
      <c r="D9" s="434"/>
      <c r="E9" s="434"/>
      <c r="F9" s="441"/>
      <c r="G9" s="441"/>
      <c r="H9" s="441"/>
      <c r="I9" s="441"/>
      <c r="J9" s="441"/>
      <c r="K9" s="442"/>
    </row>
    <row r="10" spans="1:11" x14ac:dyDescent="0.25">
      <c r="A10" s="265">
        <v>2</v>
      </c>
      <c r="B10" s="443" t="s">
        <v>460</v>
      </c>
      <c r="C10" s="129">
        <v>22601931.049999997</v>
      </c>
      <c r="D10" s="444">
        <v>15888495.6</v>
      </c>
      <c r="E10" s="444">
        <f>C10+D10</f>
        <v>38490426.649999999</v>
      </c>
      <c r="F10" s="444">
        <v>1062962.5306500001</v>
      </c>
      <c r="G10" s="444">
        <v>1829199.1079000004</v>
      </c>
      <c r="H10" s="444">
        <f>F10+G10</f>
        <v>2892161.6385500003</v>
      </c>
      <c r="I10" s="444">
        <v>2431244.2140000002</v>
      </c>
      <c r="J10" s="444">
        <v>1464054.1059999999</v>
      </c>
      <c r="K10" s="445">
        <f t="shared" ref="K10:K15" si="0">I10+J10</f>
        <v>3895298.3200000003</v>
      </c>
    </row>
    <row r="11" spans="1:11" x14ac:dyDescent="0.25">
      <c r="A11" s="265">
        <v>3</v>
      </c>
      <c r="B11" s="443" t="s">
        <v>461</v>
      </c>
      <c r="C11" s="129">
        <v>72825523.389999986</v>
      </c>
      <c r="D11" s="444">
        <v>5872365.8899999987</v>
      </c>
      <c r="E11" s="444">
        <f t="shared" ref="E11:E16" si="1">C11+D11</f>
        <v>78697889.279999986</v>
      </c>
      <c r="F11" s="444">
        <v>20457372.923499998</v>
      </c>
      <c r="G11" s="444">
        <v>3231780.6465000007</v>
      </c>
      <c r="H11" s="444">
        <f t="shared" ref="H11:H16" si="2">F11+G11</f>
        <v>23689153.57</v>
      </c>
      <c r="I11" s="444">
        <v>6998052.818</v>
      </c>
      <c r="J11" s="444">
        <v>40512.861000000034</v>
      </c>
      <c r="K11" s="445">
        <f t="shared" si="0"/>
        <v>7038565.6789999995</v>
      </c>
    </row>
    <row r="12" spans="1:11" x14ac:dyDescent="0.25">
      <c r="A12" s="265">
        <v>4</v>
      </c>
      <c r="B12" s="443" t="s">
        <v>462</v>
      </c>
      <c r="C12" s="129">
        <v>58756.23</v>
      </c>
      <c r="D12" s="444">
        <v>0</v>
      </c>
      <c r="E12" s="444">
        <f t="shared" si="1"/>
        <v>58756.23</v>
      </c>
      <c r="F12" s="444">
        <v>0</v>
      </c>
      <c r="G12" s="444">
        <v>0</v>
      </c>
      <c r="H12" s="444">
        <f t="shared" si="2"/>
        <v>0</v>
      </c>
      <c r="I12" s="444">
        <v>0</v>
      </c>
      <c r="J12" s="444">
        <v>0</v>
      </c>
      <c r="K12" s="445">
        <f t="shared" si="0"/>
        <v>0</v>
      </c>
    </row>
    <row r="13" spans="1:11" x14ac:dyDescent="0.25">
      <c r="A13" s="265">
        <v>5</v>
      </c>
      <c r="B13" s="443" t="s">
        <v>463</v>
      </c>
      <c r="C13" s="129">
        <v>2618024.9299999997</v>
      </c>
      <c r="D13" s="444">
        <v>3357975.3500000006</v>
      </c>
      <c r="E13" s="444">
        <f t="shared" si="1"/>
        <v>5976000.2800000003</v>
      </c>
      <c r="F13" s="444">
        <v>715055.09729999991</v>
      </c>
      <c r="G13" s="444">
        <v>752580.54799999995</v>
      </c>
      <c r="H13" s="444">
        <f t="shared" si="2"/>
        <v>1467635.6453</v>
      </c>
      <c r="I13" s="444">
        <v>197821.26949999999</v>
      </c>
      <c r="J13" s="444">
        <v>228099.87450000003</v>
      </c>
      <c r="K13" s="445">
        <f t="shared" si="0"/>
        <v>425921.14400000003</v>
      </c>
    </row>
    <row r="14" spans="1:11" x14ac:dyDescent="0.25">
      <c r="A14" s="265">
        <v>6</v>
      </c>
      <c r="B14" s="443" t="s">
        <v>464</v>
      </c>
      <c r="C14" s="129">
        <v>0</v>
      </c>
      <c r="D14" s="444">
        <v>0</v>
      </c>
      <c r="E14" s="444">
        <f t="shared" si="1"/>
        <v>0</v>
      </c>
      <c r="F14" s="444">
        <f>E14</f>
        <v>0</v>
      </c>
      <c r="G14" s="444">
        <v>0</v>
      </c>
      <c r="H14" s="444">
        <f t="shared" si="2"/>
        <v>0</v>
      </c>
      <c r="I14" s="444">
        <v>0</v>
      </c>
      <c r="J14" s="444">
        <v>0</v>
      </c>
      <c r="K14" s="445">
        <f t="shared" si="0"/>
        <v>0</v>
      </c>
    </row>
    <row r="15" spans="1:11" x14ac:dyDescent="0.25">
      <c r="A15" s="265">
        <v>7</v>
      </c>
      <c r="B15" s="443" t="s">
        <v>465</v>
      </c>
      <c r="C15" s="129">
        <v>3270330.7599999993</v>
      </c>
      <c r="D15" s="444">
        <v>21619566.189999998</v>
      </c>
      <c r="E15" s="444">
        <f t="shared" si="1"/>
        <v>24889896.949999996</v>
      </c>
      <c r="F15" s="444">
        <v>2400412.9899999998</v>
      </c>
      <c r="G15" s="444">
        <v>1662696.91</v>
      </c>
      <c r="H15" s="444">
        <f t="shared" si="2"/>
        <v>4063109.8999999994</v>
      </c>
      <c r="I15" s="444">
        <v>2400412.9899999998</v>
      </c>
      <c r="J15" s="444">
        <v>1662696.91</v>
      </c>
      <c r="K15" s="445">
        <f t="shared" si="0"/>
        <v>4063109.8999999994</v>
      </c>
    </row>
    <row r="16" spans="1:11" x14ac:dyDescent="0.25">
      <c r="A16" s="265">
        <v>8</v>
      </c>
      <c r="B16" s="446" t="s">
        <v>466</v>
      </c>
      <c r="C16" s="129">
        <f>SUM(C10:C15)</f>
        <v>101374566.36</v>
      </c>
      <c r="D16" s="129">
        <f>SUM(D10:D15)</f>
        <v>46738403.030000001</v>
      </c>
      <c r="E16" s="444">
        <f t="shared" si="1"/>
        <v>148112969.38999999</v>
      </c>
      <c r="F16" s="444">
        <f>SUM(F10:F15)</f>
        <v>24635803.541449998</v>
      </c>
      <c r="G16" s="444">
        <f>SUM(G10:G15)</f>
        <v>7476257.2124000005</v>
      </c>
      <c r="H16" s="444">
        <f t="shared" si="2"/>
        <v>32112060.753849998</v>
      </c>
      <c r="I16" s="444">
        <f>SUM(I10:I15)</f>
        <v>12027531.2915</v>
      </c>
      <c r="J16" s="444">
        <f>SUM(J10:J15)</f>
        <v>3395363.7515000002</v>
      </c>
      <c r="K16" s="445">
        <f>SUM(K10:K15)</f>
        <v>15422895.042999998</v>
      </c>
    </row>
    <row r="17" spans="1:11" x14ac:dyDescent="0.25">
      <c r="A17" s="433" t="s">
        <v>467</v>
      </c>
      <c r="B17" s="434"/>
      <c r="C17" s="447"/>
      <c r="D17" s="447"/>
      <c r="E17" s="447"/>
      <c r="F17" s="441"/>
      <c r="G17" s="441"/>
      <c r="H17" s="441"/>
      <c r="I17" s="441"/>
      <c r="J17" s="441"/>
      <c r="K17" s="442"/>
    </row>
    <row r="18" spans="1:11" x14ac:dyDescent="0.25">
      <c r="A18" s="265">
        <v>9</v>
      </c>
      <c r="B18" s="443" t="s">
        <v>468</v>
      </c>
      <c r="C18" s="448">
        <v>0</v>
      </c>
      <c r="D18" s="449">
        <v>0</v>
      </c>
      <c r="E18" s="449">
        <f>C18+D18</f>
        <v>0</v>
      </c>
      <c r="F18" s="444">
        <v>0</v>
      </c>
      <c r="G18" s="444">
        <v>0</v>
      </c>
      <c r="H18" s="444">
        <f>F18+G18</f>
        <v>0</v>
      </c>
      <c r="I18" s="444">
        <v>0</v>
      </c>
      <c r="J18" s="444">
        <v>0</v>
      </c>
      <c r="K18" s="445">
        <f>I18+J18</f>
        <v>0</v>
      </c>
    </row>
    <row r="19" spans="1:11" x14ac:dyDescent="0.25">
      <c r="A19" s="265">
        <v>10</v>
      </c>
      <c r="B19" s="443" t="s">
        <v>469</v>
      </c>
      <c r="C19" s="129">
        <v>72943073.519999996</v>
      </c>
      <c r="D19" s="444">
        <v>32791010.579999998</v>
      </c>
      <c r="E19" s="444">
        <f>C19+D19</f>
        <v>105734084.09999999</v>
      </c>
      <c r="F19" s="444">
        <v>510395.65</v>
      </c>
      <c r="G19" s="444">
        <v>305266.51500000001</v>
      </c>
      <c r="H19" s="444">
        <f>F19+G19</f>
        <v>815662.16500000004</v>
      </c>
      <c r="I19" s="444">
        <v>29458488.93</v>
      </c>
      <c r="J19" s="444">
        <v>8751670.9549999982</v>
      </c>
      <c r="K19" s="445">
        <f>I19+J19</f>
        <v>38210159.884999998</v>
      </c>
    </row>
    <row r="20" spans="1:11" x14ac:dyDescent="0.25">
      <c r="A20" s="265">
        <v>11</v>
      </c>
      <c r="B20" s="443" t="s">
        <v>470</v>
      </c>
      <c r="C20" s="129">
        <v>28242074.400000002</v>
      </c>
      <c r="D20" s="444">
        <v>1821075.23</v>
      </c>
      <c r="E20" s="444">
        <f>C20+D20</f>
        <v>30063149.630000003</v>
      </c>
      <c r="F20" s="444">
        <v>322771.13</v>
      </c>
      <c r="G20" s="444">
        <v>1382190.43</v>
      </c>
      <c r="H20" s="444">
        <f>F20+G20</f>
        <v>1704961.56</v>
      </c>
      <c r="I20" s="444">
        <v>322771.13</v>
      </c>
      <c r="J20" s="444">
        <v>1382190.43</v>
      </c>
      <c r="K20" s="445">
        <f>I20+J20</f>
        <v>1704961.56</v>
      </c>
    </row>
    <row r="21" spans="1:11" ht="14.25" thickBot="1" x14ac:dyDescent="0.3">
      <c r="A21" s="450">
        <v>12</v>
      </c>
      <c r="B21" s="451" t="s">
        <v>471</v>
      </c>
      <c r="C21" s="452">
        <f>SUM(C18:C20)</f>
        <v>101185147.92</v>
      </c>
      <c r="D21" s="452">
        <f>SUM(D18:D20)</f>
        <v>34612085.809999995</v>
      </c>
      <c r="E21" s="452">
        <f>SUM(E18:E20)</f>
        <v>135797233.72999999</v>
      </c>
      <c r="F21" s="453">
        <f>SUM(F18:F20)</f>
        <v>833166.78</v>
      </c>
      <c r="G21" s="453">
        <f>SUM(G18:G20)</f>
        <v>1687456.9449999998</v>
      </c>
      <c r="H21" s="444">
        <f>F21+G21</f>
        <v>2520623.7249999996</v>
      </c>
      <c r="I21" s="453">
        <f>SUM(I18:I20)</f>
        <v>29781260.059999999</v>
      </c>
      <c r="J21" s="453">
        <f>SUM(J18:J20)</f>
        <v>10133861.384999998</v>
      </c>
      <c r="K21" s="454">
        <f>SUM(K18:K20)</f>
        <v>39915121.445</v>
      </c>
    </row>
    <row r="22" spans="1:11" ht="38.25" customHeight="1" thickBot="1" x14ac:dyDescent="0.3">
      <c r="A22" s="455"/>
      <c r="B22" s="456"/>
      <c r="C22" s="457"/>
      <c r="D22" s="457"/>
      <c r="E22" s="457"/>
      <c r="F22" s="841" t="s">
        <v>472</v>
      </c>
      <c r="G22" s="839"/>
      <c r="H22" s="839"/>
      <c r="I22" s="841" t="s">
        <v>473</v>
      </c>
      <c r="J22" s="839"/>
      <c r="K22" s="840"/>
    </row>
    <row r="23" spans="1:11" x14ac:dyDescent="0.25">
      <c r="A23" s="458">
        <v>13</v>
      </c>
      <c r="B23" s="459" t="s">
        <v>458</v>
      </c>
      <c r="C23" s="460"/>
      <c r="D23" s="461"/>
      <c r="E23" s="461"/>
      <c r="F23" s="462">
        <f t="shared" ref="F23:K23" si="3">F8</f>
        <v>52731128.479999997</v>
      </c>
      <c r="G23" s="462">
        <f t="shared" si="3"/>
        <v>13042966.549999999</v>
      </c>
      <c r="H23" s="462">
        <f t="shared" si="3"/>
        <v>65774095.029999994</v>
      </c>
      <c r="I23" s="463">
        <f t="shared" si="3"/>
        <v>24448966.759999998</v>
      </c>
      <c r="J23" s="463">
        <f t="shared" si="3"/>
        <v>4972866.91</v>
      </c>
      <c r="K23" s="464">
        <f t="shared" si="3"/>
        <v>29421833.669999998</v>
      </c>
    </row>
    <row r="24" spans="1:11" ht="14.25" thickBot="1" x14ac:dyDescent="0.3">
      <c r="A24" s="465">
        <v>14</v>
      </c>
      <c r="B24" s="466" t="s">
        <v>474</v>
      </c>
      <c r="C24" s="467"/>
      <c r="D24" s="468"/>
      <c r="E24" s="469"/>
      <c r="F24" s="470">
        <v>23802636.761449993</v>
      </c>
      <c r="G24" s="470">
        <v>5788800.2674000002</v>
      </c>
      <c r="H24" s="470">
        <f>MAX(H16-H21,H16*0.25)</f>
        <v>29591437.028849997</v>
      </c>
      <c r="I24" s="471">
        <v>3006882.8228749996</v>
      </c>
      <c r="J24" s="471">
        <v>848840.93787500006</v>
      </c>
      <c r="K24" s="472">
        <f>MAX(K16-K21,K16*0.25)</f>
        <v>3855723.7607499994</v>
      </c>
    </row>
    <row r="25" spans="1:11" ht="14.25" thickBot="1" x14ac:dyDescent="0.3">
      <c r="A25" s="473">
        <v>15</v>
      </c>
      <c r="B25" s="474" t="s">
        <v>85</v>
      </c>
      <c r="C25" s="475"/>
      <c r="D25" s="476"/>
      <c r="E25" s="476"/>
      <c r="F25" s="477">
        <f t="shared" ref="F25:K25" si="4">IFERROR(F23/F24,0)</f>
        <v>2.2153481989609523</v>
      </c>
      <c r="G25" s="477">
        <f t="shared" si="4"/>
        <v>2.253138119733082</v>
      </c>
      <c r="H25" s="477">
        <f t="shared" si="4"/>
        <v>2.2227408207946753</v>
      </c>
      <c r="I25" s="477">
        <f t="shared" si="4"/>
        <v>8.1310008404728507</v>
      </c>
      <c r="J25" s="477">
        <f t="shared" si="4"/>
        <v>5.858420215275129</v>
      </c>
      <c r="K25" s="478">
        <f t="shared" si="4"/>
        <v>7.6306902401838519</v>
      </c>
    </row>
    <row r="28" spans="1:11" ht="54" x14ac:dyDescent="0.25">
      <c r="B28" s="109" t="s">
        <v>475</v>
      </c>
    </row>
    <row r="29" spans="1:11" x14ac:dyDescent="0.25">
      <c r="F29" s="479"/>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9199-56F7-41C8-916A-363ED8B1BFA0}">
  <dimension ref="A1:AA23"/>
  <sheetViews>
    <sheetView workbookViewId="0">
      <pane xSplit="1" ySplit="5" topLeftCell="B6" activePane="bottomRight" state="frozen"/>
      <selection activeCell="I28" sqref="I28"/>
      <selection pane="topRight" activeCell="I28" sqref="I28"/>
      <selection pane="bottomLeft" activeCell="I28" sqref="I28"/>
      <selection pane="bottomRight" activeCell="C25" sqref="C25"/>
    </sheetView>
  </sheetViews>
  <sheetFormatPr defaultColWidth="9.140625" defaultRowHeight="15" x14ac:dyDescent="0.3"/>
  <cols>
    <col min="1" max="1" width="10.5703125" style="336" bestFit="1" customWidth="1"/>
    <col min="2" max="2" width="95" style="336" customWidth="1"/>
    <col min="3" max="3" width="12.5703125" style="336" bestFit="1" customWidth="1"/>
    <col min="4" max="4" width="10" style="336" bestFit="1" customWidth="1"/>
    <col min="5" max="5" width="18.28515625" style="336" bestFit="1" customWidth="1"/>
    <col min="6" max="6" width="10.7109375" style="336" customWidth="1"/>
    <col min="7" max="7" width="16" style="336" customWidth="1"/>
    <col min="8" max="13" width="10.7109375" style="336" customWidth="1"/>
    <col min="14" max="14" width="22" style="336" customWidth="1"/>
    <col min="15" max="16384" width="9.140625" style="186"/>
  </cols>
  <sheetData>
    <row r="1" spans="1:27" x14ac:dyDescent="0.3">
      <c r="A1" s="20" t="s">
        <v>41</v>
      </c>
      <c r="B1" s="336" t="str">
        <f>Info!C2</f>
        <v>სს სილქ ბანკი</v>
      </c>
    </row>
    <row r="2" spans="1:27" ht="14.25" customHeight="1" x14ac:dyDescent="0.3">
      <c r="A2" s="336" t="s">
        <v>42</v>
      </c>
      <c r="B2" s="24">
        <f>'1. key ratios'!B2</f>
        <v>45473</v>
      </c>
    </row>
    <row r="3" spans="1:27" ht="14.25" customHeight="1" x14ac:dyDescent="0.3"/>
    <row r="4" spans="1:27" ht="40.5" customHeight="1" thickBot="1" x14ac:dyDescent="0.35">
      <c r="A4" s="20" t="s">
        <v>476</v>
      </c>
      <c r="B4" s="480" t="s">
        <v>28</v>
      </c>
    </row>
    <row r="5" spans="1:27" s="485" customFormat="1" ht="13.5" x14ac:dyDescent="0.25">
      <c r="A5" s="481"/>
      <c r="B5" s="482"/>
      <c r="C5" s="483" t="s">
        <v>286</v>
      </c>
      <c r="D5" s="483" t="s">
        <v>287</v>
      </c>
      <c r="E5" s="483" t="s">
        <v>288</v>
      </c>
      <c r="F5" s="483" t="s">
        <v>388</v>
      </c>
      <c r="G5" s="483" t="s">
        <v>389</v>
      </c>
      <c r="H5" s="483" t="s">
        <v>390</v>
      </c>
      <c r="I5" s="483" t="s">
        <v>391</v>
      </c>
      <c r="J5" s="483" t="s">
        <v>392</v>
      </c>
      <c r="K5" s="483" t="s">
        <v>393</v>
      </c>
      <c r="L5" s="483" t="s">
        <v>394</v>
      </c>
      <c r="M5" s="483" t="s">
        <v>395</v>
      </c>
      <c r="N5" s="484" t="s">
        <v>396</v>
      </c>
    </row>
    <row r="6" spans="1:27" ht="75" x14ac:dyDescent="0.3">
      <c r="A6" s="486"/>
      <c r="B6" s="487"/>
      <c r="C6" s="488" t="s">
        <v>477</v>
      </c>
      <c r="D6" s="489" t="s">
        <v>478</v>
      </c>
      <c r="E6" s="490" t="s">
        <v>479</v>
      </c>
      <c r="F6" s="491">
        <v>0</v>
      </c>
      <c r="G6" s="491">
        <v>0.2</v>
      </c>
      <c r="H6" s="491">
        <v>0.35</v>
      </c>
      <c r="I6" s="491">
        <v>0.5</v>
      </c>
      <c r="J6" s="491">
        <v>0.75</v>
      </c>
      <c r="K6" s="491">
        <v>1</v>
      </c>
      <c r="L6" s="491">
        <v>1.5</v>
      </c>
      <c r="M6" s="491">
        <v>2.5</v>
      </c>
      <c r="N6" s="492" t="s">
        <v>28</v>
      </c>
    </row>
    <row r="7" spans="1:27" x14ac:dyDescent="0.3">
      <c r="A7" s="493">
        <v>1</v>
      </c>
      <c r="B7" s="494" t="s">
        <v>480</v>
      </c>
      <c r="C7" s="495">
        <f>SUM(C8:C13)</f>
        <v>37400500</v>
      </c>
      <c r="D7" s="487"/>
      <c r="E7" s="496">
        <f t="shared" ref="E7:M7" si="0">SUM(E8:E13)</f>
        <v>748010</v>
      </c>
      <c r="F7" s="495">
        <f>SUM(F8:F13)</f>
        <v>0</v>
      </c>
      <c r="G7" s="495">
        <f t="shared" si="0"/>
        <v>0</v>
      </c>
      <c r="H7" s="495">
        <f t="shared" si="0"/>
        <v>0</v>
      </c>
      <c r="I7" s="495">
        <f t="shared" si="0"/>
        <v>0</v>
      </c>
      <c r="J7" s="495">
        <f t="shared" si="0"/>
        <v>0</v>
      </c>
      <c r="K7" s="495">
        <f t="shared" si="0"/>
        <v>748010</v>
      </c>
      <c r="L7" s="495">
        <f t="shared" si="0"/>
        <v>0</v>
      </c>
      <c r="M7" s="495">
        <f t="shared" si="0"/>
        <v>0</v>
      </c>
      <c r="N7" s="497">
        <f>SUM(N8:N13)</f>
        <v>748010</v>
      </c>
      <c r="P7" s="197">
        <v>0</v>
      </c>
      <c r="Q7" s="197">
        <v>0</v>
      </c>
      <c r="R7" s="197">
        <v>0</v>
      </c>
      <c r="S7" s="197">
        <v>0</v>
      </c>
      <c r="T7" s="197">
        <v>0</v>
      </c>
      <c r="U7" s="197">
        <v>0</v>
      </c>
      <c r="V7" s="197">
        <v>0</v>
      </c>
      <c r="W7" s="197">
        <v>0</v>
      </c>
      <c r="X7" s="197">
        <v>0</v>
      </c>
      <c r="Y7" s="197">
        <v>0</v>
      </c>
      <c r="Z7" s="197">
        <v>0</v>
      </c>
      <c r="AA7" s="197">
        <v>0</v>
      </c>
    </row>
    <row r="8" spans="1:27" x14ac:dyDescent="0.3">
      <c r="A8" s="493">
        <v>1.1000000000000001</v>
      </c>
      <c r="B8" s="498" t="s">
        <v>481</v>
      </c>
      <c r="C8" s="499">
        <f>'4. Off-balance'!E32</f>
        <v>37400500</v>
      </c>
      <c r="D8" s="500">
        <v>0.02</v>
      </c>
      <c r="E8" s="496">
        <f>C8*D8</f>
        <v>748010</v>
      </c>
      <c r="F8" s="499"/>
      <c r="G8" s="499"/>
      <c r="H8" s="499"/>
      <c r="I8" s="499"/>
      <c r="J8" s="499"/>
      <c r="K8" s="499">
        <f>E8</f>
        <v>748010</v>
      </c>
      <c r="L8" s="499"/>
      <c r="M8" s="499"/>
      <c r="N8" s="497">
        <f t="shared" ref="N8:N13" si="1">SUMPRODUCT($F$6:$M$6,F8:M8)</f>
        <v>748010</v>
      </c>
      <c r="P8" s="197">
        <v>0</v>
      </c>
      <c r="Q8" s="197">
        <v>0</v>
      </c>
      <c r="R8" s="197">
        <v>0</v>
      </c>
      <c r="S8" s="197">
        <v>0</v>
      </c>
      <c r="T8" s="197">
        <v>0</v>
      </c>
      <c r="U8" s="197">
        <v>0</v>
      </c>
      <c r="V8" s="197">
        <v>0</v>
      </c>
      <c r="W8" s="197">
        <v>0</v>
      </c>
      <c r="X8" s="197">
        <v>0</v>
      </c>
      <c r="Y8" s="197">
        <v>0</v>
      </c>
      <c r="Z8" s="197">
        <v>0</v>
      </c>
      <c r="AA8" s="197">
        <v>0</v>
      </c>
    </row>
    <row r="9" spans="1:27" x14ac:dyDescent="0.3">
      <c r="A9" s="493">
        <v>1.2</v>
      </c>
      <c r="B9" s="498" t="s">
        <v>482</v>
      </c>
      <c r="C9" s="499">
        <v>0</v>
      </c>
      <c r="D9" s="500">
        <v>0.05</v>
      </c>
      <c r="E9" s="496">
        <f>C9*D9</f>
        <v>0</v>
      </c>
      <c r="F9" s="499"/>
      <c r="G9" s="499"/>
      <c r="H9" s="499"/>
      <c r="I9" s="499"/>
      <c r="J9" s="499"/>
      <c r="K9" s="499"/>
      <c r="L9" s="499"/>
      <c r="M9" s="499"/>
      <c r="N9" s="497">
        <f t="shared" si="1"/>
        <v>0</v>
      </c>
      <c r="P9" s="197">
        <v>0</v>
      </c>
      <c r="Q9" s="197">
        <v>0</v>
      </c>
      <c r="R9" s="197">
        <v>0</v>
      </c>
      <c r="S9" s="197">
        <v>0</v>
      </c>
      <c r="T9" s="197">
        <v>0</v>
      </c>
      <c r="U9" s="197">
        <v>0</v>
      </c>
      <c r="V9" s="197">
        <v>0</v>
      </c>
      <c r="W9" s="197">
        <v>0</v>
      </c>
      <c r="X9" s="197">
        <v>0</v>
      </c>
      <c r="Y9" s="197">
        <v>0</v>
      </c>
      <c r="Z9" s="197">
        <v>0</v>
      </c>
      <c r="AA9" s="197">
        <v>0</v>
      </c>
    </row>
    <row r="10" spans="1:27" x14ac:dyDescent="0.3">
      <c r="A10" s="493">
        <v>1.3</v>
      </c>
      <c r="B10" s="498" t="s">
        <v>483</v>
      </c>
      <c r="C10" s="499">
        <v>0</v>
      </c>
      <c r="D10" s="500">
        <v>0.08</v>
      </c>
      <c r="E10" s="496">
        <f>C10*D10</f>
        <v>0</v>
      </c>
      <c r="F10" s="499"/>
      <c r="G10" s="499"/>
      <c r="H10" s="499"/>
      <c r="I10" s="499"/>
      <c r="J10" s="499"/>
      <c r="K10" s="499"/>
      <c r="L10" s="499"/>
      <c r="M10" s="499"/>
      <c r="N10" s="497">
        <f t="shared" si="1"/>
        <v>0</v>
      </c>
      <c r="P10" s="197">
        <v>0</v>
      </c>
      <c r="Q10" s="197">
        <v>0</v>
      </c>
      <c r="R10" s="197">
        <v>0</v>
      </c>
      <c r="S10" s="197">
        <v>0</v>
      </c>
      <c r="T10" s="197">
        <v>0</v>
      </c>
      <c r="U10" s="197">
        <v>0</v>
      </c>
      <c r="V10" s="197">
        <v>0</v>
      </c>
      <c r="W10" s="197">
        <v>0</v>
      </c>
      <c r="X10" s="197">
        <v>0</v>
      </c>
      <c r="Y10" s="197">
        <v>0</v>
      </c>
      <c r="Z10" s="197">
        <v>0</v>
      </c>
      <c r="AA10" s="197">
        <v>0</v>
      </c>
    </row>
    <row r="11" spans="1:27" x14ac:dyDescent="0.3">
      <c r="A11" s="493">
        <v>1.4</v>
      </c>
      <c r="B11" s="498" t="s">
        <v>484</v>
      </c>
      <c r="C11" s="499">
        <v>0</v>
      </c>
      <c r="D11" s="500">
        <v>0.11</v>
      </c>
      <c r="E11" s="496">
        <f>C11*D11</f>
        <v>0</v>
      </c>
      <c r="F11" s="499"/>
      <c r="G11" s="499"/>
      <c r="H11" s="499"/>
      <c r="I11" s="499"/>
      <c r="J11" s="499"/>
      <c r="K11" s="499"/>
      <c r="L11" s="499"/>
      <c r="M11" s="499"/>
      <c r="N11" s="497">
        <f t="shared" si="1"/>
        <v>0</v>
      </c>
      <c r="P11" s="197">
        <v>0</v>
      </c>
      <c r="Q11" s="197">
        <v>0</v>
      </c>
      <c r="R11" s="197">
        <v>0</v>
      </c>
      <c r="S11" s="197">
        <v>0</v>
      </c>
      <c r="T11" s="197">
        <v>0</v>
      </c>
      <c r="U11" s="197">
        <v>0</v>
      </c>
      <c r="V11" s="197">
        <v>0</v>
      </c>
      <c r="W11" s="197">
        <v>0</v>
      </c>
      <c r="X11" s="197">
        <v>0</v>
      </c>
      <c r="Y11" s="197">
        <v>0</v>
      </c>
      <c r="Z11" s="197">
        <v>0</v>
      </c>
      <c r="AA11" s="197">
        <v>0</v>
      </c>
    </row>
    <row r="12" spans="1:27" x14ac:dyDescent="0.3">
      <c r="A12" s="493">
        <v>1.5</v>
      </c>
      <c r="B12" s="498" t="s">
        <v>485</v>
      </c>
      <c r="C12" s="499">
        <v>0</v>
      </c>
      <c r="D12" s="500">
        <v>0.14000000000000001</v>
      </c>
      <c r="E12" s="496">
        <f>C12*D12</f>
        <v>0</v>
      </c>
      <c r="F12" s="499"/>
      <c r="G12" s="499"/>
      <c r="H12" s="499"/>
      <c r="I12" s="499"/>
      <c r="J12" s="499"/>
      <c r="K12" s="499"/>
      <c r="L12" s="499"/>
      <c r="M12" s="499"/>
      <c r="N12" s="497">
        <f t="shared" si="1"/>
        <v>0</v>
      </c>
      <c r="P12" s="197">
        <v>0</v>
      </c>
      <c r="Q12" s="197">
        <v>0</v>
      </c>
      <c r="R12" s="197">
        <v>0</v>
      </c>
      <c r="S12" s="197">
        <v>0</v>
      </c>
      <c r="T12" s="197">
        <v>0</v>
      </c>
      <c r="U12" s="197">
        <v>0</v>
      </c>
      <c r="V12" s="197">
        <v>0</v>
      </c>
      <c r="W12" s="197">
        <v>0</v>
      </c>
      <c r="X12" s="197">
        <v>0</v>
      </c>
      <c r="Y12" s="197">
        <v>0</v>
      </c>
      <c r="Z12" s="197">
        <v>0</v>
      </c>
      <c r="AA12" s="197">
        <v>0</v>
      </c>
    </row>
    <row r="13" spans="1:27" x14ac:dyDescent="0.3">
      <c r="A13" s="493">
        <v>1.6</v>
      </c>
      <c r="B13" s="501" t="s">
        <v>486</v>
      </c>
      <c r="C13" s="499">
        <v>0</v>
      </c>
      <c r="D13" s="502"/>
      <c r="E13" s="499"/>
      <c r="F13" s="499"/>
      <c r="G13" s="499"/>
      <c r="H13" s="499"/>
      <c r="I13" s="499"/>
      <c r="J13" s="499"/>
      <c r="K13" s="499"/>
      <c r="L13" s="499"/>
      <c r="M13" s="499"/>
      <c r="N13" s="497">
        <f t="shared" si="1"/>
        <v>0</v>
      </c>
      <c r="P13" s="197">
        <v>0</v>
      </c>
      <c r="Q13" s="197">
        <v>0</v>
      </c>
      <c r="R13" s="197">
        <v>0</v>
      </c>
      <c r="S13" s="197">
        <v>0</v>
      </c>
      <c r="T13" s="197">
        <v>0</v>
      </c>
      <c r="U13" s="197">
        <v>0</v>
      </c>
      <c r="V13" s="197">
        <v>0</v>
      </c>
      <c r="W13" s="197">
        <v>0</v>
      </c>
      <c r="X13" s="197">
        <v>0</v>
      </c>
      <c r="Y13" s="197">
        <v>0</v>
      </c>
      <c r="Z13" s="197">
        <v>0</v>
      </c>
      <c r="AA13" s="197">
        <v>0</v>
      </c>
    </row>
    <row r="14" spans="1:27" x14ac:dyDescent="0.3">
      <c r="A14" s="493">
        <v>2</v>
      </c>
      <c r="B14" s="503" t="s">
        <v>487</v>
      </c>
      <c r="C14" s="495">
        <f>SUM(C15:C20)</f>
        <v>0</v>
      </c>
      <c r="D14" s="487"/>
      <c r="E14" s="496">
        <f t="shared" ref="E14:M14" si="2">SUM(E15:E20)</f>
        <v>0</v>
      </c>
      <c r="F14" s="499">
        <f t="shared" si="2"/>
        <v>0</v>
      </c>
      <c r="G14" s="499">
        <f t="shared" si="2"/>
        <v>0</v>
      </c>
      <c r="H14" s="499">
        <f t="shared" si="2"/>
        <v>0</v>
      </c>
      <c r="I14" s="499">
        <f t="shared" si="2"/>
        <v>0</v>
      </c>
      <c r="J14" s="499">
        <f t="shared" si="2"/>
        <v>0</v>
      </c>
      <c r="K14" s="499">
        <f t="shared" si="2"/>
        <v>0</v>
      </c>
      <c r="L14" s="499">
        <f t="shared" si="2"/>
        <v>0</v>
      </c>
      <c r="M14" s="499">
        <f t="shared" si="2"/>
        <v>0</v>
      </c>
      <c r="N14" s="497">
        <f>SUM(N15:N20)</f>
        <v>0</v>
      </c>
      <c r="P14" s="197">
        <v>0</v>
      </c>
      <c r="Q14" s="197">
        <v>0</v>
      </c>
      <c r="R14" s="197">
        <v>0</v>
      </c>
      <c r="S14" s="197">
        <v>0</v>
      </c>
      <c r="T14" s="197">
        <v>0</v>
      </c>
      <c r="U14" s="197">
        <v>0</v>
      </c>
      <c r="V14" s="197">
        <v>0</v>
      </c>
      <c r="W14" s="197">
        <v>0</v>
      </c>
      <c r="X14" s="197">
        <v>0</v>
      </c>
      <c r="Y14" s="197">
        <v>0</v>
      </c>
      <c r="Z14" s="197">
        <v>0</v>
      </c>
      <c r="AA14" s="197">
        <v>0</v>
      </c>
    </row>
    <row r="15" spans="1:27" x14ac:dyDescent="0.3">
      <c r="A15" s="493">
        <v>2.1</v>
      </c>
      <c r="B15" s="501" t="s">
        <v>481</v>
      </c>
      <c r="C15" s="499"/>
      <c r="D15" s="500">
        <v>5.0000000000000001E-3</v>
      </c>
      <c r="E15" s="496">
        <f>C15*D15</f>
        <v>0</v>
      </c>
      <c r="F15" s="499"/>
      <c r="G15" s="499"/>
      <c r="H15" s="499"/>
      <c r="I15" s="499"/>
      <c r="J15" s="499"/>
      <c r="K15" s="499"/>
      <c r="L15" s="499"/>
      <c r="M15" s="499"/>
      <c r="N15" s="497">
        <f t="shared" ref="N15:N20" si="3">SUMPRODUCT($F$6:$M$6,F15:M15)</f>
        <v>0</v>
      </c>
      <c r="P15" s="197">
        <v>0</v>
      </c>
      <c r="Q15" s="197">
        <v>0</v>
      </c>
      <c r="R15" s="197">
        <v>0</v>
      </c>
      <c r="S15" s="197">
        <v>0</v>
      </c>
      <c r="T15" s="197">
        <v>0</v>
      </c>
      <c r="U15" s="197">
        <v>0</v>
      </c>
      <c r="V15" s="197">
        <v>0</v>
      </c>
      <c r="W15" s="197">
        <v>0</v>
      </c>
      <c r="X15" s="197">
        <v>0</v>
      </c>
      <c r="Y15" s="197">
        <v>0</v>
      </c>
      <c r="Z15" s="197">
        <v>0</v>
      </c>
      <c r="AA15" s="197">
        <v>0</v>
      </c>
    </row>
    <row r="16" spans="1:27" x14ac:dyDescent="0.3">
      <c r="A16" s="493">
        <v>2.2000000000000002</v>
      </c>
      <c r="B16" s="501" t="s">
        <v>482</v>
      </c>
      <c r="C16" s="499"/>
      <c r="D16" s="500">
        <v>0.01</v>
      </c>
      <c r="E16" s="496">
        <f>C16*D16</f>
        <v>0</v>
      </c>
      <c r="F16" s="499"/>
      <c r="G16" s="499"/>
      <c r="H16" s="499"/>
      <c r="I16" s="499"/>
      <c r="J16" s="499"/>
      <c r="K16" s="499"/>
      <c r="L16" s="499"/>
      <c r="M16" s="499"/>
      <c r="N16" s="497">
        <f t="shared" si="3"/>
        <v>0</v>
      </c>
      <c r="P16" s="197">
        <v>0</v>
      </c>
      <c r="Q16" s="197">
        <v>0</v>
      </c>
      <c r="R16" s="197">
        <v>0</v>
      </c>
      <c r="S16" s="197">
        <v>0</v>
      </c>
      <c r="T16" s="197">
        <v>0</v>
      </c>
      <c r="U16" s="197">
        <v>0</v>
      </c>
      <c r="V16" s="197">
        <v>0</v>
      </c>
      <c r="W16" s="197">
        <v>0</v>
      </c>
      <c r="X16" s="197">
        <v>0</v>
      </c>
      <c r="Y16" s="197">
        <v>0</v>
      </c>
      <c r="Z16" s="197">
        <v>0</v>
      </c>
      <c r="AA16" s="197">
        <v>0</v>
      </c>
    </row>
    <row r="17" spans="1:27" x14ac:dyDescent="0.3">
      <c r="A17" s="493">
        <v>2.2999999999999998</v>
      </c>
      <c r="B17" s="501" t="s">
        <v>483</v>
      </c>
      <c r="C17" s="499"/>
      <c r="D17" s="500">
        <v>0.02</v>
      </c>
      <c r="E17" s="496">
        <f>C17*D17</f>
        <v>0</v>
      </c>
      <c r="F17" s="499"/>
      <c r="G17" s="499"/>
      <c r="H17" s="499"/>
      <c r="I17" s="499"/>
      <c r="J17" s="499"/>
      <c r="K17" s="499"/>
      <c r="L17" s="499"/>
      <c r="M17" s="499"/>
      <c r="N17" s="497">
        <f t="shared" si="3"/>
        <v>0</v>
      </c>
      <c r="P17" s="197">
        <v>0</v>
      </c>
      <c r="Q17" s="197">
        <v>0</v>
      </c>
      <c r="R17" s="197">
        <v>0</v>
      </c>
      <c r="S17" s="197">
        <v>0</v>
      </c>
      <c r="T17" s="197">
        <v>0</v>
      </c>
      <c r="U17" s="197">
        <v>0</v>
      </c>
      <c r="V17" s="197">
        <v>0</v>
      </c>
      <c r="W17" s="197">
        <v>0</v>
      </c>
      <c r="X17" s="197">
        <v>0</v>
      </c>
      <c r="Y17" s="197">
        <v>0</v>
      </c>
      <c r="Z17" s="197">
        <v>0</v>
      </c>
      <c r="AA17" s="197">
        <v>0</v>
      </c>
    </row>
    <row r="18" spans="1:27" x14ac:dyDescent="0.3">
      <c r="A18" s="493">
        <v>2.4</v>
      </c>
      <c r="B18" s="501" t="s">
        <v>484</v>
      </c>
      <c r="C18" s="499"/>
      <c r="D18" s="500">
        <v>0.03</v>
      </c>
      <c r="E18" s="496">
        <f>C18*D18</f>
        <v>0</v>
      </c>
      <c r="F18" s="499"/>
      <c r="G18" s="499"/>
      <c r="H18" s="499"/>
      <c r="I18" s="499"/>
      <c r="J18" s="499"/>
      <c r="K18" s="499"/>
      <c r="L18" s="499"/>
      <c r="M18" s="499"/>
      <c r="N18" s="497">
        <f t="shared" si="3"/>
        <v>0</v>
      </c>
      <c r="P18" s="197">
        <v>0</v>
      </c>
      <c r="Q18" s="197">
        <v>0</v>
      </c>
      <c r="R18" s="197">
        <v>0</v>
      </c>
      <c r="S18" s="197">
        <v>0</v>
      </c>
      <c r="T18" s="197">
        <v>0</v>
      </c>
      <c r="U18" s="197">
        <v>0</v>
      </c>
      <c r="V18" s="197">
        <v>0</v>
      </c>
      <c r="W18" s="197">
        <v>0</v>
      </c>
      <c r="X18" s="197">
        <v>0</v>
      </c>
      <c r="Y18" s="197">
        <v>0</v>
      </c>
      <c r="Z18" s="197">
        <v>0</v>
      </c>
      <c r="AA18" s="197">
        <v>0</v>
      </c>
    </row>
    <row r="19" spans="1:27" x14ac:dyDescent="0.3">
      <c r="A19" s="493">
        <v>2.5</v>
      </c>
      <c r="B19" s="501" t="s">
        <v>485</v>
      </c>
      <c r="C19" s="499"/>
      <c r="D19" s="500">
        <v>0.04</v>
      </c>
      <c r="E19" s="496">
        <f>C19*D19</f>
        <v>0</v>
      </c>
      <c r="F19" s="499"/>
      <c r="G19" s="499"/>
      <c r="H19" s="499"/>
      <c r="I19" s="499"/>
      <c r="J19" s="499"/>
      <c r="K19" s="499"/>
      <c r="L19" s="499"/>
      <c r="M19" s="499"/>
      <c r="N19" s="497">
        <f t="shared" si="3"/>
        <v>0</v>
      </c>
      <c r="P19" s="197">
        <v>0</v>
      </c>
      <c r="Q19" s="197">
        <v>0</v>
      </c>
      <c r="R19" s="197">
        <v>0</v>
      </c>
      <c r="S19" s="197">
        <v>0</v>
      </c>
      <c r="T19" s="197">
        <v>0</v>
      </c>
      <c r="U19" s="197">
        <v>0</v>
      </c>
      <c r="V19" s="197">
        <v>0</v>
      </c>
      <c r="W19" s="197">
        <v>0</v>
      </c>
      <c r="X19" s="197">
        <v>0</v>
      </c>
      <c r="Y19" s="197">
        <v>0</v>
      </c>
      <c r="Z19" s="197">
        <v>0</v>
      </c>
      <c r="AA19" s="197">
        <v>0</v>
      </c>
    </row>
    <row r="20" spans="1:27" x14ac:dyDescent="0.3">
      <c r="A20" s="493">
        <v>2.6</v>
      </c>
      <c r="B20" s="501" t="s">
        <v>486</v>
      </c>
      <c r="C20" s="499"/>
      <c r="D20" s="502"/>
      <c r="E20" s="504"/>
      <c r="F20" s="499"/>
      <c r="G20" s="499"/>
      <c r="H20" s="499"/>
      <c r="I20" s="499"/>
      <c r="J20" s="499"/>
      <c r="K20" s="499"/>
      <c r="L20" s="499"/>
      <c r="M20" s="499"/>
      <c r="N20" s="497">
        <f t="shared" si="3"/>
        <v>0</v>
      </c>
      <c r="P20" s="197">
        <v>0</v>
      </c>
      <c r="Q20" s="197">
        <v>0</v>
      </c>
      <c r="R20" s="197">
        <v>0</v>
      </c>
      <c r="S20" s="197">
        <v>0</v>
      </c>
      <c r="T20" s="197">
        <v>0</v>
      </c>
      <c r="U20" s="197">
        <v>0</v>
      </c>
      <c r="V20" s="197">
        <v>0</v>
      </c>
      <c r="W20" s="197">
        <v>0</v>
      </c>
      <c r="X20" s="197">
        <v>0</v>
      </c>
      <c r="Y20" s="197">
        <v>0</v>
      </c>
      <c r="Z20" s="197">
        <v>0</v>
      </c>
      <c r="AA20" s="197">
        <v>0</v>
      </c>
    </row>
    <row r="21" spans="1:27" ht="15.75" thickBot="1" x14ac:dyDescent="0.35">
      <c r="A21" s="505">
        <v>3</v>
      </c>
      <c r="B21" s="506" t="s">
        <v>96</v>
      </c>
      <c r="C21" s="507">
        <f>C14+C7</f>
        <v>37400500</v>
      </c>
      <c r="D21" s="508"/>
      <c r="E21" s="509">
        <f>E14+E7</f>
        <v>748010</v>
      </c>
      <c r="F21" s="510">
        <f>F7+F14</f>
        <v>0</v>
      </c>
      <c r="G21" s="510">
        <f t="shared" ref="G21:L21" si="4">G7+G14</f>
        <v>0</v>
      </c>
      <c r="H21" s="510">
        <f t="shared" si="4"/>
        <v>0</v>
      </c>
      <c r="I21" s="510">
        <f t="shared" si="4"/>
        <v>0</v>
      </c>
      <c r="J21" s="510">
        <f t="shared" si="4"/>
        <v>0</v>
      </c>
      <c r="K21" s="510">
        <f t="shared" si="4"/>
        <v>748010</v>
      </c>
      <c r="L21" s="510">
        <f t="shared" si="4"/>
        <v>0</v>
      </c>
      <c r="M21" s="510">
        <f>M7+M14</f>
        <v>0</v>
      </c>
      <c r="N21" s="511">
        <f>N14+N7</f>
        <v>748010</v>
      </c>
      <c r="P21" s="197">
        <v>0</v>
      </c>
      <c r="Q21" s="197">
        <v>0</v>
      </c>
      <c r="R21" s="197">
        <v>0</v>
      </c>
      <c r="S21" s="197">
        <v>0</v>
      </c>
      <c r="T21" s="197">
        <v>0</v>
      </c>
      <c r="U21" s="197">
        <v>0</v>
      </c>
      <c r="V21" s="197">
        <v>0</v>
      </c>
      <c r="W21" s="197">
        <v>0</v>
      </c>
      <c r="X21" s="197">
        <v>-748010</v>
      </c>
      <c r="Y21" s="197">
        <v>0</v>
      </c>
      <c r="Z21" s="197">
        <v>0</v>
      </c>
      <c r="AA21" s="197">
        <v>0</v>
      </c>
    </row>
    <row r="22" spans="1:27" x14ac:dyDescent="0.3">
      <c r="B22" s="512"/>
      <c r="E22" s="513"/>
      <c r="F22" s="513"/>
      <c r="G22" s="513"/>
      <c r="H22" s="513"/>
      <c r="I22" s="513"/>
      <c r="J22" s="513"/>
      <c r="K22" s="513"/>
      <c r="L22" s="513"/>
      <c r="M22" s="513"/>
    </row>
    <row r="23" spans="1:27" x14ac:dyDescent="0.3">
      <c r="E23" s="714"/>
    </row>
  </sheetData>
  <conditionalFormatting sqref="E8:E12">
    <cfRule type="expression" dxfId="22" priority="2">
      <formula>(C8*D8)&lt;&gt;SUM(#REF!)</formula>
    </cfRule>
  </conditionalFormatting>
  <conditionalFormatting sqref="E15:E19">
    <cfRule type="expression" dxfId="21" priority="1">
      <formula>(C15*D15)&lt;&gt;SUM(#REF!)</formula>
    </cfRule>
  </conditionalFormatting>
  <conditionalFormatting sqref="E20">
    <cfRule type="expression" dxfId="20" priority="3">
      <formula>$E$88&lt;&gt;SUM(#REF!)</formula>
    </cfRule>
  </conditionalFormatting>
  <pageMargins left="0.7" right="0.7" top="0.75" bottom="0.75" header="0.3" footer="0.3"/>
  <pageSetup paperSize="0" orientation="portrait" horizontalDpi="0" verticalDpi="0" copies="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448E-6826-4AB7-906B-A47272373F7E}">
  <dimension ref="A1:E43"/>
  <sheetViews>
    <sheetView workbookViewId="0">
      <selection activeCell="I26" sqref="I26"/>
    </sheetView>
  </sheetViews>
  <sheetFormatPr defaultRowHeight="15" x14ac:dyDescent="0.25"/>
  <cols>
    <col min="1" max="1" width="11.42578125" customWidth="1"/>
    <col min="2" max="2" width="76.85546875" style="223" customWidth="1"/>
    <col min="3" max="3" width="22.85546875" customWidth="1"/>
    <col min="6" max="6" width="23.7109375" customWidth="1"/>
  </cols>
  <sheetData>
    <row r="1" spans="1:5" x14ac:dyDescent="0.25">
      <c r="A1" s="20" t="s">
        <v>41</v>
      </c>
      <c r="B1" t="str">
        <f>Info!C2</f>
        <v>სს სილქ ბანკი</v>
      </c>
    </row>
    <row r="2" spans="1:5" x14ac:dyDescent="0.25">
      <c r="A2" s="20" t="s">
        <v>42</v>
      </c>
      <c r="B2" s="24">
        <f>'1. key ratios'!B2</f>
        <v>45473</v>
      </c>
    </row>
    <row r="3" spans="1:5" x14ac:dyDescent="0.25">
      <c r="A3" s="20"/>
      <c r="B3"/>
    </row>
    <row r="4" spans="1:5" ht="40.5" customHeight="1" x14ac:dyDescent="0.25">
      <c r="A4" s="20" t="s">
        <v>488</v>
      </c>
      <c r="B4" t="s">
        <v>29</v>
      </c>
    </row>
    <row r="5" spans="1:5" x14ac:dyDescent="0.25">
      <c r="A5" s="514"/>
      <c r="B5" s="514" t="s">
        <v>489</v>
      </c>
      <c r="C5" s="515"/>
    </row>
    <row r="6" spans="1:5" x14ac:dyDescent="0.25">
      <c r="A6" s="516">
        <v>1</v>
      </c>
      <c r="B6" s="517" t="s">
        <v>490</v>
      </c>
      <c r="C6" s="715">
        <v>201941070.14516726</v>
      </c>
      <c r="E6" s="518"/>
    </row>
    <row r="7" spans="1:5" x14ac:dyDescent="0.25">
      <c r="A7" s="516">
        <v>2</v>
      </c>
      <c r="B7" s="517" t="s">
        <v>491</v>
      </c>
      <c r="C7" s="526">
        <v>-5002970.5504706614</v>
      </c>
    </row>
    <row r="8" spans="1:5" x14ac:dyDescent="0.25">
      <c r="A8" s="519">
        <v>3</v>
      </c>
      <c r="B8" s="520" t="s">
        <v>492</v>
      </c>
      <c r="C8" s="521">
        <f>C6+C7</f>
        <v>196938099.59469661</v>
      </c>
    </row>
    <row r="9" spans="1:5" x14ac:dyDescent="0.25">
      <c r="A9" s="522"/>
      <c r="B9" s="522" t="s">
        <v>493</v>
      </c>
      <c r="C9" s="523"/>
    </row>
    <row r="10" spans="1:5" x14ac:dyDescent="0.25">
      <c r="A10" s="524">
        <v>4</v>
      </c>
      <c r="B10" s="525" t="s">
        <v>494</v>
      </c>
      <c r="C10" s="526"/>
    </row>
    <row r="11" spans="1:5" x14ac:dyDescent="0.25">
      <c r="A11" s="524">
        <v>5</v>
      </c>
      <c r="B11" s="527" t="s">
        <v>495</v>
      </c>
      <c r="C11" s="526"/>
    </row>
    <row r="12" spans="1:5" x14ac:dyDescent="0.25">
      <c r="A12" s="524" t="s">
        <v>496</v>
      </c>
      <c r="B12" s="517" t="s">
        <v>497</v>
      </c>
      <c r="C12" s="521">
        <f>'15. CCR'!E21</f>
        <v>748010</v>
      </c>
    </row>
    <row r="13" spans="1:5" x14ac:dyDescent="0.25">
      <c r="A13" s="528">
        <v>6</v>
      </c>
      <c r="B13" s="529" t="s">
        <v>498</v>
      </c>
      <c r="C13" s="526"/>
    </row>
    <row r="14" spans="1:5" x14ac:dyDescent="0.25">
      <c r="A14" s="528">
        <v>7</v>
      </c>
      <c r="B14" s="530" t="s">
        <v>499</v>
      </c>
      <c r="C14" s="526"/>
    </row>
    <row r="15" spans="1:5" x14ac:dyDescent="0.25">
      <c r="A15" s="531">
        <v>8</v>
      </c>
      <c r="B15" s="517" t="s">
        <v>500</v>
      </c>
      <c r="C15" s="526"/>
    </row>
    <row r="16" spans="1:5" ht="24" x14ac:dyDescent="0.25">
      <c r="A16" s="528">
        <v>9</v>
      </c>
      <c r="B16" s="530" t="s">
        <v>501</v>
      </c>
      <c r="C16" s="526"/>
    </row>
    <row r="17" spans="1:3" x14ac:dyDescent="0.25">
      <c r="A17" s="528">
        <v>10</v>
      </c>
      <c r="B17" s="530" t="s">
        <v>502</v>
      </c>
      <c r="C17" s="526"/>
    </row>
    <row r="18" spans="1:3" x14ac:dyDescent="0.25">
      <c r="A18" s="532">
        <v>11</v>
      </c>
      <c r="B18" s="533" t="s">
        <v>503</v>
      </c>
      <c r="C18" s="521">
        <f>SUM(C10:C17)</f>
        <v>748010</v>
      </c>
    </row>
    <row r="19" spans="1:3" x14ac:dyDescent="0.25">
      <c r="A19" s="522"/>
      <c r="B19" s="522" t="s">
        <v>504</v>
      </c>
      <c r="C19" s="534"/>
    </row>
    <row r="20" spans="1:3" x14ac:dyDescent="0.25">
      <c r="A20" s="528">
        <v>12</v>
      </c>
      <c r="B20" s="525" t="s">
        <v>505</v>
      </c>
      <c r="C20" s="526"/>
    </row>
    <row r="21" spans="1:3" x14ac:dyDescent="0.25">
      <c r="A21" s="528">
        <v>13</v>
      </c>
      <c r="B21" s="525" t="s">
        <v>506</v>
      </c>
      <c r="C21" s="526"/>
    </row>
    <row r="22" spans="1:3" x14ac:dyDescent="0.25">
      <c r="A22" s="528">
        <v>14</v>
      </c>
      <c r="B22" s="535" t="s">
        <v>507</v>
      </c>
      <c r="C22" s="526"/>
    </row>
    <row r="23" spans="1:3" ht="24" x14ac:dyDescent="0.25">
      <c r="A23" s="528" t="s">
        <v>508</v>
      </c>
      <c r="B23" s="525" t="s">
        <v>509</v>
      </c>
      <c r="C23" s="526"/>
    </row>
    <row r="24" spans="1:3" x14ac:dyDescent="0.25">
      <c r="A24" s="528">
        <v>15</v>
      </c>
      <c r="B24" s="525" t="s">
        <v>510</v>
      </c>
      <c r="C24" s="526"/>
    </row>
    <row r="25" spans="1:3" x14ac:dyDescent="0.25">
      <c r="A25" s="528" t="s">
        <v>511</v>
      </c>
      <c r="B25" s="517" t="s">
        <v>512</v>
      </c>
      <c r="C25" s="526"/>
    </row>
    <row r="26" spans="1:3" x14ac:dyDescent="0.25">
      <c r="A26" s="532">
        <v>16</v>
      </c>
      <c r="B26" s="533" t="s">
        <v>513</v>
      </c>
      <c r="C26" s="521">
        <f>SUM(C20:C25)</f>
        <v>0</v>
      </c>
    </row>
    <row r="27" spans="1:3" x14ac:dyDescent="0.25">
      <c r="A27" s="522"/>
      <c r="B27" s="522" t="s">
        <v>514</v>
      </c>
      <c r="C27" s="523"/>
    </row>
    <row r="28" spans="1:3" x14ac:dyDescent="0.25">
      <c r="A28" s="524">
        <v>17</v>
      </c>
      <c r="B28" s="517" t="s">
        <v>515</v>
      </c>
      <c r="C28" s="526">
        <v>10086764.184646253</v>
      </c>
    </row>
    <row r="29" spans="1:3" x14ac:dyDescent="0.25">
      <c r="A29" s="524">
        <v>18</v>
      </c>
      <c r="B29" s="517" t="s">
        <v>516</v>
      </c>
      <c r="C29" s="526">
        <v>-3869488</v>
      </c>
    </row>
    <row r="30" spans="1:3" x14ac:dyDescent="0.25">
      <c r="A30" s="532">
        <v>19</v>
      </c>
      <c r="B30" s="533" t="s">
        <v>517</v>
      </c>
      <c r="C30" s="521">
        <f>C28+C29</f>
        <v>6217276.1846462525</v>
      </c>
    </row>
    <row r="31" spans="1:3" x14ac:dyDescent="0.25">
      <c r="A31" s="536"/>
      <c r="B31" s="522" t="s">
        <v>518</v>
      </c>
      <c r="C31" s="523"/>
    </row>
    <row r="32" spans="1:3" x14ac:dyDescent="0.25">
      <c r="A32" s="524" t="s">
        <v>519</v>
      </c>
      <c r="B32" s="525" t="s">
        <v>520</v>
      </c>
      <c r="C32" s="537"/>
    </row>
    <row r="33" spans="1:3" x14ac:dyDescent="0.25">
      <c r="A33" s="524" t="s">
        <v>521</v>
      </c>
      <c r="B33" s="527" t="s">
        <v>522</v>
      </c>
      <c r="C33" s="537"/>
    </row>
    <row r="34" spans="1:3" x14ac:dyDescent="0.25">
      <c r="A34" s="522"/>
      <c r="B34" s="522" t="s">
        <v>523</v>
      </c>
      <c r="C34" s="523"/>
    </row>
    <row r="35" spans="1:3" x14ac:dyDescent="0.25">
      <c r="A35" s="532">
        <v>20</v>
      </c>
      <c r="B35" s="533" t="s">
        <v>54</v>
      </c>
      <c r="C35" s="521">
        <f>'1. key ratios'!C9</f>
        <v>53861308.084424809</v>
      </c>
    </row>
    <row r="36" spans="1:3" x14ac:dyDescent="0.25">
      <c r="A36" s="532">
        <v>21</v>
      </c>
      <c r="B36" s="533" t="s">
        <v>524</v>
      </c>
      <c r="C36" s="521">
        <f>C8+C18+C26+C30</f>
        <v>203903385.77934286</v>
      </c>
    </row>
    <row r="37" spans="1:3" x14ac:dyDescent="0.25">
      <c r="A37" s="538"/>
      <c r="B37" s="538" t="s">
        <v>29</v>
      </c>
      <c r="C37" s="523"/>
    </row>
    <row r="38" spans="1:3" x14ac:dyDescent="0.25">
      <c r="A38" s="532">
        <v>22</v>
      </c>
      <c r="B38" s="533" t="s">
        <v>29</v>
      </c>
      <c r="C38" s="539">
        <f>IFERROR(C35/C36,0)</f>
        <v>0.26415112176073252</v>
      </c>
    </row>
    <row r="39" spans="1:3" x14ac:dyDescent="0.25">
      <c r="A39" s="538"/>
      <c r="B39" s="538" t="s">
        <v>525</v>
      </c>
      <c r="C39" s="523"/>
    </row>
    <row r="40" spans="1:3" x14ac:dyDescent="0.25">
      <c r="A40" s="540" t="s">
        <v>526</v>
      </c>
      <c r="B40" s="525" t="s">
        <v>527</v>
      </c>
      <c r="C40" s="537"/>
    </row>
    <row r="41" spans="1:3" x14ac:dyDescent="0.25">
      <c r="A41" s="541" t="s">
        <v>528</v>
      </c>
      <c r="B41" s="527" t="s">
        <v>529</v>
      </c>
      <c r="C41" s="537"/>
    </row>
    <row r="43" spans="1:3" x14ac:dyDescent="0.25">
      <c r="B43" s="542" t="s">
        <v>530</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012B6-4684-4FF3-B370-5061751460E7}">
  <dimension ref="A1:J42"/>
  <sheetViews>
    <sheetView zoomScale="115" zoomScaleNormal="115" workbookViewId="0">
      <pane xSplit="2" ySplit="6" topLeftCell="C26" activePane="bottomRight" state="frozen"/>
      <selection activeCell="I28" sqref="I28"/>
      <selection pane="topRight" activeCell="I28" sqref="I28"/>
      <selection pane="bottomLeft" activeCell="I28" sqref="I28"/>
      <selection pane="bottomRight" activeCell="E45" sqref="E45"/>
    </sheetView>
  </sheetViews>
  <sheetFormatPr defaultRowHeight="15" x14ac:dyDescent="0.25"/>
  <cols>
    <col min="1" max="1" width="9.85546875" style="20" bestFit="1" customWidth="1"/>
    <col min="2" max="2" width="95.140625" style="109" customWidth="1"/>
    <col min="3" max="7" width="17.5703125" style="20" customWidth="1"/>
    <col min="8" max="8" width="12.85546875" bestFit="1" customWidth="1"/>
    <col min="9" max="9" width="14.5703125" bestFit="1" customWidth="1"/>
    <col min="10" max="10" width="11.140625" bestFit="1" customWidth="1"/>
  </cols>
  <sheetData>
    <row r="1" spans="1:10" x14ac:dyDescent="0.25">
      <c r="A1" s="20" t="s">
        <v>41</v>
      </c>
      <c r="B1" s="20" t="str">
        <f>Info!C2</f>
        <v>სს სილქ ბანკი</v>
      </c>
    </row>
    <row r="2" spans="1:10" x14ac:dyDescent="0.25">
      <c r="A2" s="20" t="s">
        <v>42</v>
      </c>
      <c r="B2" s="24">
        <f>'1. key ratios'!B2</f>
        <v>45473</v>
      </c>
    </row>
    <row r="3" spans="1:10" x14ac:dyDescent="0.25">
      <c r="B3" s="543"/>
    </row>
    <row r="4" spans="1:10" ht="40.5" customHeight="1" thickBot="1" x14ac:dyDescent="0.3">
      <c r="A4" s="20" t="s">
        <v>531</v>
      </c>
      <c r="B4" s="380" t="s">
        <v>30</v>
      </c>
    </row>
    <row r="5" spans="1:10" x14ac:dyDescent="0.25">
      <c r="A5" s="544"/>
      <c r="B5" s="545"/>
      <c r="C5" s="842" t="s">
        <v>532</v>
      </c>
      <c r="D5" s="842"/>
      <c r="E5" s="842"/>
      <c r="F5" s="842"/>
      <c r="G5" s="843" t="s">
        <v>533</v>
      </c>
    </row>
    <row r="6" spans="1:10" x14ac:dyDescent="0.25">
      <c r="A6" s="546"/>
      <c r="B6" s="547"/>
      <c r="C6" s="548" t="s">
        <v>534</v>
      </c>
      <c r="D6" s="548" t="s">
        <v>535</v>
      </c>
      <c r="E6" s="548" t="s">
        <v>536</v>
      </c>
      <c r="F6" s="548" t="s">
        <v>537</v>
      </c>
      <c r="G6" s="844"/>
    </row>
    <row r="7" spans="1:10" x14ac:dyDescent="0.25">
      <c r="A7" s="549"/>
      <c r="B7" s="550" t="s">
        <v>86</v>
      </c>
      <c r="C7" s="551"/>
      <c r="D7" s="551"/>
      <c r="E7" s="551"/>
      <c r="F7" s="551"/>
      <c r="G7" s="552"/>
    </row>
    <row r="8" spans="1:10" x14ac:dyDescent="0.25">
      <c r="A8" s="424">
        <v>1</v>
      </c>
      <c r="B8" s="553" t="s">
        <v>538</v>
      </c>
      <c r="C8" s="121">
        <f>SUM(C9:C10)</f>
        <v>53861308.084424816</v>
      </c>
      <c r="D8" s="121">
        <f>SUM(D9:D10)</f>
        <v>0</v>
      </c>
      <c r="E8" s="121">
        <f>SUM(E9:E10)</f>
        <v>0</v>
      </c>
      <c r="F8" s="121">
        <f>SUM(F9)</f>
        <v>0</v>
      </c>
      <c r="G8" s="554">
        <f>SUM(G9)</f>
        <v>53861308.084424816</v>
      </c>
    </row>
    <row r="9" spans="1:10" x14ac:dyDescent="0.25">
      <c r="A9" s="424">
        <v>2</v>
      </c>
      <c r="B9" s="555" t="s">
        <v>20</v>
      </c>
      <c r="C9" s="121">
        <v>53861308.084424816</v>
      </c>
      <c r="D9" s="121"/>
      <c r="E9" s="121"/>
      <c r="F9" s="121">
        <v>0</v>
      </c>
      <c r="G9" s="554">
        <f>SUM(C9:F9)*1</f>
        <v>53861308.084424816</v>
      </c>
    </row>
    <row r="10" spans="1:10" x14ac:dyDescent="0.25">
      <c r="A10" s="424">
        <v>3</v>
      </c>
      <c r="B10" s="555" t="s">
        <v>539</v>
      </c>
      <c r="C10" s="556"/>
      <c r="D10" s="556"/>
      <c r="E10" s="556"/>
      <c r="F10" s="121">
        <v>21586766.629999999</v>
      </c>
      <c r="G10" s="554">
        <f>SUM(C10:F10)*1</f>
        <v>21586766.629999999</v>
      </c>
    </row>
    <row r="11" spans="1:10" x14ac:dyDescent="0.25">
      <c r="A11" s="424">
        <v>4</v>
      </c>
      <c r="B11" s="553" t="s">
        <v>540</v>
      </c>
      <c r="C11" s="121">
        <f>SUM(C12:C13)</f>
        <v>8546981.3299999945</v>
      </c>
      <c r="D11" s="121">
        <f>SUM(D12:D13)</f>
        <v>11480735.679999996</v>
      </c>
      <c r="E11" s="121">
        <f>SUM(E12:E13)</f>
        <v>24258590.209999993</v>
      </c>
      <c r="F11" s="121">
        <f>SUM(F12:F13)</f>
        <v>150</v>
      </c>
      <c r="G11" s="554">
        <f>SUM(G12:G13)</f>
        <v>41235923.847999983</v>
      </c>
    </row>
    <row r="12" spans="1:10" x14ac:dyDescent="0.25">
      <c r="A12" s="424">
        <v>5</v>
      </c>
      <c r="B12" s="555" t="s">
        <v>541</v>
      </c>
      <c r="C12" s="121">
        <v>8119595.9599999953</v>
      </c>
      <c r="D12" s="129">
        <v>11384352.379999995</v>
      </c>
      <c r="E12" s="121">
        <v>22924113.299999993</v>
      </c>
      <c r="F12" s="121">
        <v>150</v>
      </c>
      <c r="G12" s="554">
        <f>SUM(C12:F12)*0.95</f>
        <v>40306801.057999983</v>
      </c>
      <c r="H12" s="113"/>
      <c r="I12" s="557"/>
      <c r="J12" s="113"/>
    </row>
    <row r="13" spans="1:10" x14ac:dyDescent="0.25">
      <c r="A13" s="424">
        <v>6</v>
      </c>
      <c r="B13" s="555" t="s">
        <v>542</v>
      </c>
      <c r="C13" s="121">
        <v>427385.37</v>
      </c>
      <c r="D13" s="129">
        <v>96383.299999999988</v>
      </c>
      <c r="E13" s="121">
        <v>1334476.9100000001</v>
      </c>
      <c r="F13" s="121">
        <v>0</v>
      </c>
      <c r="G13" s="554">
        <f>SUM(C13:F13)/2</f>
        <v>929122.79</v>
      </c>
      <c r="J13" s="113">
        <f>J11-J12</f>
        <v>0</v>
      </c>
    </row>
    <row r="14" spans="1:10" x14ac:dyDescent="0.25">
      <c r="A14" s="424">
        <v>7</v>
      </c>
      <c r="B14" s="553" t="s">
        <v>543</v>
      </c>
      <c r="C14" s="121">
        <f>SUM(C15:C16)</f>
        <v>10259607.000000004</v>
      </c>
      <c r="D14" s="121">
        <f>SUM(D15:D16)</f>
        <v>1728624.67</v>
      </c>
      <c r="E14" s="121">
        <f>SUM(E15:E16)</f>
        <v>61759311.979999997</v>
      </c>
      <c r="F14" s="121">
        <f>SUM(F15:F16)</f>
        <v>33721.199999999997</v>
      </c>
      <c r="G14" s="554">
        <f>SUM(G15:G16)</f>
        <v>36806327.149999999</v>
      </c>
      <c r="J14" s="113"/>
    </row>
    <row r="15" spans="1:10" ht="54" x14ac:dyDescent="0.25">
      <c r="A15" s="424">
        <v>8</v>
      </c>
      <c r="B15" s="558" t="s">
        <v>544</v>
      </c>
      <c r="C15" s="121">
        <v>10090996.450000003</v>
      </c>
      <c r="D15" s="559">
        <v>1728624.67</v>
      </c>
      <c r="E15" s="559">
        <v>60746757.099999994</v>
      </c>
      <c r="F15" s="559">
        <v>33721.199999999997</v>
      </c>
      <c r="G15" s="554">
        <f>SUM(C15:F15)/2</f>
        <v>36300049.710000001</v>
      </c>
      <c r="H15" s="144"/>
      <c r="I15" s="144"/>
      <c r="J15" s="113"/>
    </row>
    <row r="16" spans="1:10" ht="27" x14ac:dyDescent="0.25">
      <c r="A16" s="424">
        <v>9</v>
      </c>
      <c r="B16" s="555" t="s">
        <v>545</v>
      </c>
      <c r="C16" s="560">
        <v>168610.55</v>
      </c>
      <c r="D16" s="560">
        <f>'2. SOFP'!E43</f>
        <v>0</v>
      </c>
      <c r="E16" s="121">
        <v>1012554.8800000001</v>
      </c>
      <c r="F16" s="121"/>
      <c r="G16" s="554">
        <f>C16*0+D16*0+E16/2</f>
        <v>506277.44000000006</v>
      </c>
    </row>
    <row r="17" spans="1:9" x14ac:dyDescent="0.25">
      <c r="A17" s="424">
        <v>10</v>
      </c>
      <c r="B17" s="553" t="s">
        <v>546</v>
      </c>
      <c r="C17" s="121"/>
      <c r="D17" s="129"/>
      <c r="E17" s="121"/>
      <c r="F17" s="121"/>
      <c r="G17" s="554"/>
    </row>
    <row r="18" spans="1:9" x14ac:dyDescent="0.25">
      <c r="A18" s="424">
        <v>11</v>
      </c>
      <c r="B18" s="553" t="s">
        <v>139</v>
      </c>
      <c r="C18" s="121">
        <f>SUM(C19:C20)</f>
        <v>4576968.1623169193</v>
      </c>
      <c r="D18" s="129">
        <f>SUM(D19:D20)</f>
        <v>233109.90677948453</v>
      </c>
      <c r="E18" s="121">
        <f>SUM(E19:E20)</f>
        <v>0</v>
      </c>
      <c r="F18" s="121">
        <f>SUM(F19:F20)</f>
        <v>0</v>
      </c>
      <c r="G18" s="554">
        <f>SUM(G19:G20)</f>
        <v>0</v>
      </c>
    </row>
    <row r="19" spans="1:9" x14ac:dyDescent="0.25">
      <c r="A19" s="424">
        <v>12</v>
      </c>
      <c r="B19" s="555" t="s">
        <v>547</v>
      </c>
      <c r="C19" s="556"/>
      <c r="D19" s="129">
        <v>233109.90677948453</v>
      </c>
      <c r="E19" s="121"/>
      <c r="F19" s="121"/>
      <c r="G19" s="554">
        <f>D19*0</f>
        <v>0</v>
      </c>
    </row>
    <row r="20" spans="1:9" ht="27" x14ac:dyDescent="0.25">
      <c r="A20" s="424">
        <v>13</v>
      </c>
      <c r="B20" s="555" t="s">
        <v>548</v>
      </c>
      <c r="C20" s="121">
        <v>4576968.1623169193</v>
      </c>
      <c r="D20" s="121"/>
      <c r="E20" s="121"/>
      <c r="F20" s="121"/>
      <c r="G20" s="554">
        <f>C20*0</f>
        <v>0</v>
      </c>
    </row>
    <row r="21" spans="1:9" x14ac:dyDescent="0.25">
      <c r="A21" s="561">
        <v>14</v>
      </c>
      <c r="B21" s="562" t="s">
        <v>549</v>
      </c>
      <c r="C21" s="556"/>
      <c r="D21" s="556"/>
      <c r="E21" s="556"/>
      <c r="F21" s="556"/>
      <c r="G21" s="563">
        <f>SUM(G8,G11,G14,G17,G18,G10)</f>
        <v>153490325.71242478</v>
      </c>
      <c r="I21" s="144"/>
    </row>
    <row r="22" spans="1:9" x14ac:dyDescent="0.25">
      <c r="A22" s="564"/>
      <c r="B22" s="565" t="s">
        <v>87</v>
      </c>
      <c r="C22" s="566"/>
      <c r="D22" s="567"/>
      <c r="E22" s="566"/>
      <c r="F22" s="566"/>
      <c r="G22" s="568"/>
    </row>
    <row r="23" spans="1:9" x14ac:dyDescent="0.25">
      <c r="A23" s="424">
        <v>15</v>
      </c>
      <c r="B23" s="553" t="s">
        <v>458</v>
      </c>
      <c r="C23" s="124">
        <v>82945705.300811708</v>
      </c>
      <c r="D23" s="124"/>
      <c r="E23" s="124"/>
      <c r="F23" s="124">
        <v>74217.75</v>
      </c>
      <c r="G23" s="569">
        <v>3845955.3645405853</v>
      </c>
    </row>
    <row r="24" spans="1:9" x14ac:dyDescent="0.25">
      <c r="A24" s="424">
        <v>16</v>
      </c>
      <c r="B24" s="553" t="s">
        <v>550</v>
      </c>
      <c r="C24" s="121">
        <f>SUM(C25:C27,C29,C31)</f>
        <v>0</v>
      </c>
      <c r="D24" s="129">
        <f>SUM(D25:D27,D29,D31)</f>
        <v>8299689.0192914186</v>
      </c>
      <c r="E24" s="121">
        <f>SUM(E25:E27,E29,E31)</f>
        <v>5552878.6453266349</v>
      </c>
      <c r="F24" s="121">
        <f>SUM(F25:F27,F29,F31)</f>
        <v>69991073.287476659</v>
      </c>
      <c r="G24" s="554">
        <f>SUM(G25:G27,G29,G31)</f>
        <v>66380502.989620879</v>
      </c>
    </row>
    <row r="25" spans="1:9" ht="27" x14ac:dyDescent="0.25">
      <c r="A25" s="424">
        <v>17</v>
      </c>
      <c r="B25" s="555" t="s">
        <v>551</v>
      </c>
      <c r="C25" s="121"/>
      <c r="D25" s="129"/>
      <c r="E25" s="121"/>
      <c r="F25" s="121"/>
      <c r="G25" s="554"/>
    </row>
    <row r="26" spans="1:9" ht="27" x14ac:dyDescent="0.25">
      <c r="A26" s="424">
        <v>18</v>
      </c>
      <c r="B26" s="555" t="s">
        <v>552</v>
      </c>
      <c r="C26" s="121"/>
      <c r="D26" s="129">
        <v>353554.81000000029</v>
      </c>
      <c r="E26" s="121"/>
      <c r="F26" s="121"/>
      <c r="G26" s="554">
        <f>D26*0.15</f>
        <v>53033.221500000043</v>
      </c>
    </row>
    <row r="27" spans="1:9" x14ac:dyDescent="0.25">
      <c r="A27" s="424">
        <v>19</v>
      </c>
      <c r="B27" s="555" t="s">
        <v>553</v>
      </c>
      <c r="C27" s="121"/>
      <c r="D27" s="124">
        <v>7946134.2092914181</v>
      </c>
      <c r="E27" s="124">
        <v>5552878.6453266349</v>
      </c>
      <c r="F27" s="124">
        <v>66863925.637222111</v>
      </c>
      <c r="G27" s="554">
        <v>63669394.265404515</v>
      </c>
    </row>
    <row r="28" spans="1:9" x14ac:dyDescent="0.25">
      <c r="A28" s="424">
        <v>20</v>
      </c>
      <c r="B28" s="570" t="s">
        <v>554</v>
      </c>
      <c r="C28" s="121"/>
      <c r="E28" s="121"/>
      <c r="F28" s="121"/>
      <c r="G28" s="554"/>
    </row>
    <row r="29" spans="1:9" x14ac:dyDescent="0.25">
      <c r="A29" s="424">
        <v>21</v>
      </c>
      <c r="B29" s="555" t="s">
        <v>555</v>
      </c>
      <c r="C29" s="121"/>
      <c r="D29" s="129"/>
      <c r="E29" s="121"/>
      <c r="F29" s="121"/>
      <c r="G29" s="554"/>
    </row>
    <row r="30" spans="1:9" x14ac:dyDescent="0.25">
      <c r="A30" s="424">
        <v>22</v>
      </c>
      <c r="B30" s="570" t="s">
        <v>554</v>
      </c>
      <c r="C30" s="121"/>
      <c r="D30" s="129"/>
      <c r="E30" s="121"/>
      <c r="F30" s="121"/>
      <c r="G30" s="554"/>
    </row>
    <row r="31" spans="1:9" x14ac:dyDescent="0.25">
      <c r="A31" s="424">
        <v>23</v>
      </c>
      <c r="B31" s="555" t="s">
        <v>556</v>
      </c>
      <c r="C31" s="121"/>
      <c r="D31" s="124">
        <v>0</v>
      </c>
      <c r="E31" s="124"/>
      <c r="F31" s="121">
        <v>3127147.6502545443</v>
      </c>
      <c r="G31" s="554">
        <f>E31*0.5+F31*0.85</f>
        <v>2658075.5027163625</v>
      </c>
    </row>
    <row r="32" spans="1:9" x14ac:dyDescent="0.25">
      <c r="A32" s="424">
        <v>24</v>
      </c>
      <c r="B32" s="553" t="s">
        <v>557</v>
      </c>
      <c r="C32" s="121"/>
      <c r="D32" s="129"/>
      <c r="E32" s="121"/>
      <c r="F32" s="121"/>
      <c r="G32" s="554"/>
    </row>
    <row r="33" spans="1:7" x14ac:dyDescent="0.25">
      <c r="A33" s="424">
        <v>25</v>
      </c>
      <c r="B33" s="553" t="s">
        <v>122</v>
      </c>
      <c r="C33" s="121">
        <f>SUM(C34:C35)</f>
        <v>11934627.868744239</v>
      </c>
      <c r="D33" s="121">
        <f>SUM(D34:D35)</f>
        <v>6814214.8816797938</v>
      </c>
      <c r="E33" s="121">
        <f>SUM(E34:E35)</f>
        <v>0</v>
      </c>
      <c r="F33" s="121">
        <f>SUM(F34:F35)</f>
        <v>12713468.047002524</v>
      </c>
      <c r="G33" s="554">
        <f>SUM(G34:G35)</f>
        <v>28120611.129840974</v>
      </c>
    </row>
    <row r="34" spans="1:7" x14ac:dyDescent="0.25">
      <c r="A34" s="424">
        <v>26</v>
      </c>
      <c r="B34" s="555" t="s">
        <v>558</v>
      </c>
      <c r="C34" s="556"/>
      <c r="D34" s="129">
        <v>130815.54650862557</v>
      </c>
      <c r="E34" s="121"/>
      <c r="F34" s="121"/>
      <c r="G34" s="554">
        <f>D34*1</f>
        <v>130815.54650862557</v>
      </c>
    </row>
    <row r="35" spans="1:7" x14ac:dyDescent="0.25">
      <c r="A35" s="424">
        <v>27</v>
      </c>
      <c r="B35" s="555" t="s">
        <v>559</v>
      </c>
      <c r="C35" s="121">
        <f>'2. SOFP'!E25-'2. SOFP'!C64-'2. SOFP'!C29</f>
        <v>11934627.868744239</v>
      </c>
      <c r="D35" s="129">
        <v>6683399.3351711687</v>
      </c>
      <c r="E35" s="121"/>
      <c r="F35" s="121">
        <v>12713468.047002524</v>
      </c>
      <c r="G35" s="554">
        <f>C35+D35*0.5+F35</f>
        <v>27989795.583332349</v>
      </c>
    </row>
    <row r="36" spans="1:7" x14ac:dyDescent="0.25">
      <c r="A36" s="424">
        <v>28</v>
      </c>
      <c r="B36" s="553" t="s">
        <v>560</v>
      </c>
      <c r="C36" s="121"/>
      <c r="D36" s="129">
        <v>4322950</v>
      </c>
      <c r="E36" s="121">
        <v>5514355.3799999999</v>
      </c>
      <c r="F36" s="121">
        <v>278101</v>
      </c>
      <c r="G36" s="554">
        <f>D36*0.05+E36*0.1+F36*0.15</f>
        <v>809298.18800000008</v>
      </c>
    </row>
    <row r="37" spans="1:7" x14ac:dyDescent="0.25">
      <c r="A37" s="561">
        <v>29</v>
      </c>
      <c r="B37" s="562" t="s">
        <v>561</v>
      </c>
      <c r="C37" s="556"/>
      <c r="D37" s="556"/>
      <c r="E37" s="556"/>
      <c r="F37" s="556"/>
      <c r="G37" s="563">
        <f>SUM(G23:G24,G32:G33,G36)</f>
        <v>99156367.672002435</v>
      </c>
    </row>
    <row r="38" spans="1:7" x14ac:dyDescent="0.25">
      <c r="A38" s="549"/>
      <c r="B38" s="571"/>
      <c r="C38" s="572"/>
      <c r="D38" s="572"/>
      <c r="E38" s="572"/>
      <c r="F38" s="572"/>
      <c r="G38" s="573"/>
    </row>
    <row r="39" spans="1:7" ht="15.75" thickBot="1" x14ac:dyDescent="0.3">
      <c r="A39" s="574">
        <v>30</v>
      </c>
      <c r="B39" s="575" t="s">
        <v>30</v>
      </c>
      <c r="C39" s="576"/>
      <c r="D39" s="468"/>
      <c r="E39" s="468"/>
      <c r="F39" s="469"/>
      <c r="G39" s="577">
        <f>IFERROR(G21/G37,0)</f>
        <v>1.5479623680866637</v>
      </c>
    </row>
    <row r="41" spans="1:7" x14ac:dyDescent="0.25">
      <c r="D41" s="578"/>
    </row>
    <row r="42" spans="1:7" ht="40.5" x14ac:dyDescent="0.25">
      <c r="B42" s="109" t="s">
        <v>562</v>
      </c>
    </row>
  </sheetData>
  <mergeCells count="2">
    <mergeCell ref="C5:F5"/>
    <mergeCell ref="G5:G6"/>
  </mergeCells>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AFE8B-7AAB-4A10-84C3-61E8293FB742}">
  <dimension ref="A1:AE51"/>
  <sheetViews>
    <sheetView tabSelected="1" zoomScaleNormal="130" workbookViewId="0">
      <pane xSplit="1" ySplit="5" topLeftCell="B6" activePane="bottomRight" state="frozen"/>
      <selection activeCell="I28" sqref="I28"/>
      <selection pane="topRight" activeCell="I28" sqref="I28"/>
      <selection pane="bottomLeft" activeCell="I28" sqref="I28"/>
      <selection pane="bottomRight" activeCell="H20" sqref="H20"/>
    </sheetView>
  </sheetViews>
  <sheetFormatPr defaultRowHeight="15.75" x14ac:dyDescent="0.3"/>
  <cols>
    <col min="1" max="1" width="9.5703125" style="108" bestFit="1" customWidth="1"/>
    <col min="2" max="2" width="55.28515625" style="23" customWidth="1"/>
    <col min="3" max="3" width="12.7109375" style="23" customWidth="1"/>
    <col min="4" max="6" width="12.7109375" style="20" customWidth="1"/>
    <col min="7" max="7" width="15" style="20" customWidth="1"/>
    <col min="8" max="8" width="15.42578125" customWidth="1"/>
    <col min="9" max="12" width="14.85546875" customWidth="1"/>
    <col min="13" max="13" width="6.7109375" customWidth="1"/>
    <col min="28" max="28" width="11.28515625" bestFit="1" customWidth="1"/>
  </cols>
  <sheetData>
    <row r="1" spans="1:31" x14ac:dyDescent="0.3">
      <c r="A1" s="21" t="s">
        <v>41</v>
      </c>
      <c r="B1" s="22" t="str">
        <f>Info!C2</f>
        <v>სს სილქ ბანკი</v>
      </c>
    </row>
    <row r="2" spans="1:31" x14ac:dyDescent="0.3">
      <c r="A2" s="21" t="s">
        <v>42</v>
      </c>
      <c r="B2" s="24">
        <v>45473</v>
      </c>
    </row>
    <row r="3" spans="1:31" ht="16.5" thickBot="1" x14ac:dyDescent="0.35">
      <c r="A3" s="21"/>
      <c r="X3" s="25"/>
    </row>
    <row r="4" spans="1:31" ht="40.5" customHeight="1" thickBot="1" x14ac:dyDescent="0.35">
      <c r="A4" s="26" t="s">
        <v>43</v>
      </c>
      <c r="B4" s="27" t="s">
        <v>12</v>
      </c>
      <c r="C4" s="28"/>
      <c r="D4" s="780" t="s">
        <v>44</v>
      </c>
      <c r="E4" s="781"/>
      <c r="F4" s="781"/>
      <c r="G4" s="782"/>
      <c r="I4" s="783" t="s">
        <v>45</v>
      </c>
      <c r="J4" s="784"/>
      <c r="K4" s="784"/>
      <c r="L4" s="785"/>
    </row>
    <row r="5" spans="1:31" ht="15" x14ac:dyDescent="0.25">
      <c r="A5" s="29" t="s">
        <v>46</v>
      </c>
      <c r="B5" s="30"/>
      <c r="C5" s="31" t="str">
        <f>INT((MONTH($B$2))/3)&amp;"Q"&amp;"-"&amp;YEAR($B$2)</f>
        <v>2Q-2024</v>
      </c>
      <c r="D5" s="31" t="str">
        <f>IF(INT(MONTH($B$2))=3, "4"&amp;"Q"&amp;"-"&amp;YEAR($B$2)-1, IF(INT(MONTH($B$2))=6, "1"&amp;"Q"&amp;"-"&amp;YEAR($B$2), IF(INT(MONTH($B$2))=9, "2"&amp;"Q"&amp;"-"&amp;YEAR($B$2),IF(INT(MONTH($B$2))=12, "3"&amp;"Q"&amp;"-"&amp;YEAR($B$2), 0))))</f>
        <v>1Q-2024</v>
      </c>
      <c r="E5" s="31" t="str">
        <f>IF(INT(MONTH($B$2))=3, "3"&amp;"Q"&amp;"-"&amp;YEAR($B$2)-1, IF(INT(MONTH($B$2))=6, "4"&amp;"Q"&amp;"-"&amp;YEAR($B$2)-1, IF(INT(MONTH($B$2))=9, "1"&amp;"Q"&amp;"-"&amp;YEAR($B$2),IF(INT(MONTH($B$2))=12, "2"&amp;"Q"&amp;"-"&amp;YEAR($B$2), 0))))</f>
        <v>4Q-2023</v>
      </c>
      <c r="F5" s="31" t="str">
        <f>IF(INT(MONTH($B$2))=3, "2"&amp;"Q"&amp;"-"&amp;YEAR($B$2)-1, IF(INT(MONTH($B$2))=6, "3"&amp;"Q"&amp;"-"&amp;YEAR($B$2)-1, IF(INT(MONTH($B$2))=9, "4"&amp;"Q"&amp;"-"&amp;YEAR($B$2)-1,IF(INT(MONTH($B$2))=12, "1"&amp;"Q"&amp;"-"&amp;YEAR($B$2), 0))))</f>
        <v>3Q-2023</v>
      </c>
      <c r="G5" s="32" t="str">
        <f>IF(INT(MONTH($B$2))=3, "1"&amp;"Q"&amp;"-"&amp;YEAR($B$2)-1, IF(INT(MONTH($B$2))=6, "2"&amp;"Q"&amp;"-"&amp;YEAR($B$2)-1, IF(INT(MONTH($B$2))=9, "3"&amp;"Q"&amp;"-"&amp;YEAR($B$2)-1,IF(INT(MONTH($B$2))=12, "4"&amp;"Q"&amp;"-"&amp;YEAR($B$2)-1, 0))))</f>
        <v>2Q-2023</v>
      </c>
      <c r="I5" s="33" t="s">
        <v>47</v>
      </c>
      <c r="J5" s="31" t="s">
        <v>48</v>
      </c>
      <c r="K5" s="33" t="s">
        <v>49</v>
      </c>
      <c r="L5" s="31" t="s">
        <v>50</v>
      </c>
    </row>
    <row r="6" spans="1:31" ht="15" x14ac:dyDescent="0.25">
      <c r="A6" s="34"/>
      <c r="B6" s="35" t="s">
        <v>51</v>
      </c>
      <c r="C6" s="786"/>
      <c r="D6" s="787"/>
      <c r="E6" s="787"/>
      <c r="F6" s="787"/>
      <c r="G6" s="788"/>
      <c r="I6" s="792"/>
      <c r="J6" s="787"/>
      <c r="K6" s="787"/>
      <c r="L6" s="788"/>
    </row>
    <row r="7" spans="1:31" ht="15" x14ac:dyDescent="0.25">
      <c r="A7" s="34"/>
      <c r="B7" s="36" t="s">
        <v>52</v>
      </c>
      <c r="C7" s="789"/>
      <c r="D7" s="790"/>
      <c r="E7" s="790"/>
      <c r="F7" s="790"/>
      <c r="G7" s="791"/>
      <c r="I7" s="793"/>
      <c r="J7" s="790"/>
      <c r="K7" s="790"/>
      <c r="L7" s="791"/>
    </row>
    <row r="8" spans="1:31" ht="15" x14ac:dyDescent="0.25">
      <c r="A8" s="37">
        <v>1</v>
      </c>
      <c r="B8" s="38" t="s">
        <v>53</v>
      </c>
      <c r="C8" s="39">
        <v>53861308.084424809</v>
      </c>
      <c r="D8" s="40">
        <v>52964687.190789811</v>
      </c>
      <c r="E8" s="40">
        <v>52917483.969116479</v>
      </c>
      <c r="F8" s="40">
        <v>47232568.251399003</v>
      </c>
      <c r="G8" s="41">
        <v>49454613.058878683</v>
      </c>
      <c r="I8" s="42">
        <v>48511184.540000007</v>
      </c>
      <c r="J8" s="40">
        <v>47033072.099999994</v>
      </c>
      <c r="K8" s="40">
        <v>47669109.719999999</v>
      </c>
      <c r="L8" s="41">
        <v>48782730.109999999</v>
      </c>
      <c r="AB8" s="43"/>
      <c r="AC8" s="43"/>
      <c r="AD8" s="43"/>
      <c r="AE8" s="43"/>
    </row>
    <row r="9" spans="1:31" ht="15" x14ac:dyDescent="0.25">
      <c r="A9" s="37">
        <v>2</v>
      </c>
      <c r="B9" s="38" t="s">
        <v>54</v>
      </c>
      <c r="C9" s="39">
        <v>53861308.084424809</v>
      </c>
      <c r="D9" s="40">
        <v>52964687.190789811</v>
      </c>
      <c r="E9" s="40">
        <v>52917483.969116479</v>
      </c>
      <c r="F9" s="40">
        <v>47232568.251399003</v>
      </c>
      <c r="G9" s="41">
        <v>49454613.058878683</v>
      </c>
      <c r="I9" s="42">
        <v>48511184.540000007</v>
      </c>
      <c r="J9" s="40">
        <v>47033072.099999994</v>
      </c>
      <c r="K9" s="40">
        <v>47669109.719999999</v>
      </c>
      <c r="L9" s="41">
        <v>48782730.109999999</v>
      </c>
      <c r="AB9" s="43"/>
      <c r="AC9" s="43"/>
      <c r="AD9" s="43"/>
      <c r="AE9" s="43"/>
    </row>
    <row r="10" spans="1:31" ht="15" x14ac:dyDescent="0.25">
      <c r="A10" s="37">
        <v>3</v>
      </c>
      <c r="B10" s="38" t="s">
        <v>20</v>
      </c>
      <c r="C10" s="39">
        <v>53861308.084424809</v>
      </c>
      <c r="D10" s="40">
        <v>56270937.190789811</v>
      </c>
      <c r="E10" s="40">
        <v>55792483.969116479</v>
      </c>
      <c r="F10" s="40">
        <v>50107568.251399003</v>
      </c>
      <c r="G10" s="41">
        <v>52329613.058878683</v>
      </c>
      <c r="H10" s="44"/>
      <c r="I10" s="42">
        <v>51806334.150000006</v>
      </c>
      <c r="J10" s="40">
        <v>50425926.109999992</v>
      </c>
      <c r="K10" s="40">
        <v>50544809.549999997</v>
      </c>
      <c r="L10" s="41">
        <v>51647000.859999999</v>
      </c>
      <c r="AB10" s="43"/>
      <c r="AC10" s="43"/>
      <c r="AD10" s="43"/>
      <c r="AE10" s="43"/>
    </row>
    <row r="11" spans="1:31" ht="15" x14ac:dyDescent="0.25">
      <c r="A11" s="37">
        <v>4</v>
      </c>
      <c r="B11" s="38" t="s">
        <v>55</v>
      </c>
      <c r="C11" s="39">
        <v>25750274.421714228</v>
      </c>
      <c r="D11" s="40">
        <v>21454146.996470381</v>
      </c>
      <c r="E11" s="40">
        <v>19566432.633775767</v>
      </c>
      <c r="F11" s="40">
        <v>13538236.495725883</v>
      </c>
      <c r="G11" s="41">
        <v>11640056.833975865</v>
      </c>
      <c r="I11" s="42">
        <v>6435500.856027049</v>
      </c>
      <c r="J11" s="40">
        <v>7730929.6487218384</v>
      </c>
      <c r="K11" s="40">
        <v>5206706.6113385735</v>
      </c>
      <c r="L11" s="41">
        <v>6735696.2838718379</v>
      </c>
      <c r="AB11" s="43"/>
      <c r="AC11" s="43"/>
      <c r="AD11" s="43"/>
      <c r="AE11" s="43"/>
    </row>
    <row r="12" spans="1:31" ht="15" x14ac:dyDescent="0.25">
      <c r="A12" s="37">
        <v>5</v>
      </c>
      <c r="B12" s="38" t="s">
        <v>56</v>
      </c>
      <c r="C12" s="39">
        <v>31650794.439727508</v>
      </c>
      <c r="D12" s="40">
        <v>26270981.806814201</v>
      </c>
      <c r="E12" s="40">
        <v>24679557.21480158</v>
      </c>
      <c r="F12" s="40">
        <v>17037392.591574989</v>
      </c>
      <c r="G12" s="41">
        <v>14486984.605279732</v>
      </c>
      <c r="I12" s="42">
        <v>8581167.2055233996</v>
      </c>
      <c r="J12" s="40">
        <v>10308419.729979118</v>
      </c>
      <c r="K12" s="40">
        <v>6942485.309496766</v>
      </c>
      <c r="L12" s="41">
        <v>8981159.282382451</v>
      </c>
      <c r="AB12" s="43"/>
      <c r="AC12" s="43"/>
      <c r="AD12" s="43"/>
      <c r="AE12" s="43"/>
    </row>
    <row r="13" spans="1:31" ht="15" x14ac:dyDescent="0.25">
      <c r="A13" s="37">
        <v>6</v>
      </c>
      <c r="B13" s="38" t="s">
        <v>57</v>
      </c>
      <c r="C13" s="39">
        <v>39455771.82032492</v>
      </c>
      <c r="D13" s="40">
        <v>32642275.900241766</v>
      </c>
      <c r="E13" s="40">
        <v>31439111.162439074</v>
      </c>
      <c r="F13" s="40">
        <v>21664886.055433322</v>
      </c>
      <c r="G13" s="41">
        <v>18251608.740372974</v>
      </c>
      <c r="I13" s="42">
        <v>13119687.070131311</v>
      </c>
      <c r="J13" s="40">
        <v>15779925.709801527</v>
      </c>
      <c r="K13" s="40">
        <v>12782659.366280219</v>
      </c>
      <c r="L13" s="41">
        <v>15671110.145961303</v>
      </c>
      <c r="AB13" s="43"/>
      <c r="AC13" s="43"/>
      <c r="AD13" s="43"/>
      <c r="AE13" s="43"/>
    </row>
    <row r="14" spans="1:31" ht="27" x14ac:dyDescent="0.25">
      <c r="A14" s="34"/>
      <c r="B14" s="35" t="s">
        <v>58</v>
      </c>
      <c r="C14" s="45"/>
      <c r="D14" s="46"/>
      <c r="E14" s="46"/>
      <c r="F14" s="46"/>
      <c r="G14" s="47"/>
      <c r="I14" s="777"/>
      <c r="J14" s="778"/>
      <c r="K14" s="778"/>
      <c r="L14" s="779"/>
    </row>
    <row r="15" spans="1:31" ht="21.95" customHeight="1" x14ac:dyDescent="0.25">
      <c r="A15" s="37">
        <v>7</v>
      </c>
      <c r="B15" s="38" t="s">
        <v>59</v>
      </c>
      <c r="C15" s="48">
        <v>156313956.20372993</v>
      </c>
      <c r="D15" s="40">
        <v>126743503.30563916</v>
      </c>
      <c r="E15" s="40">
        <v>120682095.89343537</v>
      </c>
      <c r="F15" s="40">
        <v>88694683.416122541</v>
      </c>
      <c r="G15" s="40">
        <v>70932856.834983379</v>
      </c>
      <c r="I15" s="42">
        <v>57240173.042884499</v>
      </c>
      <c r="J15" s="40">
        <v>68112948.195683539</v>
      </c>
      <c r="K15" s="40">
        <v>53853117.125751503</v>
      </c>
      <c r="L15" s="41">
        <v>71891560.79072018</v>
      </c>
      <c r="AB15" s="43"/>
      <c r="AC15" s="43"/>
      <c r="AD15" s="43"/>
      <c r="AE15" s="43"/>
    </row>
    <row r="16" spans="1:31" ht="15" x14ac:dyDescent="0.25">
      <c r="A16" s="34"/>
      <c r="B16" s="35" t="s">
        <v>60</v>
      </c>
      <c r="C16" s="49"/>
      <c r="D16" s="50"/>
      <c r="E16" s="50"/>
      <c r="F16" s="50"/>
      <c r="G16" s="51"/>
      <c r="I16" s="792"/>
      <c r="J16" s="787"/>
      <c r="K16" s="787"/>
      <c r="L16" s="788"/>
    </row>
    <row r="17" spans="1:31" ht="15" x14ac:dyDescent="0.25">
      <c r="A17" s="37"/>
      <c r="B17" s="36" t="s">
        <v>61</v>
      </c>
      <c r="C17" s="52"/>
      <c r="D17" s="53"/>
      <c r="E17" s="53"/>
      <c r="F17" s="53"/>
      <c r="G17" s="54"/>
      <c r="I17" s="793"/>
      <c r="J17" s="790"/>
      <c r="K17" s="790"/>
      <c r="L17" s="791"/>
    </row>
    <row r="18" spans="1:31" ht="15" x14ac:dyDescent="0.25">
      <c r="A18" s="37">
        <v>8</v>
      </c>
      <c r="B18" s="38" t="s">
        <v>62</v>
      </c>
      <c r="C18" s="55">
        <v>0.3445713319047809</v>
      </c>
      <c r="D18" s="55">
        <v>0.41788877385743894</v>
      </c>
      <c r="E18" s="55">
        <v>0.43848661706906084</v>
      </c>
      <c r="F18" s="55">
        <v>0.53252987024939613</v>
      </c>
      <c r="G18" s="55">
        <v>0.69720317586994696</v>
      </c>
      <c r="I18" s="56">
        <v>0.84750240890528561</v>
      </c>
      <c r="J18" s="57">
        <v>0.6905158761426301</v>
      </c>
      <c r="K18" s="57">
        <v>0.88516899790013392</v>
      </c>
      <c r="L18" s="58">
        <v>0.67855989734329025</v>
      </c>
      <c r="AB18" s="43"/>
      <c r="AC18" s="43"/>
      <c r="AD18" s="43"/>
      <c r="AE18" s="43"/>
    </row>
    <row r="19" spans="1:31" ht="15" customHeight="1" x14ac:dyDescent="0.25">
      <c r="A19" s="37">
        <v>9</v>
      </c>
      <c r="B19" s="38" t="s">
        <v>63</v>
      </c>
      <c r="C19" s="55">
        <v>0.3445713319047809</v>
      </c>
      <c r="D19" s="55">
        <v>0.41788877385743894</v>
      </c>
      <c r="E19" s="55">
        <v>0.43848661706906084</v>
      </c>
      <c r="F19" s="55">
        <v>0.53252987024939613</v>
      </c>
      <c r="G19" s="55">
        <v>0.69720317586994696</v>
      </c>
      <c r="I19" s="56">
        <v>0.84750240890528561</v>
      </c>
      <c r="J19" s="57">
        <v>0.6905158761426301</v>
      </c>
      <c r="K19" s="57">
        <v>0.88516899790013392</v>
      </c>
      <c r="L19" s="58">
        <v>0.67855989734329025</v>
      </c>
      <c r="AB19" s="43"/>
      <c r="AC19" s="43"/>
      <c r="AD19" s="43"/>
      <c r="AE19" s="43"/>
    </row>
    <row r="20" spans="1:31" ht="15" x14ac:dyDescent="0.25">
      <c r="A20" s="37">
        <v>10</v>
      </c>
      <c r="B20" s="38" t="s">
        <v>64</v>
      </c>
      <c r="C20" s="55">
        <v>0.3445713319047809</v>
      </c>
      <c r="D20" s="55">
        <v>0.44397492355165286</v>
      </c>
      <c r="E20" s="55">
        <v>0.46230953776591949</v>
      </c>
      <c r="F20" s="55">
        <v>0.56494443997632737</v>
      </c>
      <c r="G20" s="55">
        <v>0.73773446317856806</v>
      </c>
      <c r="I20" s="56">
        <v>0.9050694887170686</v>
      </c>
      <c r="J20" s="57">
        <v>0.7403280498904552</v>
      </c>
      <c r="K20" s="57">
        <v>0.93856794643796881</v>
      </c>
      <c r="L20" s="58">
        <v>0.71840144089160796</v>
      </c>
      <c r="AB20" s="43"/>
      <c r="AC20" s="43"/>
      <c r="AD20" s="43"/>
      <c r="AE20" s="43"/>
    </row>
    <row r="21" spans="1:31" ht="15" x14ac:dyDescent="0.25">
      <c r="A21" s="37">
        <v>11</v>
      </c>
      <c r="B21" s="38" t="s">
        <v>55</v>
      </c>
      <c r="C21" s="55">
        <v>0.16473432729290605</v>
      </c>
      <c r="D21" s="59">
        <v>0.16927216336078527</v>
      </c>
      <c r="E21" s="57">
        <v>0.16213202537560589</v>
      </c>
      <c r="F21" s="57">
        <v>0.15263864725926696</v>
      </c>
      <c r="G21" s="57">
        <v>0.16409964793967108</v>
      </c>
      <c r="I21" s="56">
        <v>0.11242979386532521</v>
      </c>
      <c r="J21" s="57">
        <v>0.11350161538319323</v>
      </c>
      <c r="K21" s="57">
        <v>9.6683477006177396E-2</v>
      </c>
      <c r="L21" s="58">
        <v>9.3692447483227914E-2</v>
      </c>
      <c r="AB21" s="43"/>
      <c r="AC21" s="43"/>
      <c r="AD21" s="43"/>
      <c r="AE21" s="43"/>
    </row>
    <row r="22" spans="1:31" ht="15" x14ac:dyDescent="0.25">
      <c r="A22" s="37">
        <v>12</v>
      </c>
      <c r="B22" s="60" t="s">
        <v>56</v>
      </c>
      <c r="C22" s="55">
        <v>0.20248220445828793</v>
      </c>
      <c r="D22" s="59">
        <v>0.20727675282465807</v>
      </c>
      <c r="E22" s="57">
        <v>0.20450056847367074</v>
      </c>
      <c r="F22" s="57">
        <v>0.19209034786946436</v>
      </c>
      <c r="G22" s="57">
        <v>0.20423517748597003</v>
      </c>
      <c r="I22" s="56">
        <v>0.14991511641822544</v>
      </c>
      <c r="J22" s="57">
        <v>0.151343026591123</v>
      </c>
      <c r="K22" s="57">
        <v>0.12891519897140746</v>
      </c>
      <c r="L22" s="58">
        <v>0.12492647514674277</v>
      </c>
      <c r="AB22" s="43"/>
      <c r="AC22" s="43"/>
      <c r="AD22" s="43"/>
      <c r="AE22" s="43"/>
    </row>
    <row r="23" spans="1:31" ht="15" x14ac:dyDescent="0.25">
      <c r="A23" s="37">
        <v>13</v>
      </c>
      <c r="B23" s="38" t="s">
        <v>57</v>
      </c>
      <c r="C23" s="55">
        <v>0.25241362178115889</v>
      </c>
      <c r="D23" s="59">
        <v>0.25754594948764858</v>
      </c>
      <c r="E23" s="57">
        <v>0.26051180939217711</v>
      </c>
      <c r="F23" s="57">
        <v>0.24426363814603991</v>
      </c>
      <c r="G23" s="57">
        <v>0.25730824267846863</v>
      </c>
      <c r="I23" s="56">
        <v>0.22920418252932262</v>
      </c>
      <c r="J23" s="57">
        <v>0.23167292163696906</v>
      </c>
      <c r="K23" s="57">
        <v>0.2373615502410315</v>
      </c>
      <c r="L23" s="58">
        <v>0.2179826112216518</v>
      </c>
      <c r="AB23" s="43"/>
      <c r="AC23" s="43"/>
      <c r="AD23" s="43"/>
      <c r="AE23" s="43"/>
    </row>
    <row r="24" spans="1:31" ht="15" x14ac:dyDescent="0.25">
      <c r="A24" s="34"/>
      <c r="B24" s="35" t="s">
        <v>65</v>
      </c>
      <c r="C24" s="45"/>
      <c r="D24" s="46"/>
      <c r="E24" s="46"/>
      <c r="F24" s="46"/>
      <c r="G24" s="47"/>
      <c r="I24" s="777"/>
      <c r="J24" s="778"/>
      <c r="K24" s="778"/>
      <c r="L24" s="779"/>
    </row>
    <row r="25" spans="1:31" ht="15" customHeight="1" x14ac:dyDescent="0.25">
      <c r="A25" s="61">
        <v>14</v>
      </c>
      <c r="B25" s="62" t="s">
        <v>66</v>
      </c>
      <c r="C25" s="63">
        <v>9.1179294660155133E-2</v>
      </c>
      <c r="D25" s="63">
        <v>9.200315630880207E-2</v>
      </c>
      <c r="E25" s="64">
        <v>7.7535439963021022E-2</v>
      </c>
      <c r="F25" s="64">
        <v>7.2860756946315566E-2</v>
      </c>
      <c r="G25" s="65">
        <v>6.3219954094251546E-2</v>
      </c>
      <c r="H25" s="66"/>
      <c r="I25" s="67">
        <v>6.9976078573742315E-2</v>
      </c>
      <c r="J25" s="64">
        <v>8.6712764166882422E-2</v>
      </c>
      <c r="K25" s="64">
        <v>6.8644437943282871E-2</v>
      </c>
      <c r="L25" s="65">
        <v>6.6340453031664887E-2</v>
      </c>
      <c r="AB25" s="43"/>
      <c r="AC25" s="43"/>
      <c r="AD25" s="43"/>
      <c r="AE25" s="43"/>
    </row>
    <row r="26" spans="1:31" ht="15" x14ac:dyDescent="0.25">
      <c r="A26" s="61">
        <v>15</v>
      </c>
      <c r="B26" s="62" t="s">
        <v>67</v>
      </c>
      <c r="C26" s="63">
        <v>6.0067108507144966E-2</v>
      </c>
      <c r="D26" s="68">
        <v>5.8508787000952918E-2</v>
      </c>
      <c r="E26" s="64">
        <v>4.4284697999869553E-2</v>
      </c>
      <c r="F26" s="64">
        <v>3.7486925624787927E-2</v>
      </c>
      <c r="G26" s="65">
        <v>1.9930076898371032E-2</v>
      </c>
      <c r="H26" s="66"/>
      <c r="I26" s="67">
        <v>2.9409129873193305E-2</v>
      </c>
      <c r="J26" s="64">
        <v>3.7733216878770522E-2</v>
      </c>
      <c r="K26" s="64">
        <v>3.1564328779412947E-2</v>
      </c>
      <c r="L26" s="65">
        <v>3.1725445419185233E-2</v>
      </c>
      <c r="AB26" s="43"/>
      <c r="AC26" s="43"/>
      <c r="AD26" s="43"/>
      <c r="AE26" s="43"/>
    </row>
    <row r="27" spans="1:31" ht="15" x14ac:dyDescent="0.25">
      <c r="A27" s="61">
        <v>16</v>
      </c>
      <c r="B27" s="62" t="s">
        <v>68</v>
      </c>
      <c r="C27" s="63">
        <v>-6.9029252962158963E-2</v>
      </c>
      <c r="D27" s="68">
        <v>-5.5714462191009409E-2</v>
      </c>
      <c r="E27" s="64">
        <v>-5.0980843798509555E-2</v>
      </c>
      <c r="F27" s="64">
        <v>-4.6088032368245886E-2</v>
      </c>
      <c r="G27" s="65">
        <v>-4.0784680519248731E-2</v>
      </c>
      <c r="H27" s="66"/>
      <c r="I27" s="67">
        <v>-2.5967160101922751E-2</v>
      </c>
      <c r="J27" s="64">
        <v>-3.3195023967773338E-2</v>
      </c>
      <c r="K27" s="64">
        <v>-2.6266127410361082E-2</v>
      </c>
      <c r="L27" s="65">
        <v>-3.0832339776697228E-2</v>
      </c>
      <c r="AB27" s="43"/>
      <c r="AC27" s="43"/>
      <c r="AD27" s="43"/>
      <c r="AE27" s="43"/>
    </row>
    <row r="28" spans="1:31" ht="15" x14ac:dyDescent="0.25">
      <c r="A28" s="61">
        <v>17</v>
      </c>
      <c r="B28" s="62" t="s">
        <v>69</v>
      </c>
      <c r="C28" s="63">
        <v>3.1112186153010164E-2</v>
      </c>
      <c r="D28" s="68">
        <v>3.3494369307849152E-2</v>
      </c>
      <c r="E28" s="64">
        <v>3.3250741963151476E-2</v>
      </c>
      <c r="F28" s="64">
        <v>3.5373831321527632E-2</v>
      </c>
      <c r="G28" s="65">
        <v>4.3289877195880518E-2</v>
      </c>
      <c r="H28" s="66"/>
      <c r="I28" s="67">
        <v>4.0566948700549006E-2</v>
      </c>
      <c r="J28" s="64">
        <v>4.8979547288111901E-2</v>
      </c>
      <c r="K28" s="64">
        <v>3.7080109163869925E-2</v>
      </c>
      <c r="L28" s="65">
        <v>3.4615007612479654E-2</v>
      </c>
      <c r="AB28" s="43"/>
      <c r="AC28" s="43"/>
      <c r="AD28" s="43"/>
      <c r="AE28" s="43"/>
    </row>
    <row r="29" spans="1:31" ht="15" x14ac:dyDescent="0.25">
      <c r="A29" s="61">
        <v>18</v>
      </c>
      <c r="B29" s="62" t="s">
        <v>70</v>
      </c>
      <c r="C29" s="63">
        <v>-4.3385615648181004E-2</v>
      </c>
      <c r="D29" s="68">
        <v>-3.0502503755938781E-2</v>
      </c>
      <c r="E29" s="64">
        <v>-6.0309496137747956E-2</v>
      </c>
      <c r="F29" s="64">
        <v>-5.2010519987636741E-2</v>
      </c>
      <c r="G29" s="65">
        <v>-5.092813629758406E-2</v>
      </c>
      <c r="H29" s="66"/>
      <c r="I29" s="67">
        <v>-3.3122255484799017E-2</v>
      </c>
      <c r="J29" s="64">
        <v>-4.8911011129122245E-2</v>
      </c>
      <c r="K29" s="64">
        <v>-4.3456904238065724E-2</v>
      </c>
      <c r="L29" s="65">
        <v>-3.6956771619234767E-2</v>
      </c>
      <c r="AB29" s="43"/>
      <c r="AC29" s="43"/>
      <c r="AD29" s="43"/>
      <c r="AE29" s="43"/>
    </row>
    <row r="30" spans="1:31" ht="15" x14ac:dyDescent="0.25">
      <c r="A30" s="61">
        <v>19</v>
      </c>
      <c r="B30" s="62" t="s">
        <v>71</v>
      </c>
      <c r="C30" s="63">
        <v>-0.13304710985146104</v>
      </c>
      <c r="D30" s="68">
        <v>-9.0847218844899644E-2</v>
      </c>
      <c r="E30" s="64">
        <v>-0.13505280416086754</v>
      </c>
      <c r="F30" s="64">
        <v>-0.10451859967494685</v>
      </c>
      <c r="G30" s="65">
        <v>-8.5388117838136657E-2</v>
      </c>
      <c r="H30" s="66"/>
      <c r="I30" s="67">
        <v>-5.4955915971710907E-2</v>
      </c>
      <c r="J30" s="64">
        <v>-8.0165581024978935E-2</v>
      </c>
      <c r="K30" s="64">
        <v>-7.1654535872239203E-2</v>
      </c>
      <c r="L30" s="65">
        <v>-6.2810585501920951E-2</v>
      </c>
      <c r="AB30" s="43"/>
      <c r="AC30" s="43"/>
      <c r="AD30" s="43"/>
      <c r="AE30" s="43"/>
    </row>
    <row r="31" spans="1:31" ht="15" x14ac:dyDescent="0.25">
      <c r="A31" s="34"/>
      <c r="B31" s="35" t="s">
        <v>72</v>
      </c>
      <c r="C31" s="45"/>
      <c r="D31" s="46"/>
      <c r="E31" s="46"/>
      <c r="F31" s="46"/>
      <c r="G31" s="47"/>
      <c r="I31" s="777"/>
      <c r="J31" s="778"/>
      <c r="K31" s="778"/>
      <c r="L31" s="779"/>
    </row>
    <row r="32" spans="1:31" ht="15" x14ac:dyDescent="0.25">
      <c r="A32" s="61">
        <v>20</v>
      </c>
      <c r="B32" s="62" t="s">
        <v>73</v>
      </c>
      <c r="C32" s="69">
        <f>'24. Risk Sector'!F33/'24. Risk Sector'!C33</f>
        <v>9.4145682470673335E-3</v>
      </c>
      <c r="D32" s="68">
        <v>8.1727174329576796E-3</v>
      </c>
      <c r="E32" s="64">
        <v>2.1832662512139049E-2</v>
      </c>
      <c r="F32" s="64">
        <v>4.0539867266098477E-2</v>
      </c>
      <c r="G32" s="65">
        <v>5.6273561937663592E-2</v>
      </c>
      <c r="I32" s="67">
        <v>7.1593592432212444E-2</v>
      </c>
      <c r="J32" s="64">
        <v>9.7700818052230035E-2</v>
      </c>
      <c r="K32" s="64">
        <v>0.1459437829377751</v>
      </c>
      <c r="L32" s="65">
        <v>0.16505744055088239</v>
      </c>
      <c r="AB32" s="43"/>
      <c r="AC32" s="43"/>
      <c r="AD32" s="43"/>
      <c r="AE32" s="43"/>
    </row>
    <row r="33" spans="1:31" ht="15" customHeight="1" x14ac:dyDescent="0.25">
      <c r="A33" s="61">
        <v>21</v>
      </c>
      <c r="B33" s="62" t="s">
        <v>74</v>
      </c>
      <c r="C33" s="69">
        <v>1.9906552485893944E-2</v>
      </c>
      <c r="D33" s="68">
        <v>1.9452296566206072E-2</v>
      </c>
      <c r="E33" s="64">
        <v>3.0115483956873659E-2</v>
      </c>
      <c r="F33" s="64">
        <v>3.7767339589549247E-2</v>
      </c>
      <c r="G33" s="65">
        <v>4.524543007917637E-2</v>
      </c>
      <c r="I33" s="67">
        <v>4.2022503882801265E-2</v>
      </c>
      <c r="J33" s="64">
        <v>5.0902620948851923E-2</v>
      </c>
      <c r="K33" s="64">
        <v>6.4883518819109212E-2</v>
      </c>
      <c r="L33" s="65">
        <v>6.9545281550102159E-2</v>
      </c>
      <c r="AB33" s="43"/>
      <c r="AC33" s="43"/>
      <c r="AD33" s="43"/>
      <c r="AE33" s="43"/>
    </row>
    <row r="34" spans="1:31" ht="15" x14ac:dyDescent="0.25">
      <c r="A34" s="61">
        <v>22</v>
      </c>
      <c r="B34" s="62" t="s">
        <v>75</v>
      </c>
      <c r="C34" s="69">
        <v>0.43464052059948921</v>
      </c>
      <c r="D34" s="68">
        <v>0.35357684417304003</v>
      </c>
      <c r="E34" s="64">
        <v>0.31518467966823016</v>
      </c>
      <c r="F34" s="64">
        <v>0.43036893477315696</v>
      </c>
      <c r="G34" s="65">
        <v>0.39556562021042679</v>
      </c>
      <c r="I34" s="67">
        <v>0.37000812830572832</v>
      </c>
      <c r="J34" s="64">
        <v>0.33008692441883963</v>
      </c>
      <c r="K34" s="64">
        <v>0.19592437409026345</v>
      </c>
      <c r="L34" s="65">
        <v>0.22430830972248131</v>
      </c>
      <c r="AB34" s="43"/>
      <c r="AC34" s="43"/>
      <c r="AD34" s="43"/>
      <c r="AE34" s="43"/>
    </row>
    <row r="35" spans="1:31" ht="15" customHeight="1" x14ac:dyDescent="0.25">
      <c r="A35" s="61">
        <v>23</v>
      </c>
      <c r="B35" s="62" t="s">
        <v>76</v>
      </c>
      <c r="C35" s="69">
        <v>0.28218324623687308</v>
      </c>
      <c r="D35" s="68">
        <v>0.19582523758523759</v>
      </c>
      <c r="E35" s="64">
        <v>0.19583295684979968</v>
      </c>
      <c r="F35" s="64">
        <v>0.15726929087587752</v>
      </c>
      <c r="G35" s="65">
        <v>9.7451449403516091E-2</v>
      </c>
      <c r="I35" s="67">
        <v>0.14465277297749282</v>
      </c>
      <c r="J35" s="64">
        <v>0.1977002062449103</v>
      </c>
      <c r="K35" s="64">
        <v>7.5296942059711172E-2</v>
      </c>
      <c r="L35" s="65">
        <v>0.21782155335133591</v>
      </c>
      <c r="AB35" s="43"/>
      <c r="AC35" s="43"/>
      <c r="AD35" s="43"/>
      <c r="AE35" s="43"/>
    </row>
    <row r="36" spans="1:31" ht="15" x14ac:dyDescent="0.25">
      <c r="A36" s="61">
        <v>24</v>
      </c>
      <c r="B36" s="62" t="s">
        <v>77</v>
      </c>
      <c r="C36" s="63">
        <v>0.54390897021702933</v>
      </c>
      <c r="D36" s="68">
        <v>0.25224974498701153</v>
      </c>
      <c r="E36" s="64">
        <v>1.8824198694956844</v>
      </c>
      <c r="F36" s="64">
        <v>0.6149716047200815</v>
      </c>
      <c r="G36" s="65">
        <v>0.12520805739140259</v>
      </c>
      <c r="I36" s="67">
        <v>0.21923715516628856</v>
      </c>
      <c r="J36" s="64">
        <v>0.46099129096252295</v>
      </c>
      <c r="K36" s="64">
        <v>1.3803265912725002E-2</v>
      </c>
      <c r="L36" s="70">
        <v>7.1589516154703706E-4</v>
      </c>
      <c r="AB36" s="43"/>
      <c r="AC36" s="43"/>
      <c r="AD36" s="43"/>
      <c r="AE36" s="43"/>
    </row>
    <row r="37" spans="1:31" ht="15" customHeight="1" x14ac:dyDescent="0.25">
      <c r="A37" s="34"/>
      <c r="B37" s="35" t="s">
        <v>78</v>
      </c>
      <c r="C37" s="71"/>
      <c r="D37" s="72"/>
      <c r="E37" s="72"/>
      <c r="F37" s="72"/>
      <c r="G37" s="73"/>
      <c r="I37" s="777"/>
      <c r="J37" s="778"/>
      <c r="K37" s="778"/>
      <c r="L37" s="779"/>
    </row>
    <row r="38" spans="1:31" ht="15" customHeight="1" x14ac:dyDescent="0.25">
      <c r="A38" s="61">
        <v>25</v>
      </c>
      <c r="B38" s="62" t="s">
        <v>79</v>
      </c>
      <c r="C38" s="69">
        <v>0.26618088210862439</v>
      </c>
      <c r="D38" s="63">
        <v>0.26972521152107359</v>
      </c>
      <c r="E38" s="69">
        <v>0.28912024057597607</v>
      </c>
      <c r="F38" s="69">
        <v>0.27565816724166298</v>
      </c>
      <c r="G38" s="74">
        <v>0.34716100710979098</v>
      </c>
      <c r="I38" s="75">
        <v>0.35278899881582926</v>
      </c>
      <c r="J38" s="69">
        <v>0.32247973720512596</v>
      </c>
      <c r="K38" s="69">
        <v>0.44772812081063196</v>
      </c>
      <c r="L38" s="74">
        <v>0.35465761211009106</v>
      </c>
      <c r="AB38" s="43"/>
      <c r="AC38" s="43"/>
      <c r="AD38" s="43"/>
      <c r="AE38" s="43"/>
    </row>
    <row r="39" spans="1:31" ht="15" customHeight="1" x14ac:dyDescent="0.25">
      <c r="A39" s="61">
        <v>26</v>
      </c>
      <c r="B39" s="62" t="s">
        <v>80</v>
      </c>
      <c r="C39" s="69">
        <v>0.23223986609816202</v>
      </c>
      <c r="D39" s="63">
        <v>0.22596071470268353</v>
      </c>
      <c r="E39" s="69">
        <v>0.20831236350067919</v>
      </c>
      <c r="F39" s="69">
        <v>0.20196748306875525</v>
      </c>
      <c r="G39" s="74">
        <v>0.16939085636526741</v>
      </c>
      <c r="I39" s="75">
        <v>0.2688375631872657</v>
      </c>
      <c r="J39" s="69">
        <v>0.2686654432456681</v>
      </c>
      <c r="K39" s="69">
        <v>0.16477854600384689</v>
      </c>
      <c r="L39" s="74">
        <v>0.13308155848890119</v>
      </c>
      <c r="AB39" s="43"/>
      <c r="AC39" s="43"/>
      <c r="AD39" s="43"/>
      <c r="AE39" s="43"/>
    </row>
    <row r="40" spans="1:31" ht="15" customHeight="1" x14ac:dyDescent="0.25">
      <c r="A40" s="61">
        <v>27</v>
      </c>
      <c r="B40" s="76" t="s">
        <v>81</v>
      </c>
      <c r="C40" s="63">
        <v>9.2623913426471735E-2</v>
      </c>
      <c r="D40" s="63">
        <v>0.14460847235995242</v>
      </c>
      <c r="E40" s="69">
        <v>0.10698037966067793</v>
      </c>
      <c r="F40" s="69">
        <v>8.2859139345820607E-2</v>
      </c>
      <c r="G40" s="74">
        <v>9.4277042563089886E-2</v>
      </c>
      <c r="I40" s="75">
        <v>0.14195045816821317</v>
      </c>
      <c r="J40" s="69">
        <v>0.12465381841449046</v>
      </c>
      <c r="K40" s="69">
        <v>8.4388384081508658E-2</v>
      </c>
      <c r="L40" s="74">
        <v>0.1256366601234441</v>
      </c>
      <c r="AB40" s="43"/>
      <c r="AC40" s="43"/>
      <c r="AD40" s="43"/>
      <c r="AE40" s="43"/>
    </row>
    <row r="41" spans="1:31" ht="15" customHeight="1" x14ac:dyDescent="0.25">
      <c r="A41" s="77"/>
      <c r="B41" s="35" t="s">
        <v>82</v>
      </c>
      <c r="C41" s="45"/>
      <c r="D41" s="46"/>
      <c r="E41" s="46"/>
      <c r="F41" s="46"/>
      <c r="G41" s="47"/>
      <c r="I41" s="777"/>
      <c r="J41" s="778"/>
      <c r="K41" s="778"/>
      <c r="L41" s="779"/>
    </row>
    <row r="42" spans="1:31" ht="15" customHeight="1" x14ac:dyDescent="0.25">
      <c r="A42" s="61">
        <v>28</v>
      </c>
      <c r="B42" s="78" t="s">
        <v>83</v>
      </c>
      <c r="C42" s="39">
        <f>'14. LCR'!H23</f>
        <v>65774095.029999994</v>
      </c>
      <c r="D42" s="39">
        <v>76072287.430000007</v>
      </c>
      <c r="E42" s="79">
        <v>74710514.070000008</v>
      </c>
      <c r="F42" s="79">
        <v>96974791.719999999</v>
      </c>
      <c r="G42" s="80">
        <v>44459514.869999997</v>
      </c>
      <c r="I42" s="81">
        <v>28839575.869999997</v>
      </c>
      <c r="J42" s="76">
        <v>39070286.440000005</v>
      </c>
      <c r="K42" s="76">
        <v>37577645.133626401</v>
      </c>
      <c r="L42" s="82">
        <v>33641079.189999998</v>
      </c>
      <c r="AB42" s="43"/>
      <c r="AC42" s="43"/>
      <c r="AD42" s="43"/>
      <c r="AE42" s="43"/>
    </row>
    <row r="43" spans="1:31" ht="15" x14ac:dyDescent="0.25">
      <c r="A43" s="61">
        <v>29</v>
      </c>
      <c r="B43" s="62" t="s">
        <v>84</v>
      </c>
      <c r="C43" s="39">
        <f>'14. LCR'!H24</f>
        <v>29591437.028849997</v>
      </c>
      <c r="D43" s="39">
        <v>15889032.896350004</v>
      </c>
      <c r="E43" s="83">
        <v>11383112.439399999</v>
      </c>
      <c r="F43" s="83">
        <v>14300782.389699999</v>
      </c>
      <c r="G43" s="84">
        <v>14725616.939399999</v>
      </c>
      <c r="I43" s="85">
        <v>12047888.378249999</v>
      </c>
      <c r="J43" s="86">
        <v>13254812.613400001</v>
      </c>
      <c r="K43" s="86">
        <v>12869564.5162</v>
      </c>
      <c r="L43" s="87">
        <v>11877040.71415</v>
      </c>
      <c r="AB43" s="43"/>
      <c r="AC43" s="43"/>
      <c r="AD43" s="43"/>
      <c r="AE43" s="43"/>
    </row>
    <row r="44" spans="1:31" ht="15" x14ac:dyDescent="0.25">
      <c r="A44" s="88">
        <v>30</v>
      </c>
      <c r="B44" s="89" t="s">
        <v>85</v>
      </c>
      <c r="C44" s="90">
        <f>C42/C43</f>
        <v>2.2227408207946753</v>
      </c>
      <c r="D44" s="90">
        <v>4.7877229486682715</v>
      </c>
      <c r="E44" s="91">
        <v>6.5632764736125173</v>
      </c>
      <c r="F44" s="91">
        <v>6.7810829559818462</v>
      </c>
      <c r="G44" s="91">
        <v>3.0191953962243647</v>
      </c>
      <c r="I44" s="75">
        <v>2.3937452742394227</v>
      </c>
      <c r="J44" s="69">
        <v>2.9476302366207543</v>
      </c>
      <c r="K44" s="69">
        <v>2.9198847471741773</v>
      </c>
      <c r="L44" s="74">
        <v>2.8324462296336899</v>
      </c>
      <c r="AB44" s="43"/>
      <c r="AC44" s="43"/>
      <c r="AD44" s="43"/>
      <c r="AE44" s="43"/>
    </row>
    <row r="45" spans="1:31" ht="15" x14ac:dyDescent="0.25">
      <c r="A45" s="88"/>
      <c r="B45" s="35" t="s">
        <v>30</v>
      </c>
      <c r="C45" s="45"/>
      <c r="D45" s="46"/>
      <c r="E45" s="46"/>
      <c r="F45" s="46"/>
      <c r="G45" s="47"/>
      <c r="I45" s="777"/>
      <c r="J45" s="778"/>
      <c r="K45" s="778"/>
      <c r="L45" s="779"/>
    </row>
    <row r="46" spans="1:31" ht="15" x14ac:dyDescent="0.25">
      <c r="A46" s="88">
        <v>31</v>
      </c>
      <c r="B46" s="89" t="s">
        <v>86</v>
      </c>
      <c r="C46" s="39">
        <f>'16. NSFR'!G21</f>
        <v>153490325.71242478</v>
      </c>
      <c r="D46" s="92">
        <v>131361604.27428979</v>
      </c>
      <c r="E46" s="92">
        <v>119103609.23161648</v>
      </c>
      <c r="F46" s="92">
        <v>106656234.33489899</v>
      </c>
      <c r="G46" s="93">
        <v>99197616.174378678</v>
      </c>
      <c r="I46" s="94">
        <v>61318055.754500002</v>
      </c>
      <c r="J46" s="95">
        <v>57487096.908499993</v>
      </c>
      <c r="K46" s="95">
        <v>56004417.652500004</v>
      </c>
      <c r="L46" s="96">
        <v>60000891.506999999</v>
      </c>
      <c r="AB46" s="43"/>
      <c r="AC46" s="43"/>
      <c r="AD46" s="43"/>
      <c r="AE46" s="43"/>
    </row>
    <row r="47" spans="1:31" ht="15" x14ac:dyDescent="0.25">
      <c r="A47" s="88">
        <v>32</v>
      </c>
      <c r="B47" s="89" t="s">
        <v>87</v>
      </c>
      <c r="C47" s="39">
        <f>'16. NSFR'!G37</f>
        <v>99156367.672002435</v>
      </c>
      <c r="D47" s="92">
        <v>81663496.111102581</v>
      </c>
      <c r="E47" s="92">
        <v>74728023.551567301</v>
      </c>
      <c r="F47" s="92">
        <v>52644786.448199168</v>
      </c>
      <c r="G47" s="93">
        <v>43498444.916133597</v>
      </c>
      <c r="I47" s="94">
        <v>36598605.940775007</v>
      </c>
      <c r="J47" s="95">
        <v>39372851.676900022</v>
      </c>
      <c r="K47" s="95">
        <v>31849325.489900008</v>
      </c>
      <c r="L47" s="96">
        <v>31615845.140500002</v>
      </c>
      <c r="AB47" s="43"/>
      <c r="AC47" s="43"/>
      <c r="AD47" s="43"/>
      <c r="AE47" s="43"/>
    </row>
    <row r="48" spans="1:31" thickBot="1" x14ac:dyDescent="0.3">
      <c r="A48" s="97">
        <v>33</v>
      </c>
      <c r="B48" s="98" t="s">
        <v>88</v>
      </c>
      <c r="C48" s="99">
        <f>C46/C47</f>
        <v>1.5479623680866637</v>
      </c>
      <c r="D48" s="100">
        <v>1.608571889887904</v>
      </c>
      <c r="E48" s="101">
        <v>1.5938279051288848</v>
      </c>
      <c r="F48" s="101">
        <v>2.0259600528505404</v>
      </c>
      <c r="G48" s="102">
        <v>2.2804864947617065</v>
      </c>
      <c r="I48" s="103">
        <v>1.6754205297799258</v>
      </c>
      <c r="J48" s="104">
        <v>1.4600694249999566</v>
      </c>
      <c r="K48" s="104">
        <v>1.7584176993092053</v>
      </c>
      <c r="L48" s="105">
        <v>1.8978107730588123</v>
      </c>
      <c r="AB48" s="43"/>
      <c r="AC48" s="43"/>
      <c r="AD48" s="43"/>
      <c r="AE48" s="43"/>
    </row>
    <row r="49" spans="1:3" x14ac:dyDescent="0.3">
      <c r="A49" s="106"/>
      <c r="C49" s="107">
        <f>C48-'16. NSFR'!G39</f>
        <v>0</v>
      </c>
    </row>
    <row r="50" spans="1:3" ht="54.75" x14ac:dyDescent="0.3">
      <c r="B50" s="109" t="s">
        <v>89</v>
      </c>
    </row>
    <row r="51" spans="1:3" ht="100.5" customHeight="1" x14ac:dyDescent="0.3">
      <c r="B51" s="110" t="s">
        <v>90</v>
      </c>
    </row>
  </sheetData>
  <mergeCells count="11">
    <mergeCell ref="I16:L17"/>
    <mergeCell ref="D4:G4"/>
    <mergeCell ref="I4:L4"/>
    <mergeCell ref="C6:G7"/>
    <mergeCell ref="I6:L7"/>
    <mergeCell ref="I14:L14"/>
    <mergeCell ref="I24:L24"/>
    <mergeCell ref="I31:L31"/>
    <mergeCell ref="I37:L37"/>
    <mergeCell ref="I41:L41"/>
    <mergeCell ref="I45:L4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E1310-450C-486F-9FCE-DBC334AFD677}">
  <dimension ref="A1:K26"/>
  <sheetViews>
    <sheetView showGridLines="0" zoomScale="115" zoomScaleNormal="115" workbookViewId="0">
      <selection activeCell="G26" sqref="G26"/>
    </sheetView>
  </sheetViews>
  <sheetFormatPr defaultColWidth="9.140625" defaultRowHeight="12.75" x14ac:dyDescent="0.25"/>
  <cols>
    <col min="1" max="1" width="11.85546875" style="580" bestFit="1" customWidth="1"/>
    <col min="2" max="2" width="92.28515625" style="580" customWidth="1"/>
    <col min="3" max="4" width="15.28515625" style="580" customWidth="1"/>
    <col min="5" max="5" width="17.42578125" style="580" bestFit="1" customWidth="1"/>
    <col min="6" max="6" width="15.85546875" style="580" customWidth="1"/>
    <col min="7" max="7" width="16" style="580" customWidth="1"/>
    <col min="8" max="8" width="16.85546875" style="580" customWidth="1"/>
    <col min="9" max="9" width="12.28515625" style="580" bestFit="1" customWidth="1"/>
    <col min="10" max="10" width="10.140625" style="580" bestFit="1" customWidth="1"/>
    <col min="11" max="16384" width="9.140625" style="580"/>
  </cols>
  <sheetData>
    <row r="1" spans="1:11" ht="13.5" x14ac:dyDescent="0.25">
      <c r="A1" s="579" t="s">
        <v>41</v>
      </c>
      <c r="B1" s="22" t="str">
        <f>Info!C2</f>
        <v>სს სილქ ბანკი</v>
      </c>
    </row>
    <row r="2" spans="1:11" x14ac:dyDescent="0.25">
      <c r="A2" s="579" t="s">
        <v>42</v>
      </c>
      <c r="B2" s="581">
        <f>'1. key ratios'!B2</f>
        <v>45473</v>
      </c>
    </row>
    <row r="3" spans="1:11" x14ac:dyDescent="0.25">
      <c r="A3" s="582" t="s">
        <v>563</v>
      </c>
    </row>
    <row r="4" spans="1:11" ht="40.5" customHeight="1" thickBot="1" x14ac:dyDescent="0.3"/>
    <row r="5" spans="1:11" x14ac:dyDescent="0.25">
      <c r="A5" s="845" t="s">
        <v>564</v>
      </c>
      <c r="B5" s="846"/>
      <c r="C5" s="851" t="s">
        <v>565</v>
      </c>
      <c r="D5" s="852"/>
      <c r="E5" s="852"/>
      <c r="F5" s="852"/>
      <c r="G5" s="852"/>
      <c r="H5" s="853"/>
    </row>
    <row r="6" spans="1:11" x14ac:dyDescent="0.25">
      <c r="A6" s="847"/>
      <c r="B6" s="848"/>
      <c r="C6" s="854"/>
      <c r="D6" s="855"/>
      <c r="E6" s="855"/>
      <c r="F6" s="855"/>
      <c r="G6" s="855"/>
      <c r="H6" s="856"/>
    </row>
    <row r="7" spans="1:11" ht="38.25" x14ac:dyDescent="0.25">
      <c r="A7" s="849"/>
      <c r="B7" s="850"/>
      <c r="C7" s="583" t="s">
        <v>566</v>
      </c>
      <c r="D7" s="583" t="s">
        <v>567</v>
      </c>
      <c r="E7" s="583" t="s">
        <v>568</v>
      </c>
      <c r="F7" s="583" t="s">
        <v>569</v>
      </c>
      <c r="G7" s="583" t="s">
        <v>570</v>
      </c>
      <c r="H7" s="717" t="s">
        <v>96</v>
      </c>
    </row>
    <row r="8" spans="1:11" x14ac:dyDescent="0.25">
      <c r="A8" s="718">
        <v>1</v>
      </c>
      <c r="B8" s="584" t="s">
        <v>406</v>
      </c>
      <c r="C8" s="585">
        <v>4064540.6100000027</v>
      </c>
      <c r="D8" s="586">
        <v>4797526.0593664143</v>
      </c>
      <c r="E8" s="585">
        <v>18249627.755076695</v>
      </c>
      <c r="F8" s="585">
        <v>1413438.478512788</v>
      </c>
      <c r="G8" s="586"/>
      <c r="H8" s="719">
        <f t="shared" ref="H8:H21" si="0">SUM(C8:G8)</f>
        <v>28525132.902955897</v>
      </c>
      <c r="I8" s="620"/>
    </row>
    <row r="9" spans="1:11" ht="24" x14ac:dyDescent="0.25">
      <c r="A9" s="718">
        <v>2</v>
      </c>
      <c r="B9" s="584" t="s">
        <v>407</v>
      </c>
      <c r="C9" s="586"/>
      <c r="D9" s="586"/>
      <c r="E9" s="586"/>
      <c r="F9" s="586"/>
      <c r="G9" s="586"/>
      <c r="H9" s="719">
        <f t="shared" si="0"/>
        <v>0</v>
      </c>
      <c r="I9" s="620"/>
    </row>
    <row r="10" spans="1:11" x14ac:dyDescent="0.25">
      <c r="A10" s="718">
        <v>3</v>
      </c>
      <c r="B10" s="584" t="s">
        <v>408</v>
      </c>
      <c r="C10" s="586"/>
      <c r="D10" s="586"/>
      <c r="E10" s="586"/>
      <c r="F10" s="586"/>
      <c r="G10" s="586"/>
      <c r="H10" s="719">
        <f t="shared" si="0"/>
        <v>0</v>
      </c>
      <c r="I10" s="620"/>
    </row>
    <row r="11" spans="1:11" x14ac:dyDescent="0.25">
      <c r="A11" s="718">
        <v>4</v>
      </c>
      <c r="B11" s="584" t="s">
        <v>409</v>
      </c>
      <c r="C11" s="586"/>
      <c r="D11" s="586"/>
      <c r="E11" s="586"/>
      <c r="F11" s="586"/>
      <c r="G11" s="586"/>
      <c r="H11" s="719">
        <f t="shared" si="0"/>
        <v>0</v>
      </c>
      <c r="I11" s="620"/>
      <c r="J11" s="587"/>
    </row>
    <row r="12" spans="1:11" x14ac:dyDescent="0.25">
      <c r="A12" s="718">
        <v>5</v>
      </c>
      <c r="B12" s="584" t="s">
        <v>410</v>
      </c>
      <c r="C12" s="586"/>
      <c r="D12" s="586"/>
      <c r="E12" s="586"/>
      <c r="F12" s="586"/>
      <c r="G12" s="586"/>
      <c r="H12" s="719">
        <f t="shared" si="0"/>
        <v>0</v>
      </c>
      <c r="I12" s="620"/>
    </row>
    <row r="13" spans="1:11" x14ac:dyDescent="0.25">
      <c r="A13" s="718">
        <v>6</v>
      </c>
      <c r="B13" s="584" t="s">
        <v>411</v>
      </c>
      <c r="C13" s="586">
        <v>12276394.280000009</v>
      </c>
      <c r="D13" s="585">
        <v>41000000</v>
      </c>
      <c r="E13" s="586"/>
      <c r="F13" s="585">
        <v>64217.75</v>
      </c>
      <c r="G13" s="586"/>
      <c r="H13" s="719">
        <f t="shared" si="0"/>
        <v>53340612.030000009</v>
      </c>
      <c r="I13" s="620"/>
      <c r="J13" s="588"/>
    </row>
    <row r="14" spans="1:11" x14ac:dyDescent="0.25">
      <c r="A14" s="720">
        <v>7</v>
      </c>
      <c r="B14" s="589" t="s">
        <v>412</v>
      </c>
      <c r="C14" s="586"/>
      <c r="D14" s="585">
        <v>15639561.090390565</v>
      </c>
      <c r="E14" s="585">
        <v>20256013.556137659</v>
      </c>
      <c r="F14" s="585">
        <v>29423218.330388587</v>
      </c>
      <c r="G14" s="586">
        <v>0</v>
      </c>
      <c r="H14" s="721">
        <f t="shared" si="0"/>
        <v>65318792.976916805</v>
      </c>
      <c r="I14" s="620"/>
      <c r="J14" s="590"/>
      <c r="K14" s="591"/>
    </row>
    <row r="15" spans="1:11" x14ac:dyDescent="0.25">
      <c r="A15" s="720">
        <v>8</v>
      </c>
      <c r="B15" s="589" t="s">
        <v>413</v>
      </c>
      <c r="C15" s="586"/>
      <c r="D15" s="585">
        <v>3478861.7652462195</v>
      </c>
      <c r="E15" s="585">
        <v>13059720.621644255</v>
      </c>
      <c r="F15" s="585">
        <v>3965183.2941319332</v>
      </c>
      <c r="G15" s="585">
        <v>99570.834858923656</v>
      </c>
      <c r="H15" s="721">
        <f>SUM(C15:G15)</f>
        <v>20603336.515881334</v>
      </c>
      <c r="I15" s="620"/>
    </row>
    <row r="16" spans="1:11" x14ac:dyDescent="0.25">
      <c r="A16" s="718">
        <v>9</v>
      </c>
      <c r="B16" s="584" t="s">
        <v>414</v>
      </c>
      <c r="C16" s="586"/>
      <c r="D16" s="586"/>
      <c r="E16" s="586"/>
      <c r="F16" s="586"/>
      <c r="G16" s="586"/>
      <c r="H16" s="719">
        <f t="shared" si="0"/>
        <v>0</v>
      </c>
      <c r="I16" s="619"/>
    </row>
    <row r="17" spans="1:11" x14ac:dyDescent="0.25">
      <c r="A17" s="718">
        <v>10</v>
      </c>
      <c r="B17" s="592" t="s">
        <v>415</v>
      </c>
      <c r="C17" s="586"/>
      <c r="D17" s="586">
        <v>65583.433218717299</v>
      </c>
      <c r="E17" s="586">
        <v>63980.607097833097</v>
      </c>
      <c r="F17" s="586">
        <v>0</v>
      </c>
      <c r="G17" s="586">
        <v>516.90862742434251</v>
      </c>
      <c r="H17" s="719">
        <f t="shared" si="0"/>
        <v>130080.94894397474</v>
      </c>
      <c r="I17" s="620"/>
      <c r="J17" s="587"/>
    </row>
    <row r="18" spans="1:11" x14ac:dyDescent="0.25">
      <c r="A18" s="718">
        <v>11</v>
      </c>
      <c r="B18" s="584" t="s">
        <v>416</v>
      </c>
      <c r="C18" s="586"/>
      <c r="D18" s="586">
        <v>0</v>
      </c>
      <c r="E18" s="586">
        <v>0</v>
      </c>
      <c r="F18" s="586">
        <v>0</v>
      </c>
      <c r="G18" s="586">
        <v>0</v>
      </c>
      <c r="H18" s="719">
        <f t="shared" si="0"/>
        <v>0</v>
      </c>
      <c r="I18" s="620"/>
    </row>
    <row r="19" spans="1:11" x14ac:dyDescent="0.25">
      <c r="A19" s="718">
        <v>12</v>
      </c>
      <c r="B19" s="584" t="s">
        <v>417</v>
      </c>
      <c r="C19" s="586"/>
      <c r="D19" s="586"/>
      <c r="E19" s="586"/>
      <c r="F19" s="586"/>
      <c r="G19" s="586"/>
      <c r="H19" s="719">
        <f t="shared" si="0"/>
        <v>0</v>
      </c>
      <c r="I19" s="619"/>
    </row>
    <row r="20" spans="1:11" x14ac:dyDescent="0.25">
      <c r="A20" s="720">
        <v>13</v>
      </c>
      <c r="B20" s="589" t="s">
        <v>418</v>
      </c>
      <c r="C20" s="586"/>
      <c r="D20" s="586"/>
      <c r="E20" s="586"/>
      <c r="F20" s="586"/>
      <c r="G20" s="586"/>
      <c r="H20" s="719">
        <f t="shared" si="0"/>
        <v>0</v>
      </c>
      <c r="I20" s="619"/>
    </row>
    <row r="21" spans="1:11" x14ac:dyDescent="0.25">
      <c r="A21" s="718">
        <v>14</v>
      </c>
      <c r="B21" s="584" t="s">
        <v>419</v>
      </c>
      <c r="C21" s="586">
        <f>'2. SOFP'!E8</f>
        <v>3446412.4000000027</v>
      </c>
      <c r="D21" s="586">
        <v>13769185.312211361</v>
      </c>
      <c r="E21" s="586"/>
      <c r="F21" s="586"/>
      <c r="G21" s="586">
        <v>16937598</v>
      </c>
      <c r="H21" s="719">
        <f t="shared" si="0"/>
        <v>34153195.712211363</v>
      </c>
      <c r="I21" s="620"/>
      <c r="K21" s="587"/>
    </row>
    <row r="22" spans="1:11" ht="13.5" thickBot="1" x14ac:dyDescent="0.3">
      <c r="A22" s="722">
        <v>15</v>
      </c>
      <c r="B22" s="723" t="s">
        <v>96</v>
      </c>
      <c r="C22" s="724">
        <f t="shared" ref="C22:H22" si="1">SUM(C18:C21)+SUM(C8:C16)</f>
        <v>19787347.290000014</v>
      </c>
      <c r="D22" s="724">
        <f t="shared" si="1"/>
        <v>78685134.22721456</v>
      </c>
      <c r="E22" s="724">
        <f t="shared" si="1"/>
        <v>51565361.932858616</v>
      </c>
      <c r="F22" s="724">
        <f t="shared" si="1"/>
        <v>34866057.853033304</v>
      </c>
      <c r="G22" s="724">
        <f t="shared" si="1"/>
        <v>17037168.834858924</v>
      </c>
      <c r="H22" s="725">
        <f t="shared" si="1"/>
        <v>201941070.13796541</v>
      </c>
      <c r="I22" s="620"/>
    </row>
    <row r="23" spans="1:11" x14ac:dyDescent="0.25">
      <c r="H23" s="716"/>
    </row>
    <row r="26" spans="1:11" ht="38.25" x14ac:dyDescent="0.25">
      <c r="B26" s="593" t="s">
        <v>571</v>
      </c>
    </row>
  </sheetData>
  <mergeCells count="2">
    <mergeCell ref="A5:B7"/>
    <mergeCell ref="C5:H6"/>
  </mergeCells>
  <conditionalFormatting sqref="A5">
    <cfRule type="duplicateValues" dxfId="19" priority="1"/>
    <cfRule type="duplicateValues" dxfId="18" priority="2"/>
    <cfRule type="duplicateValues" dxfId="17"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FDDF-481E-4391-96D6-812D461B8614}">
  <dimension ref="A1:K36"/>
  <sheetViews>
    <sheetView showGridLines="0" topLeftCell="A3" zoomScaleNormal="100" workbookViewId="0">
      <selection activeCell="H25" sqref="H25"/>
    </sheetView>
  </sheetViews>
  <sheetFormatPr defaultColWidth="9.140625" defaultRowHeight="12.75" x14ac:dyDescent="0.25"/>
  <cols>
    <col min="1" max="1" width="11.85546875" style="614" bestFit="1" customWidth="1"/>
    <col min="2" max="2" width="86.85546875" style="580" customWidth="1"/>
    <col min="3" max="4" width="29.85546875" style="580" customWidth="1"/>
    <col min="5" max="5" width="22.140625" style="580" customWidth="1"/>
    <col min="6" max="6" width="18.42578125" style="580" customWidth="1"/>
    <col min="7" max="7" width="20" style="580" customWidth="1"/>
    <col min="8" max="8" width="25" style="580" customWidth="1"/>
    <col min="9" max="9" width="23.42578125" style="580" customWidth="1"/>
    <col min="10" max="10" width="9.140625" style="580"/>
    <col min="11" max="11" width="14.7109375" style="580" customWidth="1"/>
    <col min="12" max="16384" width="9.140625" style="580"/>
  </cols>
  <sheetData>
    <row r="1" spans="1:11" ht="13.5" x14ac:dyDescent="0.25">
      <c r="A1" s="579" t="s">
        <v>41</v>
      </c>
      <c r="B1" s="22" t="str">
        <f>Info!C2</f>
        <v>სს სილქ ბანკი</v>
      </c>
      <c r="C1" s="594"/>
      <c r="D1" s="594"/>
      <c r="E1" s="594"/>
      <c r="F1" s="594"/>
      <c r="G1" s="594"/>
      <c r="H1" s="594"/>
    </row>
    <row r="2" spans="1:11" x14ac:dyDescent="0.25">
      <c r="A2" s="579" t="s">
        <v>42</v>
      </c>
      <c r="B2" s="581">
        <f>'1. key ratios'!B2</f>
        <v>45473</v>
      </c>
      <c r="C2" s="594"/>
      <c r="D2" s="594"/>
      <c r="E2" s="594"/>
      <c r="F2" s="594"/>
      <c r="G2" s="594"/>
      <c r="H2" s="594"/>
    </row>
    <row r="3" spans="1:11" x14ac:dyDescent="0.25">
      <c r="A3" s="582" t="s">
        <v>572</v>
      </c>
      <c r="B3" s="594"/>
      <c r="C3" s="594"/>
      <c r="D3" s="594"/>
      <c r="E3" s="594"/>
      <c r="F3" s="594"/>
      <c r="G3" s="594"/>
      <c r="H3" s="594"/>
    </row>
    <row r="4" spans="1:11" ht="40.5" customHeight="1" x14ac:dyDescent="0.25">
      <c r="A4" s="595"/>
      <c r="B4" s="594"/>
      <c r="C4" s="596" t="s">
        <v>573</v>
      </c>
      <c r="D4" s="596" t="s">
        <v>574</v>
      </c>
      <c r="E4" s="596" t="s">
        <v>575</v>
      </c>
      <c r="F4" s="596" t="s">
        <v>576</v>
      </c>
      <c r="G4" s="596" t="s">
        <v>577</v>
      </c>
      <c r="H4" s="596" t="s">
        <v>578</v>
      </c>
    </row>
    <row r="5" spans="1:11" ht="33.950000000000003" customHeight="1" x14ac:dyDescent="0.25">
      <c r="A5" s="857" t="s">
        <v>579</v>
      </c>
      <c r="B5" s="858"/>
      <c r="C5" s="860" t="s">
        <v>580</v>
      </c>
      <c r="D5" s="860"/>
      <c r="E5" s="860" t="s">
        <v>581</v>
      </c>
      <c r="F5" s="861" t="s">
        <v>582</v>
      </c>
      <c r="G5" s="861" t="s">
        <v>583</v>
      </c>
      <c r="H5" s="597" t="s">
        <v>584</v>
      </c>
    </row>
    <row r="6" spans="1:11" ht="25.5" x14ac:dyDescent="0.25">
      <c r="A6" s="859"/>
      <c r="B6" s="850"/>
      <c r="C6" s="598" t="s">
        <v>585</v>
      </c>
      <c r="D6" s="598" t="s">
        <v>586</v>
      </c>
      <c r="E6" s="860"/>
      <c r="F6" s="862"/>
      <c r="G6" s="862"/>
      <c r="H6" s="597" t="s">
        <v>587</v>
      </c>
    </row>
    <row r="7" spans="1:11" x14ac:dyDescent="0.25">
      <c r="A7" s="600">
        <v>1</v>
      </c>
      <c r="B7" s="584" t="s">
        <v>406</v>
      </c>
      <c r="C7" s="601"/>
      <c r="D7" s="602">
        <v>28603534.990000002</v>
      </c>
      <c r="E7" s="602">
        <v>78402.087044100059</v>
      </c>
      <c r="F7" s="601"/>
      <c r="G7" s="601"/>
      <c r="H7" s="770">
        <f t="shared" ref="H7:H20" si="0">C7+D7-E7-F7</f>
        <v>28525132.902955901</v>
      </c>
      <c r="I7" s="620"/>
      <c r="J7" s="591"/>
    </row>
    <row r="8" spans="1:11" ht="24" x14ac:dyDescent="0.25">
      <c r="A8" s="600">
        <v>2</v>
      </c>
      <c r="B8" s="584" t="s">
        <v>407</v>
      </c>
      <c r="C8" s="601"/>
      <c r="D8" s="601">
        <v>0</v>
      </c>
      <c r="E8" s="601"/>
      <c r="F8" s="601"/>
      <c r="G8" s="601"/>
      <c r="H8" s="770">
        <f t="shared" si="0"/>
        <v>0</v>
      </c>
      <c r="I8" s="620"/>
    </row>
    <row r="9" spans="1:11" x14ac:dyDescent="0.25">
      <c r="A9" s="600">
        <v>3</v>
      </c>
      <c r="B9" s="584" t="s">
        <v>408</v>
      </c>
      <c r="C9" s="601"/>
      <c r="D9" s="601">
        <v>0</v>
      </c>
      <c r="E9" s="601"/>
      <c r="F9" s="601"/>
      <c r="G9" s="601"/>
      <c r="H9" s="770">
        <f t="shared" si="0"/>
        <v>0</v>
      </c>
      <c r="I9" s="620"/>
    </row>
    <row r="10" spans="1:11" x14ac:dyDescent="0.25">
      <c r="A10" s="600">
        <v>4</v>
      </c>
      <c r="B10" s="584" t="s">
        <v>409</v>
      </c>
      <c r="C10" s="601"/>
      <c r="D10" s="601">
        <v>0</v>
      </c>
      <c r="E10" s="601"/>
      <c r="F10" s="601"/>
      <c r="G10" s="601"/>
      <c r="H10" s="770">
        <f t="shared" si="0"/>
        <v>0</v>
      </c>
      <c r="I10" s="620"/>
    </row>
    <row r="11" spans="1:11" x14ac:dyDescent="0.25">
      <c r="A11" s="600">
        <v>5</v>
      </c>
      <c r="B11" s="584" t="s">
        <v>410</v>
      </c>
      <c r="C11" s="601"/>
      <c r="D11" s="601">
        <v>0</v>
      </c>
      <c r="E11" s="601"/>
      <c r="F11" s="601"/>
      <c r="G11" s="601"/>
      <c r="H11" s="770">
        <f t="shared" si="0"/>
        <v>0</v>
      </c>
      <c r="I11" s="620"/>
    </row>
    <row r="12" spans="1:11" x14ac:dyDescent="0.25">
      <c r="A12" s="600">
        <v>6</v>
      </c>
      <c r="B12" s="584" t="s">
        <v>411</v>
      </c>
      <c r="C12" s="604"/>
      <c r="D12" s="604">
        <v>53340612.030000009</v>
      </c>
      <c r="E12" s="604"/>
      <c r="F12" s="601"/>
      <c r="G12" s="601"/>
      <c r="H12" s="770">
        <f t="shared" si="0"/>
        <v>53340612.030000009</v>
      </c>
      <c r="I12" s="620"/>
    </row>
    <row r="13" spans="1:11" x14ac:dyDescent="0.25">
      <c r="A13" s="600">
        <v>7</v>
      </c>
      <c r="B13" s="584" t="s">
        <v>412</v>
      </c>
      <c r="C13" s="604">
        <v>144338.20999999993</v>
      </c>
      <c r="D13" s="606">
        <v>65839332.425634012</v>
      </c>
      <c r="E13" s="604">
        <v>664877.65871717827</v>
      </c>
      <c r="F13" s="601"/>
      <c r="G13" s="601"/>
      <c r="H13" s="770">
        <f t="shared" si="0"/>
        <v>65318792.976916835</v>
      </c>
      <c r="I13" s="620"/>
      <c r="K13" s="620"/>
    </row>
    <row r="14" spans="1:11" x14ac:dyDescent="0.25">
      <c r="A14" s="600">
        <v>8</v>
      </c>
      <c r="B14" s="589" t="s">
        <v>413</v>
      </c>
      <c r="C14" s="604">
        <v>681011.4075237544</v>
      </c>
      <c r="D14" s="604">
        <v>21002600.817195706</v>
      </c>
      <c r="E14" s="604">
        <v>1080275.7088381585</v>
      </c>
      <c r="F14" s="601"/>
      <c r="G14" s="602">
        <f>'19. Assets by Risk Sectors'!G34</f>
        <v>4908.4400000000005</v>
      </c>
      <c r="H14" s="770">
        <f t="shared" si="0"/>
        <v>20603336.515881304</v>
      </c>
      <c r="I14" s="620"/>
    </row>
    <row r="15" spans="1:11" x14ac:dyDescent="0.25">
      <c r="A15" s="600">
        <v>9</v>
      </c>
      <c r="B15" s="584" t="s">
        <v>414</v>
      </c>
      <c r="C15" s="604"/>
      <c r="D15" s="604">
        <v>0</v>
      </c>
      <c r="E15" s="604"/>
      <c r="F15" s="601"/>
      <c r="G15" s="601"/>
      <c r="H15" s="770">
        <f t="shared" si="0"/>
        <v>0</v>
      </c>
      <c r="I15" s="619"/>
    </row>
    <row r="16" spans="1:11" x14ac:dyDescent="0.25">
      <c r="A16" s="600">
        <v>10</v>
      </c>
      <c r="B16" s="592" t="s">
        <v>415</v>
      </c>
      <c r="C16" s="604">
        <v>287024.38752375427</v>
      </c>
      <c r="D16" s="604">
        <v>0</v>
      </c>
      <c r="E16" s="604">
        <v>156943.43857977961</v>
      </c>
      <c r="F16" s="601"/>
      <c r="G16" s="601"/>
      <c r="H16" s="770">
        <f t="shared" si="0"/>
        <v>130080.94894397465</v>
      </c>
      <c r="I16" s="620"/>
    </row>
    <row r="17" spans="1:9" x14ac:dyDescent="0.25">
      <c r="A17" s="600">
        <v>11</v>
      </c>
      <c r="B17" s="584" t="s">
        <v>416</v>
      </c>
      <c r="C17" s="604">
        <v>0</v>
      </c>
      <c r="D17" s="604">
        <v>0</v>
      </c>
      <c r="E17" s="604">
        <v>0</v>
      </c>
      <c r="F17" s="601"/>
      <c r="G17" s="601"/>
      <c r="H17" s="770">
        <f t="shared" si="0"/>
        <v>0</v>
      </c>
      <c r="I17" s="620"/>
    </row>
    <row r="18" spans="1:9" x14ac:dyDescent="0.25">
      <c r="A18" s="600">
        <v>12</v>
      </c>
      <c r="B18" s="584" t="s">
        <v>417</v>
      </c>
      <c r="C18" s="604"/>
      <c r="D18" s="604">
        <v>0</v>
      </c>
      <c r="E18" s="604"/>
      <c r="F18" s="601"/>
      <c r="G18" s="601"/>
      <c r="H18" s="770">
        <f t="shared" si="0"/>
        <v>0</v>
      </c>
      <c r="I18" s="620"/>
    </row>
    <row r="19" spans="1:9" x14ac:dyDescent="0.25">
      <c r="A19" s="605">
        <v>13</v>
      </c>
      <c r="B19" s="589" t="s">
        <v>418</v>
      </c>
      <c r="C19" s="604"/>
      <c r="D19" s="604">
        <v>0</v>
      </c>
      <c r="E19" s="604"/>
      <c r="F19" s="601"/>
      <c r="G19" s="601"/>
      <c r="H19" s="770">
        <f t="shared" si="0"/>
        <v>0</v>
      </c>
      <c r="I19" s="620"/>
    </row>
    <row r="20" spans="1:9" x14ac:dyDescent="0.25">
      <c r="A20" s="600">
        <v>14</v>
      </c>
      <c r="B20" s="584" t="s">
        <v>419</v>
      </c>
      <c r="C20" s="604">
        <v>0</v>
      </c>
      <c r="D20" s="606">
        <v>34153195.712211363</v>
      </c>
      <c r="E20" s="604">
        <f>C20</f>
        <v>0</v>
      </c>
      <c r="F20" s="601"/>
      <c r="G20" s="601"/>
      <c r="H20" s="770">
        <f t="shared" si="0"/>
        <v>34153195.712211363</v>
      </c>
      <c r="I20" s="620"/>
    </row>
    <row r="21" spans="1:9" s="610" customFormat="1" x14ac:dyDescent="0.25">
      <c r="A21" s="607">
        <v>15</v>
      </c>
      <c r="B21" s="608" t="s">
        <v>96</v>
      </c>
      <c r="C21" s="609">
        <f t="shared" ref="C21:H21" si="1">SUM(C7:C15)+SUM(C17:C20)</f>
        <v>825349.61752375436</v>
      </c>
      <c r="D21" s="609">
        <f t="shared" si="1"/>
        <v>202939275.97504109</v>
      </c>
      <c r="E21" s="609">
        <f t="shared" si="1"/>
        <v>1823555.4545994368</v>
      </c>
      <c r="F21" s="618">
        <f t="shared" si="1"/>
        <v>0</v>
      </c>
      <c r="G21" s="618">
        <f t="shared" si="1"/>
        <v>4908.4400000000005</v>
      </c>
      <c r="H21" s="770">
        <f t="shared" si="1"/>
        <v>201941070.13796541</v>
      </c>
      <c r="I21" s="620"/>
    </row>
    <row r="22" spans="1:9" x14ac:dyDescent="0.25">
      <c r="A22" s="611">
        <v>16</v>
      </c>
      <c r="B22" s="612" t="s">
        <v>588</v>
      </c>
      <c r="C22" s="604">
        <f>C13+C14+C17</f>
        <v>825349.61752375436</v>
      </c>
      <c r="D22" s="604">
        <f>D13+D14+D17</f>
        <v>86841933.24282971</v>
      </c>
      <c r="E22" s="604">
        <f>E13+E14+E17</f>
        <v>1745153.3675553368</v>
      </c>
      <c r="F22" s="604">
        <f>F13+F14+F17</f>
        <v>0</v>
      </c>
      <c r="G22" s="606">
        <f>G13+G14+G17</f>
        <v>4908.4400000000005</v>
      </c>
      <c r="H22" s="770">
        <f>C22+D22-E22-F22</f>
        <v>85922129.492798135</v>
      </c>
      <c r="I22" s="620"/>
    </row>
    <row r="23" spans="1:9" x14ac:dyDescent="0.25">
      <c r="A23" s="611">
        <v>17</v>
      </c>
      <c r="B23" s="613" t="s">
        <v>589</v>
      </c>
      <c r="C23" s="604"/>
      <c r="D23" s="606">
        <v>26851670.148699999</v>
      </c>
      <c r="E23" s="606">
        <v>78402.087044100059</v>
      </c>
      <c r="F23" s="601"/>
      <c r="G23" s="601"/>
      <c r="H23" s="770">
        <f>C23+D23-E23-F23</f>
        <v>26773268.061655898</v>
      </c>
      <c r="I23" s="620"/>
    </row>
    <row r="24" spans="1:9" x14ac:dyDescent="0.25">
      <c r="D24" s="587"/>
      <c r="H24" s="716"/>
    </row>
    <row r="25" spans="1:9" x14ac:dyDescent="0.25">
      <c r="C25" s="727"/>
      <c r="D25" s="727"/>
      <c r="E25" s="727"/>
      <c r="F25" s="716"/>
      <c r="G25" s="716"/>
    </row>
    <row r="26" spans="1:9" ht="42.6" customHeight="1" x14ac:dyDescent="0.25">
      <c r="B26" s="593" t="s">
        <v>571</v>
      </c>
      <c r="C26" s="730"/>
      <c r="D26" s="587"/>
      <c r="E26" s="727"/>
    </row>
    <row r="28" spans="1:9" x14ac:dyDescent="0.25">
      <c r="C28" s="731"/>
    </row>
    <row r="29" spans="1:9" x14ac:dyDescent="0.25">
      <c r="C29" s="732"/>
    </row>
    <row r="30" spans="1:9" x14ac:dyDescent="0.25">
      <c r="C30" s="733"/>
    </row>
    <row r="31" spans="1:9" x14ac:dyDescent="0.25">
      <c r="C31" s="733"/>
      <c r="F31" s="587"/>
    </row>
    <row r="32" spans="1:9" x14ac:dyDescent="0.25">
      <c r="C32" s="733"/>
    </row>
    <row r="33" spans="3:3" x14ac:dyDescent="0.25">
      <c r="C33" s="729"/>
    </row>
    <row r="34" spans="3:3" x14ac:dyDescent="0.25">
      <c r="C34" s="728"/>
    </row>
    <row r="35" spans="3:3" x14ac:dyDescent="0.25">
      <c r="C35" s="729"/>
    </row>
    <row r="36" spans="3:3" x14ac:dyDescent="0.25">
      <c r="C36" s="729"/>
    </row>
  </sheetData>
  <mergeCells count="5">
    <mergeCell ref="A5:B6"/>
    <mergeCell ref="C5:D5"/>
    <mergeCell ref="E5:E6"/>
    <mergeCell ref="F5:F6"/>
    <mergeCell ref="G5:G6"/>
  </mergeCells>
  <conditionalFormatting sqref="A5">
    <cfRule type="duplicateValues" dxfId="16" priority="1"/>
    <cfRule type="duplicateValues" dxfId="15" priority="2"/>
    <cfRule type="duplicateValues" dxfId="14"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0096F-6ECF-4792-8871-CE537DE98418}">
  <dimension ref="A1:O40"/>
  <sheetViews>
    <sheetView showGridLines="0" topLeftCell="A5" zoomScaleNormal="100" workbookViewId="0">
      <selection activeCell="E40" sqref="E40"/>
    </sheetView>
  </sheetViews>
  <sheetFormatPr defaultColWidth="9.140625" defaultRowHeight="12.75" x14ac:dyDescent="0.25"/>
  <cols>
    <col min="1" max="1" width="11" style="580" bestFit="1" customWidth="1"/>
    <col min="2" max="2" width="93.42578125" style="580" customWidth="1"/>
    <col min="3" max="5" width="22" style="580" customWidth="1"/>
    <col min="6" max="6" width="21.28515625" style="580" customWidth="1"/>
    <col min="7" max="7" width="26.85546875" style="580" customWidth="1"/>
    <col min="8" max="8" width="21.85546875" style="580" customWidth="1"/>
    <col min="9" max="11" width="9.140625" style="580"/>
    <col min="12" max="12" width="36.5703125" style="580" customWidth="1"/>
    <col min="13" max="16384" width="9.140625" style="580"/>
  </cols>
  <sheetData>
    <row r="1" spans="1:15" ht="13.5" x14ac:dyDescent="0.25">
      <c r="A1" s="579" t="s">
        <v>41</v>
      </c>
      <c r="B1" s="22" t="str">
        <f>Info!C2</f>
        <v>სს სილქ ბანკი</v>
      </c>
      <c r="C1" s="594"/>
      <c r="D1" s="594"/>
      <c r="E1" s="594"/>
      <c r="F1" s="594"/>
      <c r="G1" s="594"/>
      <c r="H1" s="594"/>
    </row>
    <row r="2" spans="1:15" x14ac:dyDescent="0.25">
      <c r="A2" s="579" t="s">
        <v>42</v>
      </c>
      <c r="B2" s="581">
        <f>'1. key ratios'!B2</f>
        <v>45473</v>
      </c>
      <c r="C2" s="594"/>
      <c r="D2" s="594"/>
      <c r="E2" s="594"/>
      <c r="F2" s="594"/>
      <c r="G2" s="594"/>
      <c r="H2" s="594"/>
    </row>
    <row r="3" spans="1:15" x14ac:dyDescent="0.25">
      <c r="A3" s="582" t="s">
        <v>590</v>
      </c>
      <c r="B3" s="594"/>
      <c r="C3" s="594"/>
      <c r="D3" s="594"/>
      <c r="E3" s="594"/>
      <c r="F3" s="594"/>
      <c r="G3" s="594"/>
      <c r="H3" s="594"/>
    </row>
    <row r="4" spans="1:15" ht="40.5" customHeight="1" x14ac:dyDescent="0.25">
      <c r="A4" s="594"/>
      <c r="B4" s="594"/>
      <c r="C4" s="596" t="s">
        <v>573</v>
      </c>
      <c r="D4" s="596" t="s">
        <v>574</v>
      </c>
      <c r="E4" s="596" t="s">
        <v>575</v>
      </c>
      <c r="F4" s="596" t="s">
        <v>576</v>
      </c>
      <c r="G4" s="596" t="s">
        <v>577</v>
      </c>
      <c r="H4" s="596" t="s">
        <v>578</v>
      </c>
    </row>
    <row r="5" spans="1:15" ht="41.45" customHeight="1" x14ac:dyDescent="0.25">
      <c r="A5" s="857" t="s">
        <v>591</v>
      </c>
      <c r="B5" s="858"/>
      <c r="C5" s="863" t="s">
        <v>580</v>
      </c>
      <c r="D5" s="864"/>
      <c r="E5" s="861" t="s">
        <v>592</v>
      </c>
      <c r="F5" s="861" t="s">
        <v>582</v>
      </c>
      <c r="G5" s="861" t="s">
        <v>583</v>
      </c>
      <c r="H5" s="597" t="s">
        <v>584</v>
      </c>
    </row>
    <row r="6" spans="1:15" ht="38.25" x14ac:dyDescent="0.25">
      <c r="A6" s="859"/>
      <c r="B6" s="850"/>
      <c r="C6" s="598" t="s">
        <v>585</v>
      </c>
      <c r="D6" s="598" t="s">
        <v>586</v>
      </c>
      <c r="E6" s="862"/>
      <c r="F6" s="862"/>
      <c r="G6" s="862"/>
      <c r="H6" s="597" t="s">
        <v>587</v>
      </c>
      <c r="I6" s="616"/>
    </row>
    <row r="7" spans="1:15" x14ac:dyDescent="0.25">
      <c r="A7" s="603">
        <v>1</v>
      </c>
      <c r="B7" s="617" t="s">
        <v>593</v>
      </c>
      <c r="C7" s="601">
        <v>13124.119635036495</v>
      </c>
      <c r="D7" s="601">
        <v>30675742.64466624</v>
      </c>
      <c r="E7" s="601">
        <v>140823.48702903886</v>
      </c>
      <c r="F7" s="601"/>
      <c r="G7" s="602"/>
      <c r="H7" s="770">
        <f t="shared" ref="H7:H34" si="0">C7+D7-E7-F7</f>
        <v>30548043.277272239</v>
      </c>
      <c r="I7" s="587"/>
      <c r="O7" s="587"/>
    </row>
    <row r="8" spans="1:15" x14ac:dyDescent="0.25">
      <c r="A8" s="603">
        <v>2</v>
      </c>
      <c r="B8" s="617" t="s">
        <v>594</v>
      </c>
      <c r="C8" s="601">
        <v>0</v>
      </c>
      <c r="D8" s="601">
        <v>57950673.956932321</v>
      </c>
      <c r="E8" s="601">
        <v>39603.5968924564</v>
      </c>
      <c r="F8" s="601"/>
      <c r="G8" s="602"/>
      <c r="H8" s="770">
        <f t="shared" si="0"/>
        <v>57911070.360039867</v>
      </c>
      <c r="I8" s="587"/>
      <c r="O8" s="587"/>
    </row>
    <row r="9" spans="1:15" x14ac:dyDescent="0.25">
      <c r="A9" s="603">
        <v>3</v>
      </c>
      <c r="B9" s="617" t="s">
        <v>595</v>
      </c>
      <c r="C9" s="601">
        <v>0</v>
      </c>
      <c r="D9" s="601">
        <v>0</v>
      </c>
      <c r="E9" s="601">
        <v>0</v>
      </c>
      <c r="F9" s="601"/>
      <c r="G9" s="602"/>
      <c r="H9" s="770">
        <f t="shared" si="0"/>
        <v>0</v>
      </c>
      <c r="I9" s="587"/>
      <c r="O9" s="587"/>
    </row>
    <row r="10" spans="1:15" ht="13.5" x14ac:dyDescent="0.25">
      <c r="A10" s="603">
        <v>4</v>
      </c>
      <c r="B10" s="617" t="s">
        <v>596</v>
      </c>
      <c r="C10" s="601">
        <v>0</v>
      </c>
      <c r="D10" s="601">
        <v>10102891.840131579</v>
      </c>
      <c r="E10" s="601">
        <v>92326.538336523692</v>
      </c>
      <c r="F10" s="601"/>
      <c r="G10" s="602"/>
      <c r="H10" s="770">
        <f t="shared" si="0"/>
        <v>10010565.301795056</v>
      </c>
      <c r="I10" s="587"/>
      <c r="J10" s="734"/>
      <c r="O10" s="587"/>
    </row>
    <row r="11" spans="1:15" x14ac:dyDescent="0.25">
      <c r="A11" s="603">
        <v>5</v>
      </c>
      <c r="B11" s="617" t="s">
        <v>598</v>
      </c>
      <c r="C11" s="601">
        <v>0</v>
      </c>
      <c r="D11" s="601">
        <v>10602694.255189033</v>
      </c>
      <c r="E11" s="601">
        <v>146207.83404610655</v>
      </c>
      <c r="F11" s="601"/>
      <c r="G11" s="602"/>
      <c r="H11" s="770">
        <f t="shared" si="0"/>
        <v>10456486.421142926</v>
      </c>
      <c r="I11" s="587"/>
      <c r="O11" s="587"/>
    </row>
    <row r="12" spans="1:15" ht="13.5" x14ac:dyDescent="0.25">
      <c r="A12" s="603">
        <v>6</v>
      </c>
      <c r="B12" s="617" t="s">
        <v>599</v>
      </c>
      <c r="C12" s="601">
        <v>117176.93</v>
      </c>
      <c r="D12" s="601">
        <v>6666541.4572424712</v>
      </c>
      <c r="E12" s="601">
        <v>189708.28628211492</v>
      </c>
      <c r="F12" s="601"/>
      <c r="G12" s="602"/>
      <c r="H12" s="770">
        <f t="shared" si="0"/>
        <v>6594010.1009603562</v>
      </c>
      <c r="I12" s="587"/>
      <c r="J12" s="734"/>
      <c r="O12" s="587"/>
    </row>
    <row r="13" spans="1:15" x14ac:dyDescent="0.25">
      <c r="A13" s="603">
        <v>7</v>
      </c>
      <c r="B13" s="617" t="s">
        <v>601</v>
      </c>
      <c r="C13" s="601">
        <v>0</v>
      </c>
      <c r="D13" s="601">
        <v>14073264.064853437</v>
      </c>
      <c r="E13" s="601">
        <v>53664.114837863519</v>
      </c>
      <c r="F13" s="601"/>
      <c r="G13" s="602"/>
      <c r="H13" s="770">
        <f t="shared" si="0"/>
        <v>14019599.950015573</v>
      </c>
      <c r="I13" s="587"/>
      <c r="O13" s="587"/>
    </row>
    <row r="14" spans="1:15" x14ac:dyDescent="0.25">
      <c r="A14" s="603">
        <v>8</v>
      </c>
      <c r="B14" s="617" t="s">
        <v>602</v>
      </c>
      <c r="C14" s="601">
        <v>0</v>
      </c>
      <c r="D14" s="601">
        <v>506800.47514810966</v>
      </c>
      <c r="E14" s="601">
        <v>7500.5528693789674</v>
      </c>
      <c r="F14" s="601"/>
      <c r="G14" s="602"/>
      <c r="H14" s="770">
        <f t="shared" si="0"/>
        <v>499299.92227873066</v>
      </c>
      <c r="I14" s="587"/>
      <c r="O14" s="587"/>
    </row>
    <row r="15" spans="1:15" x14ac:dyDescent="0.25">
      <c r="A15" s="603">
        <v>9</v>
      </c>
      <c r="B15" s="617" t="s">
        <v>603</v>
      </c>
      <c r="C15" s="601">
        <v>0</v>
      </c>
      <c r="D15" s="601">
        <v>29572.46</v>
      </c>
      <c r="E15" s="601">
        <v>1157.9324361994097</v>
      </c>
      <c r="F15" s="601"/>
      <c r="G15" s="602"/>
      <c r="H15" s="770">
        <f t="shared" si="0"/>
        <v>28414.527563800588</v>
      </c>
      <c r="I15" s="587"/>
      <c r="O15" s="587"/>
    </row>
    <row r="16" spans="1:15" x14ac:dyDescent="0.25">
      <c r="A16" s="603">
        <v>10</v>
      </c>
      <c r="B16" s="617" t="s">
        <v>604</v>
      </c>
      <c r="C16" s="601">
        <v>0</v>
      </c>
      <c r="D16" s="601">
        <v>708289.02208569495</v>
      </c>
      <c r="E16" s="601">
        <v>13317.219415810372</v>
      </c>
      <c r="F16" s="601"/>
      <c r="G16" s="602"/>
      <c r="H16" s="770">
        <f t="shared" si="0"/>
        <v>694971.80266988452</v>
      </c>
      <c r="I16" s="587"/>
      <c r="O16" s="587"/>
    </row>
    <row r="17" spans="1:15" x14ac:dyDescent="0.25">
      <c r="A17" s="603">
        <v>11</v>
      </c>
      <c r="B17" s="617" t="s">
        <v>605</v>
      </c>
      <c r="C17" s="601">
        <v>0</v>
      </c>
      <c r="D17" s="601">
        <v>25446.039163013149</v>
      </c>
      <c r="E17" s="601">
        <v>779.77876024087141</v>
      </c>
      <c r="F17" s="601"/>
      <c r="G17" s="602"/>
      <c r="H17" s="770">
        <f t="shared" si="0"/>
        <v>24666.260402772277</v>
      </c>
      <c r="I17" s="587"/>
      <c r="O17" s="587"/>
    </row>
    <row r="18" spans="1:15" x14ac:dyDescent="0.25">
      <c r="A18" s="603">
        <v>12</v>
      </c>
      <c r="B18" s="617" t="s">
        <v>606</v>
      </c>
      <c r="C18" s="601">
        <v>24572.770729927008</v>
      </c>
      <c r="D18" s="601">
        <v>5057919.66002189</v>
      </c>
      <c r="E18" s="601">
        <v>83403.871600433456</v>
      </c>
      <c r="F18" s="601"/>
      <c r="G18" s="602"/>
      <c r="H18" s="770">
        <f t="shared" si="0"/>
        <v>4999088.559151384</v>
      </c>
      <c r="I18" s="587"/>
      <c r="O18" s="587"/>
    </row>
    <row r="19" spans="1:15" x14ac:dyDescent="0.25">
      <c r="A19" s="603">
        <v>13</v>
      </c>
      <c r="B19" s="617" t="s">
        <v>607</v>
      </c>
      <c r="C19" s="601">
        <v>11190.478686131388</v>
      </c>
      <c r="D19" s="601">
        <v>165375.74980911691</v>
      </c>
      <c r="E19" s="601">
        <v>10748.149822795413</v>
      </c>
      <c r="F19" s="601"/>
      <c r="G19" s="602"/>
      <c r="H19" s="770">
        <f t="shared" si="0"/>
        <v>165818.07867245289</v>
      </c>
      <c r="I19" s="587"/>
      <c r="O19" s="587"/>
    </row>
    <row r="20" spans="1:15" x14ac:dyDescent="0.25">
      <c r="A20" s="603">
        <v>14</v>
      </c>
      <c r="B20" s="617" t="s">
        <v>608</v>
      </c>
      <c r="C20" s="601">
        <v>39847.83</v>
      </c>
      <c r="D20" s="601">
        <v>1732730.017151159</v>
      </c>
      <c r="E20" s="601">
        <v>49125.01848274075</v>
      </c>
      <c r="F20" s="601"/>
      <c r="G20" s="602"/>
      <c r="H20" s="770">
        <f t="shared" si="0"/>
        <v>1723452.8286684183</v>
      </c>
      <c r="I20" s="587"/>
      <c r="O20" s="587"/>
    </row>
    <row r="21" spans="1:15" x14ac:dyDescent="0.25">
      <c r="A21" s="603">
        <v>15</v>
      </c>
      <c r="B21" s="617" t="s">
        <v>609</v>
      </c>
      <c r="C21" s="601">
        <v>435.65</v>
      </c>
      <c r="D21" s="601">
        <v>1998757.4392893722</v>
      </c>
      <c r="E21" s="601">
        <v>27230.190028551326</v>
      </c>
      <c r="F21" s="601"/>
      <c r="G21" s="602"/>
      <c r="H21" s="770">
        <f t="shared" si="0"/>
        <v>1971962.8992608208</v>
      </c>
      <c r="I21" s="587"/>
      <c r="O21" s="587"/>
    </row>
    <row r="22" spans="1:15" x14ac:dyDescent="0.25">
      <c r="A22" s="603">
        <v>16</v>
      </c>
      <c r="B22" s="612" t="s">
        <v>610</v>
      </c>
      <c r="C22" s="601">
        <v>0</v>
      </c>
      <c r="D22" s="601">
        <v>86667.59836063032</v>
      </c>
      <c r="E22" s="601">
        <v>1356.6796634244031</v>
      </c>
      <c r="F22" s="601"/>
      <c r="G22" s="602"/>
      <c r="H22" s="770">
        <f t="shared" si="0"/>
        <v>85310.918697205911</v>
      </c>
      <c r="I22" s="587"/>
      <c r="O22" s="587"/>
    </row>
    <row r="23" spans="1:15" ht="13.5" x14ac:dyDescent="0.25">
      <c r="A23" s="603">
        <v>17</v>
      </c>
      <c r="B23" s="617" t="s">
        <v>611</v>
      </c>
      <c r="C23" s="601">
        <v>4943.42</v>
      </c>
      <c r="D23" s="601">
        <v>84846.919548333462</v>
      </c>
      <c r="E23" s="601">
        <v>4754.0021023146091</v>
      </c>
      <c r="F23" s="601"/>
      <c r="G23" s="602"/>
      <c r="H23" s="770">
        <f t="shared" si="0"/>
        <v>85036.33744601885</v>
      </c>
      <c r="I23" s="587"/>
      <c r="J23" s="734"/>
      <c r="O23" s="587"/>
    </row>
    <row r="24" spans="1:15" x14ac:dyDescent="0.25">
      <c r="A24" s="603">
        <v>18</v>
      </c>
      <c r="B24" s="617" t="s">
        <v>612</v>
      </c>
      <c r="C24" s="601">
        <v>0</v>
      </c>
      <c r="D24" s="601">
        <v>6910834.877118038</v>
      </c>
      <c r="E24" s="601">
        <v>24116.472677000093</v>
      </c>
      <c r="F24" s="601"/>
      <c r="G24" s="602"/>
      <c r="H24" s="770">
        <f t="shared" si="0"/>
        <v>6886718.4044410381</v>
      </c>
      <c r="I24" s="587"/>
      <c r="O24" s="587"/>
    </row>
    <row r="25" spans="1:15" x14ac:dyDescent="0.25">
      <c r="A25" s="603">
        <v>19</v>
      </c>
      <c r="B25" s="617" t="s">
        <v>613</v>
      </c>
      <c r="C25" s="601">
        <v>65.84</v>
      </c>
      <c r="D25" s="601">
        <v>422919.34697849286</v>
      </c>
      <c r="E25" s="601">
        <v>17749.057036514558</v>
      </c>
      <c r="F25" s="601"/>
      <c r="G25" s="602"/>
      <c r="H25" s="770">
        <f t="shared" si="0"/>
        <v>405236.12994197832</v>
      </c>
      <c r="I25" s="587"/>
      <c r="O25" s="587"/>
    </row>
    <row r="26" spans="1:15" x14ac:dyDescent="0.25">
      <c r="A26" s="603">
        <v>20</v>
      </c>
      <c r="B26" s="617" t="s">
        <v>614</v>
      </c>
      <c r="C26" s="601">
        <v>0</v>
      </c>
      <c r="D26" s="601">
        <v>302570.26114196808</v>
      </c>
      <c r="E26" s="601">
        <v>8961.7063832521235</v>
      </c>
      <c r="F26" s="601"/>
      <c r="G26" s="602"/>
      <c r="H26" s="770">
        <f t="shared" si="0"/>
        <v>293608.55475871597</v>
      </c>
      <c r="I26" s="587"/>
      <c r="O26" s="587"/>
    </row>
    <row r="27" spans="1:15" x14ac:dyDescent="0.25">
      <c r="A27" s="603">
        <v>21</v>
      </c>
      <c r="B27" s="617" t="s">
        <v>615</v>
      </c>
      <c r="C27" s="601">
        <v>0</v>
      </c>
      <c r="D27" s="601">
        <v>330633.85362989269</v>
      </c>
      <c r="E27" s="601">
        <v>9993.6618226482387</v>
      </c>
      <c r="F27" s="601"/>
      <c r="G27" s="602"/>
      <c r="H27" s="770">
        <f t="shared" si="0"/>
        <v>320640.19180724444</v>
      </c>
      <c r="I27" s="587"/>
      <c r="O27" s="587"/>
    </row>
    <row r="28" spans="1:15" x14ac:dyDescent="0.25">
      <c r="A28" s="603">
        <v>22</v>
      </c>
      <c r="B28" s="617" t="s">
        <v>616</v>
      </c>
      <c r="C28" s="601">
        <v>32324.949999999997</v>
      </c>
      <c r="D28" s="601">
        <v>1992692.6662552329</v>
      </c>
      <c r="E28" s="601">
        <v>51826.546908701253</v>
      </c>
      <c r="F28" s="601"/>
      <c r="G28" s="602"/>
      <c r="H28" s="770">
        <f t="shared" si="0"/>
        <v>1973191.0693465315</v>
      </c>
      <c r="I28" s="587"/>
      <c r="O28" s="587"/>
    </row>
    <row r="29" spans="1:15" x14ac:dyDescent="0.25">
      <c r="A29" s="603">
        <v>23</v>
      </c>
      <c r="B29" s="617" t="s">
        <v>617</v>
      </c>
      <c r="C29" s="601">
        <v>288743.70847265952</v>
      </c>
      <c r="D29" s="601">
        <v>9734777.2869260125</v>
      </c>
      <c r="E29" s="601">
        <v>515382.42532408627</v>
      </c>
      <c r="F29" s="601"/>
      <c r="G29" s="602">
        <f>3926.44+982</f>
        <v>4908.4400000000005</v>
      </c>
      <c r="H29" s="770">
        <f t="shared" si="0"/>
        <v>9508138.5700745862</v>
      </c>
      <c r="I29" s="587"/>
      <c r="O29" s="587"/>
    </row>
    <row r="30" spans="1:15" x14ac:dyDescent="0.25">
      <c r="A30" s="603">
        <v>24</v>
      </c>
      <c r="B30" s="617" t="s">
        <v>618</v>
      </c>
      <c r="C30" s="601">
        <v>144338.21</v>
      </c>
      <c r="D30" s="601">
        <v>2657380.5033066687</v>
      </c>
      <c r="E30" s="601">
        <v>113227.20141609953</v>
      </c>
      <c r="F30" s="601"/>
      <c r="G30" s="602"/>
      <c r="H30" s="770">
        <f t="shared" si="0"/>
        <v>2688491.5118905692</v>
      </c>
      <c r="I30" s="587"/>
      <c r="O30" s="587"/>
    </row>
    <row r="31" spans="1:15" ht="13.5" x14ac:dyDescent="0.25">
      <c r="A31" s="603">
        <v>25</v>
      </c>
      <c r="B31" s="617" t="s">
        <v>216</v>
      </c>
      <c r="C31" s="601">
        <v>148585.71</v>
      </c>
      <c r="D31" s="602">
        <v>5966057.8678810243</v>
      </c>
      <c r="E31" s="601">
        <v>220591.13042513991</v>
      </c>
      <c r="F31" s="601"/>
      <c r="G31" s="602"/>
      <c r="H31" s="770">
        <f t="shared" si="0"/>
        <v>5894052.447455884</v>
      </c>
      <c r="I31" s="587"/>
      <c r="J31" s="734"/>
      <c r="O31" s="587"/>
    </row>
    <row r="32" spans="1:15" x14ac:dyDescent="0.25">
      <c r="A32" s="603">
        <v>26</v>
      </c>
      <c r="B32" s="617" t="s">
        <v>619</v>
      </c>
      <c r="C32" s="601">
        <v>0</v>
      </c>
      <c r="D32" s="601">
        <v>0</v>
      </c>
      <c r="E32" s="601">
        <v>0</v>
      </c>
      <c r="F32" s="601"/>
      <c r="G32" s="602"/>
      <c r="H32" s="770">
        <f t="shared" si="0"/>
        <v>0</v>
      </c>
      <c r="I32" s="587"/>
      <c r="O32" s="587"/>
    </row>
    <row r="33" spans="1:15" x14ac:dyDescent="0.25">
      <c r="A33" s="603">
        <v>27</v>
      </c>
      <c r="B33" s="603" t="s">
        <v>122</v>
      </c>
      <c r="C33" s="601">
        <f>'18. Assets by Exposure classes'!C20</f>
        <v>0</v>
      </c>
      <c r="D33" s="601">
        <f>'18. Assets by Exposure classes'!D20</f>
        <v>34153195.712211363</v>
      </c>
      <c r="E33" s="601">
        <f>'18. Assets by Exposure classes'!E20</f>
        <v>0</v>
      </c>
      <c r="F33" s="601"/>
      <c r="G33" s="602"/>
      <c r="H33" s="770">
        <f t="shared" si="0"/>
        <v>34153195.712211363</v>
      </c>
      <c r="I33" s="587"/>
      <c r="O33" s="587"/>
    </row>
    <row r="34" spans="1:15" x14ac:dyDescent="0.25">
      <c r="A34" s="603">
        <v>28</v>
      </c>
      <c r="B34" s="608" t="s">
        <v>96</v>
      </c>
      <c r="C34" s="618">
        <f>SUM(C7:C33)</f>
        <v>825349.61752375425</v>
      </c>
      <c r="D34" s="618">
        <f>SUM(D7:D33)</f>
        <v>202939275.97504106</v>
      </c>
      <c r="E34" s="618">
        <f>SUM(E7:E33)</f>
        <v>1823555.4545994354</v>
      </c>
      <c r="F34" s="618">
        <f t="shared" ref="F34:G34" si="1">SUM(F7:F33)</f>
        <v>0</v>
      </c>
      <c r="G34" s="618">
        <f t="shared" si="1"/>
        <v>4908.4400000000005</v>
      </c>
      <c r="H34" s="770">
        <f t="shared" si="0"/>
        <v>201941070.13796538</v>
      </c>
      <c r="I34" s="587"/>
      <c r="O34" s="587"/>
    </row>
    <row r="35" spans="1:15" x14ac:dyDescent="0.25">
      <c r="C35" s="727"/>
      <c r="D35" s="727"/>
      <c r="E35" s="727"/>
      <c r="F35" s="727"/>
      <c r="G35" s="727"/>
      <c r="H35" s="727"/>
    </row>
    <row r="36" spans="1:15" x14ac:dyDescent="0.25">
      <c r="B36" s="735"/>
      <c r="C36" s="727"/>
      <c r="D36" s="727"/>
      <c r="E36" s="727"/>
      <c r="F36" s="619"/>
      <c r="G36" s="619"/>
      <c r="H36" s="620"/>
    </row>
    <row r="37" spans="1:15" x14ac:dyDescent="0.25">
      <c r="F37" s="736"/>
    </row>
    <row r="38" spans="1:15" x14ac:dyDescent="0.25">
      <c r="C38" s="620"/>
      <c r="E38" s="620"/>
      <c r="F38" s="736"/>
    </row>
    <row r="39" spans="1:15" x14ac:dyDescent="0.25">
      <c r="D39" s="620"/>
    </row>
    <row r="40" spans="1:15" x14ac:dyDescent="0.25">
      <c r="E40" s="736"/>
    </row>
  </sheetData>
  <mergeCells count="5">
    <mergeCell ref="A5:B6"/>
    <mergeCell ref="C5:D5"/>
    <mergeCell ref="E5:E6"/>
    <mergeCell ref="F5:F6"/>
    <mergeCell ref="G5:G6"/>
  </mergeCells>
  <conditionalFormatting sqref="A5">
    <cfRule type="duplicateValues" dxfId="13" priority="2"/>
    <cfRule type="duplicateValues" dxfId="12" priority="3"/>
    <cfRule type="duplicateValues" dxfId="11" priority="4"/>
  </conditionalFormatting>
  <conditionalFormatting sqref="B7:B31">
    <cfRule type="duplicateValues" dxfId="10" priority="5"/>
  </conditionalFormatting>
  <conditionalFormatting sqref="J31">
    <cfRule type="duplicateValues" dxfId="9" priority="1"/>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9D857-39E9-499C-8E2F-FDB0C8A797E7}">
  <dimension ref="A1:F28"/>
  <sheetViews>
    <sheetView showGridLines="0" topLeftCell="A4" zoomScale="115" zoomScaleNormal="115" workbookViewId="0">
      <selection activeCell="C25" sqref="C25"/>
    </sheetView>
  </sheetViews>
  <sheetFormatPr defaultColWidth="9.140625" defaultRowHeight="12.75" x14ac:dyDescent="0.25"/>
  <cols>
    <col min="1" max="1" width="11.85546875" style="580" bestFit="1" customWidth="1"/>
    <col min="2" max="2" width="108" style="580" bestFit="1" customWidth="1"/>
    <col min="3" max="3" width="27.7109375" style="580" customWidth="1"/>
    <col min="4" max="4" width="21.7109375" style="580" customWidth="1"/>
    <col min="5" max="5" width="10.42578125" style="580" bestFit="1" customWidth="1"/>
    <col min="6" max="6" width="9.85546875" style="580" bestFit="1" customWidth="1"/>
    <col min="7" max="7" width="62.140625" style="580" customWidth="1"/>
    <col min="8" max="16384" width="9.140625" style="580"/>
  </cols>
  <sheetData>
    <row r="1" spans="1:6" ht="13.5" x14ac:dyDescent="0.25">
      <c r="A1" s="579" t="s">
        <v>41</v>
      </c>
      <c r="B1" s="22" t="str">
        <f>Info!C2</f>
        <v>სს სილქ ბანკი</v>
      </c>
    </row>
    <row r="2" spans="1:6" x14ac:dyDescent="0.25">
      <c r="A2" s="579" t="s">
        <v>42</v>
      </c>
      <c r="B2" s="581">
        <f>'1. key ratios'!B2</f>
        <v>45473</v>
      </c>
    </row>
    <row r="3" spans="1:6" x14ac:dyDescent="0.25">
      <c r="A3" s="582" t="s">
        <v>620</v>
      </c>
      <c r="C3" s="621"/>
    </row>
    <row r="4" spans="1:6" ht="40.5" customHeight="1" x14ac:dyDescent="0.25"/>
    <row r="5" spans="1:6" ht="30" customHeight="1" x14ac:dyDescent="0.25">
      <c r="A5" s="865" t="s">
        <v>621</v>
      </c>
      <c r="B5" s="865"/>
      <c r="C5" s="583" t="s">
        <v>622</v>
      </c>
      <c r="D5" s="583" t="s">
        <v>623</v>
      </c>
    </row>
    <row r="6" spans="1:6" x14ac:dyDescent="0.25">
      <c r="A6" s="622">
        <v>1</v>
      </c>
      <c r="B6" s="623" t="s">
        <v>624</v>
      </c>
      <c r="C6" s="624">
        <v>1383177.011991604</v>
      </c>
      <c r="D6" s="624">
        <v>100825.93463185235</v>
      </c>
    </row>
    <row r="7" spans="1:6" x14ac:dyDescent="0.25">
      <c r="A7" s="625">
        <v>2</v>
      </c>
      <c r="B7" s="623" t="s">
        <v>625</v>
      </c>
      <c r="C7" s="585">
        <f>SUM(C8:C9)</f>
        <v>766805.25797943608</v>
      </c>
      <c r="D7" s="586">
        <f>D9+D8</f>
        <v>0</v>
      </c>
      <c r="E7" s="587"/>
      <c r="F7" s="587"/>
    </row>
    <row r="8" spans="1:6" x14ac:dyDescent="0.25">
      <c r="A8" s="626">
        <v>2.1</v>
      </c>
      <c r="B8" s="627" t="s">
        <v>626</v>
      </c>
      <c r="C8" s="585">
        <v>734124.54120452376</v>
      </c>
      <c r="D8" s="586"/>
      <c r="E8" s="587"/>
      <c r="F8" s="587"/>
    </row>
    <row r="9" spans="1:6" x14ac:dyDescent="0.25">
      <c r="A9" s="626">
        <v>2.2000000000000002</v>
      </c>
      <c r="B9" s="627" t="s">
        <v>627</v>
      </c>
      <c r="C9" s="585">
        <v>32680.716774912325</v>
      </c>
      <c r="D9" s="585"/>
      <c r="E9" s="587"/>
      <c r="F9" s="587"/>
    </row>
    <row r="10" spans="1:6" x14ac:dyDescent="0.25">
      <c r="A10" s="622">
        <v>3</v>
      </c>
      <c r="B10" s="623" t="s">
        <v>628</v>
      </c>
      <c r="C10" s="585">
        <f>SUM(C11:C13)</f>
        <v>475924.96016898536</v>
      </c>
      <c r="D10" s="586"/>
      <c r="E10" s="587"/>
      <c r="F10" s="587"/>
    </row>
    <row r="11" spans="1:6" x14ac:dyDescent="0.25">
      <c r="A11" s="626">
        <v>3.1</v>
      </c>
      <c r="B11" s="627" t="s">
        <v>629</v>
      </c>
      <c r="C11" s="585">
        <f>'19. Assets by Risk Sectors'!G34</f>
        <v>4908.4400000000005</v>
      </c>
      <c r="D11" s="586"/>
      <c r="E11" s="587"/>
      <c r="F11" s="587"/>
    </row>
    <row r="12" spans="1:6" x14ac:dyDescent="0.25">
      <c r="A12" s="626">
        <v>3.2</v>
      </c>
      <c r="B12" s="627" t="s">
        <v>630</v>
      </c>
      <c r="C12" s="585">
        <v>418130.52016898536</v>
      </c>
      <c r="D12" s="586"/>
      <c r="E12" s="587"/>
      <c r="F12" s="587"/>
    </row>
    <row r="13" spans="1:6" x14ac:dyDescent="0.25">
      <c r="A13" s="626">
        <v>3.3</v>
      </c>
      <c r="B13" s="627" t="s">
        <v>631</v>
      </c>
      <c r="C13" s="585">
        <v>52886</v>
      </c>
      <c r="D13" s="586"/>
      <c r="E13" s="587"/>
      <c r="F13" s="587"/>
    </row>
    <row r="14" spans="1:6" x14ac:dyDescent="0.25">
      <c r="A14" s="625">
        <v>4</v>
      </c>
      <c r="B14" s="628" t="s">
        <v>632</v>
      </c>
      <c r="C14" s="585">
        <v>71096</v>
      </c>
      <c r="D14" s="586">
        <v>937</v>
      </c>
      <c r="E14" s="620"/>
    </row>
    <row r="15" spans="1:6" x14ac:dyDescent="0.25">
      <c r="A15" s="629">
        <v>5</v>
      </c>
      <c r="B15" s="623" t="s">
        <v>633</v>
      </c>
      <c r="C15" s="624">
        <f>C6+C7-C10+C14</f>
        <v>1745153.3098020547</v>
      </c>
      <c r="D15" s="624">
        <f>D6+D7-D10+D14</f>
        <v>101762.93463185235</v>
      </c>
      <c r="E15" s="630"/>
    </row>
    <row r="16" spans="1:6" x14ac:dyDescent="0.25">
      <c r="C16" s="716"/>
      <c r="D16" s="716"/>
    </row>
    <row r="17" spans="2:3" x14ac:dyDescent="0.25">
      <c r="C17" s="621"/>
    </row>
    <row r="18" spans="2:3" x14ac:dyDescent="0.25">
      <c r="C18" s="621"/>
    </row>
    <row r="19" spans="2:3" x14ac:dyDescent="0.25">
      <c r="C19" s="587"/>
    </row>
    <row r="22" spans="2:3" x14ac:dyDescent="0.25">
      <c r="B22" s="631"/>
    </row>
    <row r="28" spans="2:3" x14ac:dyDescent="0.25">
      <c r="C28" s="587"/>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B01BC-4B2D-4F63-A61A-09B52D59D714}">
  <dimension ref="A1:D24"/>
  <sheetViews>
    <sheetView showGridLines="0" zoomScaleNormal="100" workbookViewId="0">
      <selection activeCell="D31" sqref="D31"/>
    </sheetView>
  </sheetViews>
  <sheetFormatPr defaultColWidth="9.140625" defaultRowHeight="12.75" x14ac:dyDescent="0.25"/>
  <cols>
    <col min="1" max="1" width="11.85546875" style="594" bestFit="1" customWidth="1"/>
    <col min="2" max="2" width="128.85546875" style="594" bestFit="1" customWidth="1"/>
    <col min="3" max="3" width="23.140625" style="594" customWidth="1"/>
    <col min="4" max="4" width="29.7109375" style="594" customWidth="1"/>
    <col min="5" max="6" width="9.140625" style="594"/>
    <col min="7" max="7" width="62.140625" style="594" customWidth="1"/>
    <col min="8" max="16384" width="9.140625" style="594"/>
  </cols>
  <sheetData>
    <row r="1" spans="1:4" ht="13.5" x14ac:dyDescent="0.25">
      <c r="A1" s="579" t="s">
        <v>41</v>
      </c>
      <c r="B1" s="22" t="str">
        <f>Info!C2</f>
        <v>სს სილქ ბანკი</v>
      </c>
    </row>
    <row r="2" spans="1:4" x14ac:dyDescent="0.25">
      <c r="A2" s="579" t="s">
        <v>42</v>
      </c>
      <c r="B2" s="581">
        <f>'1. key ratios'!B2</f>
        <v>45473</v>
      </c>
    </row>
    <row r="3" spans="1:4" x14ac:dyDescent="0.25">
      <c r="A3" s="582" t="s">
        <v>634</v>
      </c>
      <c r="D3" s="632"/>
    </row>
    <row r="4" spans="1:4" ht="40.5" customHeight="1" x14ac:dyDescent="0.25">
      <c r="A4" s="582"/>
    </row>
    <row r="5" spans="1:4" ht="15" customHeight="1" x14ac:dyDescent="0.25">
      <c r="A5" s="866" t="s">
        <v>35</v>
      </c>
      <c r="B5" s="867"/>
      <c r="C5" s="870" t="s">
        <v>635</v>
      </c>
      <c r="D5" s="870" t="s">
        <v>636</v>
      </c>
    </row>
    <row r="6" spans="1:4" ht="35.25" customHeight="1" x14ac:dyDescent="0.25">
      <c r="A6" s="868"/>
      <c r="B6" s="869"/>
      <c r="C6" s="870"/>
      <c r="D6" s="870"/>
    </row>
    <row r="7" spans="1:4" x14ac:dyDescent="0.25">
      <c r="A7" s="608">
        <v>1</v>
      </c>
      <c r="B7" s="608" t="s">
        <v>637</v>
      </c>
      <c r="C7" s="739">
        <v>581129.98927183496</v>
      </c>
      <c r="D7" s="634"/>
    </row>
    <row r="8" spans="1:4" x14ac:dyDescent="0.25">
      <c r="A8" s="603">
        <v>2</v>
      </c>
      <c r="B8" s="603" t="s">
        <v>638</v>
      </c>
      <c r="C8" s="601">
        <v>444219</v>
      </c>
      <c r="D8" s="634"/>
    </row>
    <row r="9" spans="1:4" x14ac:dyDescent="0.25">
      <c r="A9" s="603">
        <v>3</v>
      </c>
      <c r="B9" s="635" t="s">
        <v>639</v>
      </c>
      <c r="C9" s="601">
        <v>77187</v>
      </c>
      <c r="D9" s="634"/>
    </row>
    <row r="10" spans="1:4" x14ac:dyDescent="0.25">
      <c r="A10" s="603">
        <v>4</v>
      </c>
      <c r="B10" s="603" t="s">
        <v>640</v>
      </c>
      <c r="C10" s="601">
        <f>SUM(C11:C17)</f>
        <v>277185.44</v>
      </c>
      <c r="D10" s="634"/>
    </row>
    <row r="11" spans="1:4" x14ac:dyDescent="0.25">
      <c r="A11" s="603">
        <v>5</v>
      </c>
      <c r="B11" s="636" t="s">
        <v>641</v>
      </c>
      <c r="C11" s="601">
        <v>77142</v>
      </c>
      <c r="D11" s="634"/>
    </row>
    <row r="12" spans="1:4" x14ac:dyDescent="0.25">
      <c r="A12" s="603">
        <v>6</v>
      </c>
      <c r="B12" s="636" t="s">
        <v>642</v>
      </c>
      <c r="C12" s="601">
        <v>195135</v>
      </c>
      <c r="D12" s="634"/>
    </row>
    <row r="13" spans="1:4" x14ac:dyDescent="0.25">
      <c r="A13" s="603">
        <v>7</v>
      </c>
      <c r="B13" s="636" t="s">
        <v>643</v>
      </c>
      <c r="C13" s="602">
        <f>'20. Reserves'!C11</f>
        <v>4908.4400000000005</v>
      </c>
      <c r="D13" s="634"/>
    </row>
    <row r="14" spans="1:4" x14ac:dyDescent="0.25">
      <c r="A14" s="603">
        <v>8</v>
      </c>
      <c r="B14" s="636" t="s">
        <v>644</v>
      </c>
      <c r="C14" s="602"/>
      <c r="D14" s="603"/>
    </row>
    <row r="15" spans="1:4" x14ac:dyDescent="0.25">
      <c r="A15" s="603">
        <v>9</v>
      </c>
      <c r="B15" s="636" t="s">
        <v>645</v>
      </c>
      <c r="C15" s="602"/>
      <c r="D15" s="603"/>
    </row>
    <row r="16" spans="1:4" x14ac:dyDescent="0.25">
      <c r="A16" s="603">
        <v>10</v>
      </c>
      <c r="B16" s="636" t="s">
        <v>646</v>
      </c>
      <c r="C16" s="602"/>
      <c r="D16" s="603"/>
    </row>
    <row r="17" spans="1:4" ht="25.5" x14ac:dyDescent="0.25">
      <c r="A17" s="603">
        <v>11</v>
      </c>
      <c r="B17" s="636" t="s">
        <v>647</v>
      </c>
      <c r="C17" s="602"/>
      <c r="D17" s="634"/>
    </row>
    <row r="18" spans="1:4" x14ac:dyDescent="0.25">
      <c r="A18" s="608">
        <v>12</v>
      </c>
      <c r="B18" s="637" t="s">
        <v>648</v>
      </c>
      <c r="C18" s="739">
        <f>SUM(C7:C9,-C10)</f>
        <v>825350.54927183501</v>
      </c>
      <c r="D18" s="634"/>
    </row>
    <row r="19" spans="1:4" x14ac:dyDescent="0.25">
      <c r="C19" s="737"/>
    </row>
    <row r="20" spans="1:4" x14ac:dyDescent="0.25">
      <c r="C20" s="738"/>
    </row>
    <row r="21" spans="1:4" x14ac:dyDescent="0.25">
      <c r="B21" s="579"/>
    </row>
    <row r="22" spans="1:4" x14ac:dyDescent="0.25">
      <c r="B22" s="638"/>
    </row>
    <row r="23" spans="1:4" x14ac:dyDescent="0.25">
      <c r="B23" s="582"/>
    </row>
    <row r="24" spans="1:4" x14ac:dyDescent="0.25">
      <c r="C24" s="632"/>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C381-7AE4-4D0D-97BA-22B717DCE2EB}">
  <dimension ref="A1:AB28"/>
  <sheetViews>
    <sheetView showGridLines="0" zoomScale="110" zoomScaleNormal="110" workbookViewId="0">
      <selection activeCell="C8" sqref="C8"/>
    </sheetView>
  </sheetViews>
  <sheetFormatPr defaultColWidth="9.140625" defaultRowHeight="12.75" x14ac:dyDescent="0.25"/>
  <cols>
    <col min="1" max="1" width="11.85546875" style="594" bestFit="1" customWidth="1"/>
    <col min="2" max="2" width="63.85546875" style="594" customWidth="1"/>
    <col min="3" max="3" width="15.5703125" style="594" customWidth="1"/>
    <col min="4" max="4" width="18.28515625" style="594" customWidth="1"/>
    <col min="5" max="6" width="22.28515625" style="594" customWidth="1"/>
    <col min="7" max="7" width="19" style="594" customWidth="1"/>
    <col min="8" max="18" width="22.28515625" style="594" customWidth="1"/>
    <col min="19" max="19" width="23.28515625" style="594" bestFit="1" customWidth="1"/>
    <col min="20" max="26" width="22.28515625" style="594" customWidth="1"/>
    <col min="27" max="27" width="23.28515625" style="594" customWidth="1"/>
    <col min="28" max="28" width="20" style="594" customWidth="1"/>
    <col min="29" max="16384" width="9.140625" style="594"/>
  </cols>
  <sheetData>
    <row r="1" spans="1:28" ht="13.5" x14ac:dyDescent="0.25">
      <c r="A1" s="579" t="s">
        <v>41</v>
      </c>
      <c r="B1" s="22" t="str">
        <f>Info!C2</f>
        <v>სს სილქ ბანკი</v>
      </c>
    </row>
    <row r="2" spans="1:28" x14ac:dyDescent="0.25">
      <c r="A2" s="579" t="s">
        <v>42</v>
      </c>
      <c r="B2" s="581">
        <f>'1. key ratios'!B2</f>
        <v>45473</v>
      </c>
      <c r="C2" s="595"/>
    </row>
    <row r="3" spans="1:28" x14ac:dyDescent="0.25">
      <c r="A3" s="582" t="s">
        <v>744</v>
      </c>
      <c r="E3" s="639"/>
      <c r="F3" s="640"/>
    </row>
    <row r="4" spans="1:28" ht="40.5" customHeight="1" x14ac:dyDescent="0.25">
      <c r="C4" s="632"/>
    </row>
    <row r="5" spans="1:28" ht="15" customHeight="1" x14ac:dyDescent="0.25">
      <c r="A5" s="871" t="s">
        <v>649</v>
      </c>
      <c r="B5" s="872"/>
      <c r="C5" s="863" t="s">
        <v>650</v>
      </c>
      <c r="D5" s="877"/>
      <c r="E5" s="877"/>
      <c r="F5" s="877"/>
      <c r="G5" s="877"/>
      <c r="H5" s="877"/>
      <c r="I5" s="877"/>
      <c r="J5" s="877"/>
      <c r="K5" s="877"/>
      <c r="L5" s="877"/>
      <c r="M5" s="877"/>
      <c r="N5" s="877"/>
      <c r="O5" s="877"/>
      <c r="P5" s="877"/>
      <c r="Q5" s="877"/>
      <c r="R5" s="877"/>
      <c r="S5" s="877"/>
      <c r="T5" s="641"/>
      <c r="U5" s="641"/>
      <c r="V5" s="641"/>
      <c r="W5" s="641"/>
      <c r="X5" s="641"/>
      <c r="Y5" s="641"/>
      <c r="Z5" s="641"/>
      <c r="AA5" s="615"/>
      <c r="AB5" s="639"/>
    </row>
    <row r="6" spans="1:28" x14ac:dyDescent="0.25">
      <c r="A6" s="873"/>
      <c r="B6" s="874"/>
      <c r="C6" s="878" t="s">
        <v>96</v>
      </c>
      <c r="D6" s="880" t="s">
        <v>651</v>
      </c>
      <c r="E6" s="880"/>
      <c r="F6" s="880"/>
      <c r="G6" s="880"/>
      <c r="H6" s="881" t="s">
        <v>652</v>
      </c>
      <c r="I6" s="882"/>
      <c r="J6" s="882"/>
      <c r="K6" s="883"/>
      <c r="L6" s="643"/>
      <c r="M6" s="884" t="s">
        <v>653</v>
      </c>
      <c r="N6" s="884"/>
      <c r="O6" s="884"/>
      <c r="P6" s="884"/>
      <c r="Q6" s="884"/>
      <c r="R6" s="884"/>
      <c r="S6" s="862"/>
      <c r="T6" s="642"/>
      <c r="U6" s="864" t="s">
        <v>654</v>
      </c>
      <c r="V6" s="864"/>
      <c r="W6" s="864"/>
      <c r="X6" s="864"/>
      <c r="Y6" s="864"/>
      <c r="Z6" s="864"/>
      <c r="AA6" s="860"/>
      <c r="AB6" s="643"/>
    </row>
    <row r="7" spans="1:28" ht="25.5" x14ac:dyDescent="0.25">
      <c r="A7" s="875"/>
      <c r="B7" s="876"/>
      <c r="C7" s="879"/>
      <c r="D7" s="645"/>
      <c r="E7" s="597" t="s">
        <v>655</v>
      </c>
      <c r="F7" s="597" t="s">
        <v>656</v>
      </c>
      <c r="G7" s="597" t="s">
        <v>657</v>
      </c>
      <c r="H7" s="646"/>
      <c r="I7" s="597" t="s">
        <v>655</v>
      </c>
      <c r="J7" s="597" t="s">
        <v>656</v>
      </c>
      <c r="K7" s="597" t="s">
        <v>657</v>
      </c>
      <c r="L7" s="644"/>
      <c r="M7" s="597" t="s">
        <v>655</v>
      </c>
      <c r="N7" s="597" t="s">
        <v>656</v>
      </c>
      <c r="O7" s="597" t="s">
        <v>658</v>
      </c>
      <c r="P7" s="597" t="s">
        <v>659</v>
      </c>
      <c r="Q7" s="597" t="s">
        <v>660</v>
      </c>
      <c r="R7" s="597" t="s">
        <v>661</v>
      </c>
      <c r="S7" s="597" t="s">
        <v>662</v>
      </c>
      <c r="T7" s="599"/>
      <c r="U7" s="597" t="s">
        <v>655</v>
      </c>
      <c r="V7" s="597" t="s">
        <v>656</v>
      </c>
      <c r="W7" s="597" t="s">
        <v>658</v>
      </c>
      <c r="X7" s="597" t="s">
        <v>659</v>
      </c>
      <c r="Y7" s="597" t="s">
        <v>660</v>
      </c>
      <c r="Z7" s="597" t="s">
        <v>661</v>
      </c>
      <c r="AA7" s="597" t="s">
        <v>662</v>
      </c>
      <c r="AB7" s="639"/>
    </row>
    <row r="8" spans="1:28" x14ac:dyDescent="0.25">
      <c r="A8" s="647">
        <v>1</v>
      </c>
      <c r="B8" s="608" t="s">
        <v>622</v>
      </c>
      <c r="C8" s="618">
        <f>D8+H8+L8</f>
        <v>87667282.860353455</v>
      </c>
      <c r="D8" s="601">
        <f>D13+D14</f>
        <v>86383957.228044361</v>
      </c>
      <c r="E8" s="601">
        <f t="shared" ref="E8:AA8" si="0">E13+E14</f>
        <v>208922.46229702592</v>
      </c>
      <c r="F8" s="601">
        <f t="shared" si="0"/>
        <v>0</v>
      </c>
      <c r="G8" s="601">
        <f t="shared" si="0"/>
        <v>0</v>
      </c>
      <c r="H8" s="601">
        <f t="shared" si="0"/>
        <v>457976.01478532818</v>
      </c>
      <c r="I8" s="601">
        <f t="shared" si="0"/>
        <v>10680.277186858317</v>
      </c>
      <c r="J8" s="601">
        <f t="shared" si="0"/>
        <v>239179.6897108246</v>
      </c>
      <c r="K8" s="601">
        <f t="shared" si="0"/>
        <v>0</v>
      </c>
      <c r="L8" s="601">
        <f t="shared" si="0"/>
        <v>825349.61752375436</v>
      </c>
      <c r="M8" s="601">
        <f t="shared" si="0"/>
        <v>254865.47000000006</v>
      </c>
      <c r="N8" s="601">
        <f t="shared" si="0"/>
        <v>81152.319999999992</v>
      </c>
      <c r="O8" s="601">
        <f t="shared" si="0"/>
        <v>23572.08403111064</v>
      </c>
      <c r="P8" s="601">
        <f t="shared" si="0"/>
        <v>119114.09349264372</v>
      </c>
      <c r="Q8" s="601">
        <f t="shared" si="0"/>
        <v>0</v>
      </c>
      <c r="R8" s="601">
        <f t="shared" si="0"/>
        <v>144338.21</v>
      </c>
      <c r="S8" s="601">
        <f t="shared" si="0"/>
        <v>0</v>
      </c>
      <c r="T8" s="601">
        <f t="shared" si="0"/>
        <v>0</v>
      </c>
      <c r="U8" s="601">
        <f t="shared" si="0"/>
        <v>0</v>
      </c>
      <c r="V8" s="601">
        <f t="shared" si="0"/>
        <v>0</v>
      </c>
      <c r="W8" s="601">
        <f t="shared" si="0"/>
        <v>0</v>
      </c>
      <c r="X8" s="601">
        <f t="shared" si="0"/>
        <v>0</v>
      </c>
      <c r="Y8" s="601">
        <f t="shared" si="0"/>
        <v>0</v>
      </c>
      <c r="Z8" s="601">
        <f t="shared" si="0"/>
        <v>0</v>
      </c>
      <c r="AA8" s="601">
        <f t="shared" si="0"/>
        <v>0</v>
      </c>
    </row>
    <row r="9" spans="1:28" x14ac:dyDescent="0.25">
      <c r="A9" s="603">
        <v>1.1000000000000001</v>
      </c>
      <c r="B9" s="625" t="s">
        <v>663</v>
      </c>
      <c r="C9" s="618">
        <f t="shared" ref="C9:C14" si="1">D9+H9+L9</f>
        <v>0</v>
      </c>
      <c r="D9" s="601"/>
      <c r="E9" s="601"/>
      <c r="F9" s="601"/>
      <c r="G9" s="601"/>
      <c r="H9" s="601"/>
      <c r="I9" s="601"/>
      <c r="J9" s="601"/>
      <c r="K9" s="601"/>
      <c r="L9" s="601"/>
      <c r="M9" s="601"/>
      <c r="N9" s="601"/>
      <c r="O9" s="601"/>
      <c r="P9" s="601"/>
      <c r="Q9" s="601"/>
      <c r="R9" s="601"/>
      <c r="S9" s="601"/>
      <c r="T9" s="601"/>
      <c r="U9" s="601"/>
      <c r="V9" s="601"/>
      <c r="W9" s="601"/>
      <c r="X9" s="601"/>
      <c r="Y9" s="601"/>
      <c r="Z9" s="601"/>
      <c r="AA9" s="601"/>
    </row>
    <row r="10" spans="1:28" x14ac:dyDescent="0.25">
      <c r="A10" s="603">
        <v>1.2</v>
      </c>
      <c r="B10" s="625" t="s">
        <v>664</v>
      </c>
      <c r="C10" s="618">
        <f t="shared" si="1"/>
        <v>0</v>
      </c>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row>
    <row r="11" spans="1:28" x14ac:dyDescent="0.25">
      <c r="A11" s="603">
        <v>1.3</v>
      </c>
      <c r="B11" s="625" t="s">
        <v>665</v>
      </c>
      <c r="C11" s="618">
        <f t="shared" si="1"/>
        <v>0</v>
      </c>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row>
    <row r="12" spans="1:28" x14ac:dyDescent="0.25">
      <c r="A12" s="603">
        <v>1.4</v>
      </c>
      <c r="B12" s="625" t="s">
        <v>666</v>
      </c>
      <c r="C12" s="618">
        <f t="shared" si="1"/>
        <v>0</v>
      </c>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row>
    <row r="13" spans="1:28" x14ac:dyDescent="0.25">
      <c r="A13" s="603">
        <v>1.5</v>
      </c>
      <c r="B13" s="625" t="s">
        <v>667</v>
      </c>
      <c r="C13" s="618">
        <f t="shared" si="1"/>
        <v>65983670.635634005</v>
      </c>
      <c r="D13" s="601">
        <v>65675434.090458661</v>
      </c>
      <c r="E13" s="602">
        <v>0</v>
      </c>
      <c r="F13" s="602">
        <v>0</v>
      </c>
      <c r="G13" s="602">
        <v>0</v>
      </c>
      <c r="H13" s="602">
        <v>163898.33517534143</v>
      </c>
      <c r="I13" s="602">
        <v>0</v>
      </c>
      <c r="J13" s="602">
        <v>163898.33517534143</v>
      </c>
      <c r="K13" s="602">
        <v>0</v>
      </c>
      <c r="L13" s="602">
        <v>144338.21</v>
      </c>
      <c r="M13" s="602">
        <v>0</v>
      </c>
      <c r="N13" s="602">
        <v>0</v>
      </c>
      <c r="O13" s="602">
        <v>0</v>
      </c>
      <c r="P13" s="602">
        <v>0</v>
      </c>
      <c r="Q13" s="602">
        <v>0</v>
      </c>
      <c r="R13" s="602">
        <v>144338.21</v>
      </c>
      <c r="S13" s="602">
        <v>0</v>
      </c>
      <c r="T13" s="602"/>
      <c r="U13" s="602"/>
      <c r="V13" s="602"/>
      <c r="W13" s="602"/>
      <c r="X13" s="602"/>
      <c r="Y13" s="602"/>
      <c r="Z13" s="602"/>
      <c r="AA13" s="602"/>
    </row>
    <row r="14" spans="1:28" x14ac:dyDescent="0.25">
      <c r="A14" s="603">
        <v>1.6</v>
      </c>
      <c r="B14" s="625" t="s">
        <v>668</v>
      </c>
      <c r="C14" s="618">
        <f t="shared" si="1"/>
        <v>21683612.224719442</v>
      </c>
      <c r="D14" s="601">
        <v>20708523.1375857</v>
      </c>
      <c r="E14" s="602">
        <v>208922.46229702592</v>
      </c>
      <c r="F14" s="602">
        <v>0</v>
      </c>
      <c r="G14" s="602">
        <v>0</v>
      </c>
      <c r="H14" s="602">
        <v>294077.67960998678</v>
      </c>
      <c r="I14" s="602">
        <v>10680.277186858317</v>
      </c>
      <c r="J14" s="602">
        <v>75281.354535483173</v>
      </c>
      <c r="K14" s="602">
        <v>0</v>
      </c>
      <c r="L14" s="602">
        <v>681011.4075237544</v>
      </c>
      <c r="M14" s="602">
        <v>254865.47000000006</v>
      </c>
      <c r="N14" s="602">
        <v>81152.319999999992</v>
      </c>
      <c r="O14" s="602">
        <v>23572.08403111064</v>
      </c>
      <c r="P14" s="602">
        <v>119114.09349264372</v>
      </c>
      <c r="Q14" s="602">
        <v>0</v>
      </c>
      <c r="R14" s="602">
        <v>0</v>
      </c>
      <c r="S14" s="602">
        <v>0</v>
      </c>
      <c r="T14" s="602"/>
      <c r="U14" s="602"/>
      <c r="V14" s="602"/>
      <c r="W14" s="602"/>
      <c r="X14" s="602"/>
      <c r="Y14" s="602"/>
      <c r="Z14" s="602"/>
      <c r="AA14" s="602"/>
    </row>
    <row r="15" spans="1:28" x14ac:dyDescent="0.25">
      <c r="A15" s="647">
        <v>2</v>
      </c>
      <c r="B15" s="608" t="s">
        <v>108</v>
      </c>
      <c r="C15" s="740">
        <f>C17</f>
        <v>26875030.509999998</v>
      </c>
      <c r="D15" s="773">
        <f>D17</f>
        <v>26875030.509999998</v>
      </c>
      <c r="E15" s="603"/>
      <c r="F15" s="603"/>
      <c r="G15" s="603"/>
      <c r="H15" s="603"/>
      <c r="I15" s="603"/>
      <c r="J15" s="603"/>
      <c r="K15" s="603"/>
      <c r="L15" s="603"/>
      <c r="M15" s="603"/>
      <c r="N15" s="603"/>
      <c r="O15" s="603"/>
      <c r="P15" s="603"/>
      <c r="Q15" s="603"/>
      <c r="R15" s="603"/>
      <c r="S15" s="603"/>
      <c r="T15" s="603"/>
      <c r="U15" s="603"/>
      <c r="V15" s="603"/>
      <c r="W15" s="603"/>
      <c r="X15" s="603"/>
      <c r="Y15" s="603"/>
      <c r="Z15" s="603"/>
      <c r="AA15" s="603"/>
    </row>
    <row r="16" spans="1:28" x14ac:dyDescent="0.25">
      <c r="A16" s="603">
        <v>2.1</v>
      </c>
      <c r="B16" s="625" t="s">
        <v>663</v>
      </c>
      <c r="C16" s="625"/>
      <c r="D16" s="603"/>
      <c r="E16" s="603"/>
      <c r="F16" s="603"/>
      <c r="G16" s="603"/>
      <c r="H16" s="603"/>
      <c r="I16" s="603"/>
      <c r="J16" s="603"/>
      <c r="K16" s="603"/>
      <c r="L16" s="603"/>
      <c r="M16" s="603"/>
      <c r="N16" s="603"/>
      <c r="O16" s="603"/>
      <c r="P16" s="603"/>
      <c r="Q16" s="603"/>
      <c r="R16" s="603"/>
      <c r="S16" s="603"/>
      <c r="T16" s="603"/>
      <c r="U16" s="603"/>
      <c r="V16" s="603"/>
      <c r="W16" s="603"/>
      <c r="X16" s="603"/>
      <c r="Y16" s="603"/>
      <c r="Z16" s="603"/>
      <c r="AA16" s="603"/>
    </row>
    <row r="17" spans="1:27" x14ac:dyDescent="0.25">
      <c r="A17" s="603">
        <v>2.2000000000000002</v>
      </c>
      <c r="B17" s="625" t="s">
        <v>664</v>
      </c>
      <c r="C17" s="741">
        <f>D17+H17+L17</f>
        <v>26875030.509999998</v>
      </c>
      <c r="D17" s="602">
        <v>26875030.509999998</v>
      </c>
      <c r="E17" s="603"/>
      <c r="F17" s="603"/>
      <c r="G17" s="603"/>
      <c r="H17" s="603"/>
      <c r="I17" s="603"/>
      <c r="J17" s="603"/>
      <c r="K17" s="603"/>
      <c r="L17" s="603"/>
      <c r="M17" s="603"/>
      <c r="N17" s="603"/>
      <c r="O17" s="603"/>
      <c r="P17" s="603"/>
      <c r="Q17" s="603"/>
      <c r="R17" s="603"/>
      <c r="S17" s="603"/>
      <c r="T17" s="603"/>
      <c r="U17" s="603"/>
      <c r="V17" s="603"/>
      <c r="W17" s="603"/>
      <c r="X17" s="603"/>
      <c r="Y17" s="603"/>
      <c r="Z17" s="603"/>
      <c r="AA17" s="603"/>
    </row>
    <row r="18" spans="1:27" x14ac:dyDescent="0.25">
      <c r="A18" s="603">
        <v>2.2999999999999998</v>
      </c>
      <c r="B18" s="625" t="s">
        <v>665</v>
      </c>
      <c r="C18" s="625"/>
      <c r="D18" s="603"/>
      <c r="E18" s="603"/>
      <c r="G18" s="603"/>
      <c r="H18" s="603"/>
      <c r="I18" s="603"/>
      <c r="J18" s="603"/>
      <c r="K18" s="603"/>
      <c r="L18" s="603"/>
      <c r="M18" s="603"/>
      <c r="N18" s="603"/>
      <c r="O18" s="603"/>
      <c r="P18" s="603"/>
      <c r="Q18" s="603"/>
      <c r="R18" s="603"/>
      <c r="S18" s="603"/>
      <c r="T18" s="603"/>
      <c r="U18" s="603"/>
      <c r="V18" s="603"/>
      <c r="W18" s="603"/>
      <c r="X18" s="603"/>
      <c r="Y18" s="603"/>
      <c r="Z18" s="603"/>
      <c r="AA18" s="603"/>
    </row>
    <row r="19" spans="1:27" x14ac:dyDescent="0.25">
      <c r="A19" s="603">
        <v>2.4</v>
      </c>
      <c r="B19" s="625" t="s">
        <v>666</v>
      </c>
      <c r="C19" s="625"/>
      <c r="D19" s="603"/>
      <c r="E19" s="603"/>
      <c r="F19" s="603"/>
      <c r="G19" s="603"/>
      <c r="H19" s="603"/>
      <c r="I19" s="603"/>
      <c r="J19" s="603"/>
      <c r="K19" s="603"/>
      <c r="L19" s="603"/>
      <c r="M19" s="603"/>
      <c r="N19" s="603"/>
      <c r="O19" s="603"/>
      <c r="P19" s="603"/>
      <c r="Q19" s="603"/>
      <c r="R19" s="603"/>
      <c r="S19" s="603"/>
      <c r="T19" s="603"/>
      <c r="U19" s="603"/>
      <c r="V19" s="603"/>
      <c r="W19" s="603"/>
      <c r="X19" s="603"/>
      <c r="Y19" s="603"/>
      <c r="Z19" s="603"/>
      <c r="AA19" s="603"/>
    </row>
    <row r="20" spans="1:27" x14ac:dyDescent="0.25">
      <c r="A20" s="603">
        <v>2.5</v>
      </c>
      <c r="B20" s="625" t="s">
        <v>667</v>
      </c>
      <c r="C20" s="625"/>
      <c r="D20" s="603"/>
      <c r="E20" s="603"/>
      <c r="F20" s="603"/>
      <c r="G20" s="603"/>
      <c r="H20" s="603"/>
      <c r="I20" s="603"/>
      <c r="J20" s="603"/>
      <c r="K20" s="603"/>
      <c r="L20" s="603"/>
      <c r="M20" s="603"/>
      <c r="N20" s="603"/>
      <c r="O20" s="603"/>
      <c r="P20" s="603"/>
      <c r="Q20" s="603"/>
      <c r="R20" s="603"/>
      <c r="S20" s="603"/>
      <c r="T20" s="603"/>
      <c r="U20" s="603"/>
      <c r="V20" s="603"/>
      <c r="W20" s="603"/>
      <c r="X20" s="603"/>
      <c r="Y20" s="603"/>
      <c r="Z20" s="603"/>
      <c r="AA20" s="603"/>
    </row>
    <row r="21" spans="1:27" x14ac:dyDescent="0.25">
      <c r="A21" s="603">
        <v>2.6</v>
      </c>
      <c r="B21" s="625" t="s">
        <v>668</v>
      </c>
      <c r="C21" s="625"/>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row>
    <row r="22" spans="1:27" x14ac:dyDescent="0.25">
      <c r="A22" s="647">
        <v>3</v>
      </c>
      <c r="B22" s="648" t="s">
        <v>669</v>
      </c>
      <c r="C22" s="742">
        <f>C27+C28</f>
        <v>10115406</v>
      </c>
      <c r="D22" s="774">
        <f>D27+D28</f>
        <v>5792456</v>
      </c>
      <c r="E22" s="649"/>
      <c r="F22" s="649"/>
      <c r="G22" s="649"/>
      <c r="H22" s="649"/>
      <c r="I22" s="649"/>
      <c r="J22" s="649"/>
      <c r="K22" s="649"/>
      <c r="L22" s="649"/>
      <c r="M22" s="649"/>
      <c r="N22" s="649"/>
      <c r="O22" s="649"/>
      <c r="P22" s="649"/>
      <c r="Q22" s="649"/>
      <c r="R22" s="649"/>
      <c r="S22" s="649"/>
      <c r="T22" s="649"/>
      <c r="U22" s="649"/>
      <c r="V22" s="649"/>
      <c r="W22" s="649"/>
      <c r="X22" s="649"/>
      <c r="Y22" s="649"/>
      <c r="Z22" s="649"/>
      <c r="AA22" s="649"/>
    </row>
    <row r="23" spans="1:27" x14ac:dyDescent="0.25">
      <c r="A23" s="603">
        <v>3.1</v>
      </c>
      <c r="B23" s="625" t="s">
        <v>663</v>
      </c>
      <c r="C23" s="625"/>
      <c r="D23" s="608"/>
      <c r="E23" s="649"/>
      <c r="F23" s="649"/>
      <c r="G23" s="649"/>
      <c r="H23" s="649"/>
      <c r="I23" s="649"/>
      <c r="J23" s="649"/>
      <c r="K23" s="649"/>
      <c r="L23" s="649"/>
      <c r="M23" s="649"/>
      <c r="N23" s="649"/>
      <c r="O23" s="649"/>
      <c r="P23" s="649"/>
      <c r="Q23" s="649"/>
      <c r="R23" s="649"/>
      <c r="S23" s="649"/>
      <c r="T23" s="649"/>
      <c r="U23" s="649"/>
      <c r="V23" s="649"/>
      <c r="W23" s="649"/>
      <c r="X23" s="649"/>
      <c r="Y23" s="649"/>
      <c r="Z23" s="649"/>
      <c r="AA23" s="649"/>
    </row>
    <row r="24" spans="1:27" x14ac:dyDescent="0.25">
      <c r="A24" s="603">
        <v>3.2</v>
      </c>
      <c r="B24" s="625" t="s">
        <v>664</v>
      </c>
      <c r="C24" s="625"/>
      <c r="D24" s="608"/>
      <c r="E24" s="649"/>
      <c r="F24" s="649"/>
      <c r="G24" s="649"/>
      <c r="H24" s="649"/>
      <c r="I24" s="649"/>
      <c r="J24" s="649"/>
      <c r="K24" s="649"/>
      <c r="L24" s="649"/>
      <c r="M24" s="649"/>
      <c r="N24" s="649"/>
      <c r="O24" s="649"/>
      <c r="P24" s="649"/>
      <c r="Q24" s="649"/>
      <c r="R24" s="649"/>
      <c r="S24" s="649"/>
      <c r="T24" s="649"/>
      <c r="U24" s="649"/>
      <c r="V24" s="649"/>
      <c r="W24" s="649"/>
      <c r="X24" s="649"/>
      <c r="Y24" s="649"/>
      <c r="Z24" s="649"/>
      <c r="AA24" s="649"/>
    </row>
    <row r="25" spans="1:27" x14ac:dyDescent="0.25">
      <c r="A25" s="603">
        <v>3.3</v>
      </c>
      <c r="B25" s="625" t="s">
        <v>665</v>
      </c>
      <c r="C25" s="625"/>
      <c r="D25" s="608"/>
      <c r="E25" s="649"/>
      <c r="F25" s="649"/>
      <c r="G25" s="649"/>
      <c r="H25" s="649"/>
      <c r="I25" s="649"/>
      <c r="J25" s="649"/>
      <c r="K25" s="649"/>
      <c r="L25" s="649"/>
      <c r="M25" s="649"/>
      <c r="N25" s="649"/>
      <c r="O25" s="649"/>
      <c r="P25" s="649"/>
      <c r="Q25" s="649"/>
      <c r="R25" s="649"/>
      <c r="S25" s="649"/>
      <c r="T25" s="649"/>
      <c r="U25" s="649"/>
      <c r="V25" s="649"/>
      <c r="W25" s="649"/>
      <c r="X25" s="649"/>
      <c r="Y25" s="649"/>
      <c r="Z25" s="649"/>
      <c r="AA25" s="649"/>
    </row>
    <row r="26" spans="1:27" x14ac:dyDescent="0.25">
      <c r="A26" s="603">
        <v>3.4</v>
      </c>
      <c r="B26" s="625" t="s">
        <v>666</v>
      </c>
      <c r="C26" s="625"/>
      <c r="D26" s="608"/>
      <c r="E26" s="649"/>
      <c r="F26" s="649"/>
      <c r="G26" s="649"/>
      <c r="H26" s="649"/>
      <c r="I26" s="649"/>
      <c r="J26" s="649"/>
      <c r="K26" s="649"/>
      <c r="L26" s="649"/>
      <c r="M26" s="649"/>
      <c r="N26" s="649"/>
      <c r="O26" s="649"/>
      <c r="P26" s="649"/>
      <c r="Q26" s="649"/>
      <c r="R26" s="649"/>
      <c r="S26" s="649"/>
      <c r="T26" s="649"/>
      <c r="U26" s="649"/>
      <c r="V26" s="649"/>
      <c r="W26" s="649"/>
      <c r="X26" s="649"/>
      <c r="Y26" s="649"/>
      <c r="Z26" s="649"/>
      <c r="AA26" s="649"/>
    </row>
    <row r="27" spans="1:27" x14ac:dyDescent="0.25">
      <c r="A27" s="603">
        <v>3.5</v>
      </c>
      <c r="B27" s="625" t="s">
        <v>667</v>
      </c>
      <c r="C27" s="743">
        <f>D27+H27+L27</f>
        <v>5792456</v>
      </c>
      <c r="D27" s="726">
        <f>'4. Off-balance'!E28</f>
        <v>5792456</v>
      </c>
      <c r="E27" s="649"/>
      <c r="F27" s="649"/>
      <c r="G27" s="649"/>
      <c r="H27" s="649"/>
      <c r="I27" s="649"/>
      <c r="J27" s="649"/>
      <c r="K27" s="649"/>
      <c r="L27" s="649"/>
      <c r="M27" s="649"/>
      <c r="N27" s="649"/>
      <c r="O27" s="649"/>
      <c r="P27" s="649"/>
      <c r="Q27" s="649"/>
      <c r="R27" s="649"/>
      <c r="S27" s="649"/>
      <c r="T27" s="649"/>
      <c r="U27" s="649"/>
      <c r="V27" s="649"/>
      <c r="W27" s="649"/>
      <c r="X27" s="649"/>
      <c r="Y27" s="649"/>
      <c r="Z27" s="649"/>
      <c r="AA27" s="649"/>
    </row>
    <row r="28" spans="1:27" x14ac:dyDescent="0.25">
      <c r="A28" s="603">
        <v>3.6</v>
      </c>
      <c r="B28" s="625" t="s">
        <v>668</v>
      </c>
      <c r="C28" s="743">
        <f>'4. Off-balance'!E27</f>
        <v>4322950</v>
      </c>
      <c r="D28" s="625"/>
      <c r="E28" s="649"/>
      <c r="F28" s="649"/>
      <c r="G28" s="649"/>
      <c r="H28" s="649"/>
      <c r="I28" s="649"/>
      <c r="J28" s="649"/>
      <c r="K28" s="649"/>
      <c r="L28" s="649"/>
      <c r="M28" s="649"/>
      <c r="N28" s="649"/>
      <c r="O28" s="649"/>
      <c r="P28" s="649"/>
      <c r="Q28" s="649"/>
      <c r="R28" s="649"/>
      <c r="S28" s="649"/>
      <c r="T28" s="649"/>
      <c r="U28" s="649"/>
      <c r="V28" s="649"/>
      <c r="W28" s="649"/>
      <c r="X28" s="649"/>
      <c r="Y28" s="649"/>
      <c r="Z28" s="649"/>
      <c r="AA28" s="649"/>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39C84-BA09-459C-AC61-3BBA14ABD9B5}">
  <dimension ref="A1:AA22"/>
  <sheetViews>
    <sheetView showGridLines="0" zoomScaleNormal="100" workbookViewId="0">
      <selection activeCell="C16" sqref="C16"/>
    </sheetView>
  </sheetViews>
  <sheetFormatPr defaultColWidth="9.140625" defaultRowHeight="12.75" x14ac:dyDescent="0.25"/>
  <cols>
    <col min="1" max="1" width="11.85546875" style="594" bestFit="1" customWidth="1"/>
    <col min="2" max="2" width="90.28515625" style="594" bestFit="1" customWidth="1"/>
    <col min="3" max="3" width="20.140625" style="594" customWidth="1"/>
    <col min="4" max="4" width="17" style="594" customWidth="1"/>
    <col min="5" max="5" width="15" style="594" customWidth="1"/>
    <col min="6" max="6" width="17.140625" style="594" customWidth="1"/>
    <col min="7" max="7" width="15.140625" style="594" customWidth="1"/>
    <col min="8" max="8" width="11.7109375" style="594" customWidth="1"/>
    <col min="9" max="9" width="15" style="594" customWidth="1"/>
    <col min="10" max="10" width="14.85546875" style="594" customWidth="1"/>
    <col min="11" max="11" width="14.5703125" style="594" customWidth="1"/>
    <col min="12" max="12" width="13" style="594" customWidth="1"/>
    <col min="13" max="13" width="16.7109375" style="594" customWidth="1"/>
    <col min="14" max="14" width="19.28515625" style="594" customWidth="1"/>
    <col min="15" max="15" width="20.7109375" style="594" customWidth="1"/>
    <col min="16" max="16" width="20.140625" style="594" customWidth="1"/>
    <col min="17" max="17" width="18.85546875" style="594" customWidth="1"/>
    <col min="18" max="18" width="22.28515625" style="594" customWidth="1"/>
    <col min="19" max="19" width="18.85546875" style="594" customWidth="1"/>
    <col min="20" max="20" width="14.140625" style="594" customWidth="1"/>
    <col min="21" max="22" width="19.140625" style="594" customWidth="1"/>
    <col min="23" max="27" width="17.85546875" style="594" customWidth="1"/>
    <col min="28" max="16384" width="9.140625" style="594"/>
  </cols>
  <sheetData>
    <row r="1" spans="1:27" ht="13.5" x14ac:dyDescent="0.25">
      <c r="A1" s="579" t="s">
        <v>41</v>
      </c>
      <c r="B1" s="22" t="str">
        <f>Info!C2</f>
        <v>სს სილქ ბანკი</v>
      </c>
    </row>
    <row r="2" spans="1:27" x14ac:dyDescent="0.25">
      <c r="A2" s="579" t="s">
        <v>42</v>
      </c>
      <c r="B2" s="581">
        <f>'1. key ratios'!B2</f>
        <v>45473</v>
      </c>
    </row>
    <row r="3" spans="1:27" x14ac:dyDescent="0.25">
      <c r="A3" s="582" t="s">
        <v>670</v>
      </c>
      <c r="C3" s="650"/>
    </row>
    <row r="4" spans="1:27" ht="40.5" customHeight="1" thickBot="1" x14ac:dyDescent="0.3">
      <c r="A4" s="582"/>
      <c r="B4" s="650"/>
      <c r="C4" s="650"/>
    </row>
    <row r="5" spans="1:27" ht="13.5" customHeight="1" x14ac:dyDescent="0.25">
      <c r="A5" s="885" t="s">
        <v>671</v>
      </c>
      <c r="B5" s="886"/>
      <c r="C5" s="891" t="s">
        <v>672</v>
      </c>
      <c r="D5" s="892"/>
      <c r="E5" s="892"/>
      <c r="F5" s="892"/>
      <c r="G5" s="892"/>
      <c r="H5" s="892"/>
      <c r="I5" s="892"/>
      <c r="J5" s="892"/>
      <c r="K5" s="892"/>
      <c r="L5" s="892"/>
      <c r="M5" s="892"/>
      <c r="N5" s="892"/>
      <c r="O5" s="892"/>
      <c r="P5" s="892"/>
      <c r="Q5" s="892"/>
      <c r="R5" s="892"/>
      <c r="S5" s="892"/>
      <c r="T5" s="892"/>
      <c r="U5" s="892"/>
      <c r="V5" s="892"/>
      <c r="W5" s="892"/>
      <c r="X5" s="892"/>
      <c r="Y5" s="892"/>
      <c r="Z5" s="892"/>
      <c r="AA5" s="893"/>
    </row>
    <row r="6" spans="1:27" ht="12" customHeight="1" x14ac:dyDescent="0.25">
      <c r="A6" s="887"/>
      <c r="B6" s="888"/>
      <c r="C6" s="894" t="s">
        <v>96</v>
      </c>
      <c r="D6" s="861" t="s">
        <v>651</v>
      </c>
      <c r="E6" s="861"/>
      <c r="F6" s="861"/>
      <c r="G6" s="861"/>
      <c r="H6" s="881" t="s">
        <v>652</v>
      </c>
      <c r="I6" s="882"/>
      <c r="J6" s="882"/>
      <c r="K6" s="882"/>
      <c r="L6" s="642"/>
      <c r="M6" s="864" t="s">
        <v>653</v>
      </c>
      <c r="N6" s="864"/>
      <c r="O6" s="864"/>
      <c r="P6" s="864"/>
      <c r="Q6" s="864"/>
      <c r="R6" s="864"/>
      <c r="S6" s="860"/>
      <c r="T6" s="642"/>
      <c r="U6" s="864" t="s">
        <v>654</v>
      </c>
      <c r="V6" s="864"/>
      <c r="W6" s="864"/>
      <c r="X6" s="864"/>
      <c r="Y6" s="864"/>
      <c r="Z6" s="864"/>
      <c r="AA6" s="896"/>
    </row>
    <row r="7" spans="1:27" ht="38.25" x14ac:dyDescent="0.25">
      <c r="A7" s="889"/>
      <c r="B7" s="890"/>
      <c r="C7" s="895"/>
      <c r="D7" s="645"/>
      <c r="E7" s="597" t="s">
        <v>655</v>
      </c>
      <c r="F7" s="597" t="s">
        <v>656</v>
      </c>
      <c r="G7" s="597" t="s">
        <v>657</v>
      </c>
      <c r="H7" s="595"/>
      <c r="I7" s="597" t="s">
        <v>655</v>
      </c>
      <c r="J7" s="597" t="s">
        <v>656</v>
      </c>
      <c r="K7" s="597" t="s">
        <v>657</v>
      </c>
      <c r="L7" s="599"/>
      <c r="M7" s="597" t="s">
        <v>655</v>
      </c>
      <c r="N7" s="597" t="s">
        <v>673</v>
      </c>
      <c r="O7" s="597" t="s">
        <v>674</v>
      </c>
      <c r="P7" s="597" t="s">
        <v>675</v>
      </c>
      <c r="Q7" s="597" t="s">
        <v>676</v>
      </c>
      <c r="R7" s="597" t="s">
        <v>677</v>
      </c>
      <c r="S7" s="597" t="s">
        <v>662</v>
      </c>
      <c r="T7" s="599"/>
      <c r="U7" s="597" t="s">
        <v>655</v>
      </c>
      <c r="V7" s="597" t="s">
        <v>673</v>
      </c>
      <c r="W7" s="597" t="s">
        <v>674</v>
      </c>
      <c r="X7" s="597" t="s">
        <v>675</v>
      </c>
      <c r="Y7" s="597" t="s">
        <v>676</v>
      </c>
      <c r="Z7" s="597" t="s">
        <v>677</v>
      </c>
      <c r="AA7" s="651" t="s">
        <v>662</v>
      </c>
    </row>
    <row r="8" spans="1:27" x14ac:dyDescent="0.25">
      <c r="A8" s="744">
        <v>1</v>
      </c>
      <c r="B8" s="745" t="s">
        <v>622</v>
      </c>
      <c r="C8" s="746">
        <f>'22. Quality'!C8</f>
        <v>87667282.860353455</v>
      </c>
      <c r="D8" s="746">
        <f>'22. Quality'!D8</f>
        <v>86383957.228044361</v>
      </c>
      <c r="E8" s="746">
        <f>'22. Quality'!E8</f>
        <v>208922.46229702592</v>
      </c>
      <c r="F8" s="746">
        <f>'22. Quality'!F8</f>
        <v>0</v>
      </c>
      <c r="G8" s="746">
        <f>'22. Quality'!G8</f>
        <v>0</v>
      </c>
      <c r="H8" s="746">
        <f>'22. Quality'!H8</f>
        <v>457976.01478532818</v>
      </c>
      <c r="I8" s="746">
        <f>'22. Quality'!I8</f>
        <v>10680.277186858317</v>
      </c>
      <c r="J8" s="746">
        <f>'22. Quality'!J8</f>
        <v>239179.6897108246</v>
      </c>
      <c r="K8" s="746">
        <f>'22. Quality'!K8</f>
        <v>0</v>
      </c>
      <c r="L8" s="746">
        <f>'22. Quality'!L8</f>
        <v>825349.61752375436</v>
      </c>
      <c r="M8" s="746">
        <f>'22. Quality'!M8</f>
        <v>254865.47000000006</v>
      </c>
      <c r="N8" s="746">
        <f>'22. Quality'!N8</f>
        <v>81152.319999999992</v>
      </c>
      <c r="O8" s="746">
        <f>'22. Quality'!O8</f>
        <v>23572.08403111064</v>
      </c>
      <c r="P8" s="746">
        <f>'22. Quality'!P8</f>
        <v>119114.09349264372</v>
      </c>
      <c r="Q8" s="746">
        <f>'22. Quality'!Q8</f>
        <v>0</v>
      </c>
      <c r="R8" s="746">
        <f>'22. Quality'!R8</f>
        <v>144338.21</v>
      </c>
      <c r="S8" s="746">
        <f>'22. Quality'!S8</f>
        <v>0</v>
      </c>
      <c r="T8" s="603"/>
      <c r="U8" s="603"/>
      <c r="V8" s="603"/>
      <c r="W8" s="603"/>
      <c r="X8" s="603"/>
      <c r="Y8" s="603"/>
      <c r="Z8" s="603"/>
      <c r="AA8" s="654"/>
    </row>
    <row r="9" spans="1:27" x14ac:dyDescent="0.25">
      <c r="A9" s="747">
        <v>1.1000000000000001</v>
      </c>
      <c r="B9" s="748" t="s">
        <v>678</v>
      </c>
      <c r="C9" s="749">
        <v>74314624.434624434</v>
      </c>
      <c r="D9" s="602">
        <v>73753905.839449078</v>
      </c>
      <c r="E9" s="602">
        <v>122443.76995013723</v>
      </c>
      <c r="F9" s="602">
        <v>0</v>
      </c>
      <c r="G9" s="602">
        <v>0</v>
      </c>
      <c r="H9" s="602">
        <v>272098.55517534143</v>
      </c>
      <c r="I9" s="602">
        <v>3550.9900000000002</v>
      </c>
      <c r="J9" s="602">
        <v>205678.01517534145</v>
      </c>
      <c r="K9" s="602">
        <v>0</v>
      </c>
      <c r="L9" s="602">
        <v>288620.03999999998</v>
      </c>
      <c r="M9" s="602">
        <v>0</v>
      </c>
      <c r="N9" s="602">
        <v>73840.95</v>
      </c>
      <c r="O9" s="602">
        <v>0</v>
      </c>
      <c r="P9" s="602">
        <v>0</v>
      </c>
      <c r="Q9" s="602">
        <v>0</v>
      </c>
      <c r="R9" s="602">
        <v>144338.21</v>
      </c>
      <c r="S9" s="602">
        <v>0</v>
      </c>
      <c r="T9" s="603"/>
      <c r="U9" s="603"/>
      <c r="V9" s="603"/>
      <c r="W9" s="603"/>
      <c r="X9" s="603"/>
      <c r="Y9" s="603"/>
      <c r="Z9" s="603"/>
      <c r="AA9" s="654"/>
    </row>
    <row r="10" spans="1:27" x14ac:dyDescent="0.25">
      <c r="A10" s="750" t="s">
        <v>241</v>
      </c>
      <c r="B10" s="751" t="s">
        <v>679</v>
      </c>
      <c r="C10" s="752">
        <v>61211643.972928926</v>
      </c>
      <c r="D10" s="602">
        <v>60801088.11775358</v>
      </c>
      <c r="E10" s="602">
        <v>0</v>
      </c>
      <c r="F10" s="602">
        <v>0</v>
      </c>
      <c r="G10" s="602">
        <v>0</v>
      </c>
      <c r="H10" s="602">
        <v>195776.76517534142</v>
      </c>
      <c r="I10" s="602">
        <v>0</v>
      </c>
      <c r="J10" s="602">
        <v>163898.33517534143</v>
      </c>
      <c r="K10" s="602">
        <v>0</v>
      </c>
      <c r="L10" s="602">
        <v>214779.08999999997</v>
      </c>
      <c r="M10" s="602">
        <v>0</v>
      </c>
      <c r="N10" s="602">
        <v>0</v>
      </c>
      <c r="O10" s="602">
        <v>0</v>
      </c>
      <c r="P10" s="602">
        <v>0</v>
      </c>
      <c r="Q10" s="602">
        <v>0</v>
      </c>
      <c r="R10" s="602">
        <v>144338.21</v>
      </c>
      <c r="S10" s="602">
        <v>0</v>
      </c>
      <c r="T10" s="603"/>
      <c r="U10" s="603"/>
      <c r="V10" s="603"/>
      <c r="W10" s="603"/>
      <c r="X10" s="603"/>
      <c r="Y10" s="603"/>
      <c r="Z10" s="603"/>
      <c r="AA10" s="654"/>
    </row>
    <row r="11" spans="1:27" x14ac:dyDescent="0.25">
      <c r="A11" s="753" t="s">
        <v>680</v>
      </c>
      <c r="B11" s="754" t="s">
        <v>681</v>
      </c>
      <c r="C11" s="755">
        <v>43541678.834823214</v>
      </c>
      <c r="D11" s="602">
        <v>43131122.979647867</v>
      </c>
      <c r="E11" s="602">
        <v>0</v>
      </c>
      <c r="F11" s="602">
        <v>0</v>
      </c>
      <c r="G11" s="602">
        <v>0</v>
      </c>
      <c r="H11" s="602">
        <v>195776.76517534142</v>
      </c>
      <c r="I11" s="602">
        <v>0</v>
      </c>
      <c r="J11" s="602">
        <v>163898.33517534143</v>
      </c>
      <c r="K11" s="602">
        <v>0</v>
      </c>
      <c r="L11" s="602">
        <v>214779.08999999997</v>
      </c>
      <c r="M11" s="602">
        <v>0</v>
      </c>
      <c r="N11" s="602">
        <v>0</v>
      </c>
      <c r="O11" s="602">
        <v>0</v>
      </c>
      <c r="P11" s="602">
        <v>0</v>
      </c>
      <c r="Q11" s="602">
        <v>0</v>
      </c>
      <c r="R11" s="602">
        <v>144338.21</v>
      </c>
      <c r="S11" s="602">
        <v>0</v>
      </c>
      <c r="T11" s="603"/>
      <c r="U11" s="603"/>
      <c r="V11" s="603"/>
      <c r="W11" s="603"/>
      <c r="X11" s="603"/>
      <c r="Y11" s="603"/>
      <c r="Z11" s="603"/>
      <c r="AA11" s="654"/>
    </row>
    <row r="12" spans="1:27" x14ac:dyDescent="0.25">
      <c r="A12" s="753" t="s">
        <v>682</v>
      </c>
      <c r="B12" s="754" t="s">
        <v>683</v>
      </c>
      <c r="C12" s="755">
        <v>8928351.3775328398</v>
      </c>
      <c r="D12" s="602">
        <v>8928351.3775328398</v>
      </c>
      <c r="E12" s="602">
        <v>0</v>
      </c>
      <c r="F12" s="602">
        <v>0</v>
      </c>
      <c r="G12" s="602">
        <v>0</v>
      </c>
      <c r="H12" s="602">
        <v>0</v>
      </c>
      <c r="I12" s="602">
        <v>0</v>
      </c>
      <c r="J12" s="602">
        <v>0</v>
      </c>
      <c r="K12" s="602">
        <v>0</v>
      </c>
      <c r="L12" s="602">
        <v>0</v>
      </c>
      <c r="M12" s="602">
        <v>0</v>
      </c>
      <c r="N12" s="602">
        <v>0</v>
      </c>
      <c r="O12" s="602">
        <v>0</v>
      </c>
      <c r="P12" s="602">
        <v>0</v>
      </c>
      <c r="Q12" s="602">
        <v>0</v>
      </c>
      <c r="R12" s="602">
        <v>0</v>
      </c>
      <c r="S12" s="602">
        <v>0</v>
      </c>
      <c r="T12" s="603"/>
      <c r="U12" s="603"/>
      <c r="V12" s="603"/>
      <c r="W12" s="603"/>
      <c r="X12" s="603"/>
      <c r="Y12" s="603"/>
      <c r="Z12" s="603"/>
      <c r="AA12" s="654"/>
    </row>
    <row r="13" spans="1:27" x14ac:dyDescent="0.25">
      <c r="A13" s="753" t="s">
        <v>684</v>
      </c>
      <c r="B13" s="754" t="s">
        <v>685</v>
      </c>
      <c r="C13" s="755">
        <v>2672400.3833338637</v>
      </c>
      <c r="D13" s="602">
        <v>2672400.3833338637</v>
      </c>
      <c r="E13" s="602">
        <v>0</v>
      </c>
      <c r="F13" s="602">
        <v>0</v>
      </c>
      <c r="G13" s="602">
        <v>0</v>
      </c>
      <c r="H13" s="602">
        <v>0</v>
      </c>
      <c r="I13" s="602">
        <v>0</v>
      </c>
      <c r="J13" s="602">
        <v>0</v>
      </c>
      <c r="K13" s="602">
        <v>0</v>
      </c>
      <c r="L13" s="602">
        <v>0</v>
      </c>
      <c r="M13" s="602">
        <v>0</v>
      </c>
      <c r="N13" s="602">
        <v>0</v>
      </c>
      <c r="O13" s="602">
        <v>0</v>
      </c>
      <c r="P13" s="602">
        <v>0</v>
      </c>
      <c r="Q13" s="602">
        <v>0</v>
      </c>
      <c r="R13" s="602">
        <v>0</v>
      </c>
      <c r="S13" s="602">
        <v>0</v>
      </c>
      <c r="T13" s="603"/>
      <c r="U13" s="603"/>
      <c r="V13" s="603"/>
      <c r="W13" s="603"/>
      <c r="X13" s="603"/>
      <c r="Y13" s="603"/>
      <c r="Z13" s="603"/>
      <c r="AA13" s="654"/>
    </row>
    <row r="14" spans="1:27" x14ac:dyDescent="0.25">
      <c r="A14" s="753" t="s">
        <v>686</v>
      </c>
      <c r="B14" s="754" t="s">
        <v>687</v>
      </c>
      <c r="C14" s="755">
        <v>6069213.3772389954</v>
      </c>
      <c r="D14" s="602">
        <v>6069213.3772389954</v>
      </c>
      <c r="E14" s="602">
        <v>0</v>
      </c>
      <c r="F14" s="602">
        <v>0</v>
      </c>
      <c r="G14" s="602">
        <v>0</v>
      </c>
      <c r="H14" s="602">
        <v>0</v>
      </c>
      <c r="I14" s="602">
        <v>0</v>
      </c>
      <c r="J14" s="602">
        <v>0</v>
      </c>
      <c r="K14" s="602">
        <v>0</v>
      </c>
      <c r="L14" s="602">
        <v>0</v>
      </c>
      <c r="M14" s="602">
        <v>0</v>
      </c>
      <c r="N14" s="602">
        <v>0</v>
      </c>
      <c r="O14" s="602">
        <v>0</v>
      </c>
      <c r="P14" s="602">
        <v>0</v>
      </c>
      <c r="Q14" s="602">
        <v>0</v>
      </c>
      <c r="R14" s="602">
        <v>0</v>
      </c>
      <c r="S14" s="602">
        <v>0</v>
      </c>
      <c r="T14" s="603"/>
      <c r="U14" s="603"/>
      <c r="V14" s="603"/>
      <c r="W14" s="603"/>
      <c r="X14" s="603"/>
      <c r="Y14" s="603"/>
      <c r="Z14" s="603"/>
      <c r="AA14" s="654"/>
    </row>
    <row r="15" spans="1:27" x14ac:dyDescent="0.25">
      <c r="A15" s="756">
        <v>1.2</v>
      </c>
      <c r="B15" s="757" t="s">
        <v>688</v>
      </c>
      <c r="C15" s="758">
        <v>1207701.5311770134</v>
      </c>
      <c r="D15" s="602">
        <v>960169.25064005342</v>
      </c>
      <c r="E15" s="602">
        <v>4897.7507980054897</v>
      </c>
      <c r="F15" s="602">
        <v>0</v>
      </c>
      <c r="G15" s="602">
        <v>0</v>
      </c>
      <c r="H15" s="602">
        <v>53357.693912572766</v>
      </c>
      <c r="I15" s="602">
        <v>142.03960000000001</v>
      </c>
      <c r="J15" s="602">
        <v>42233.784817842105</v>
      </c>
      <c r="K15" s="602">
        <v>0</v>
      </c>
      <c r="L15" s="602">
        <v>194174.58662438931</v>
      </c>
      <c r="M15" s="602">
        <v>0</v>
      </c>
      <c r="N15" s="602">
        <v>73840.95</v>
      </c>
      <c r="O15" s="602">
        <v>0</v>
      </c>
      <c r="P15" s="602">
        <v>0</v>
      </c>
      <c r="Q15" s="602">
        <v>0</v>
      </c>
      <c r="R15" s="602">
        <v>84638.210696971815</v>
      </c>
      <c r="S15" s="602">
        <v>0</v>
      </c>
      <c r="T15" s="603"/>
      <c r="U15" s="603"/>
      <c r="V15" s="603"/>
      <c r="W15" s="603"/>
      <c r="X15" s="603"/>
      <c r="Y15" s="603"/>
      <c r="Z15" s="603"/>
      <c r="AA15" s="654"/>
    </row>
    <row r="16" spans="1:27" x14ac:dyDescent="0.25">
      <c r="A16" s="753">
        <v>1.3</v>
      </c>
      <c r="B16" s="754" t="s">
        <v>689</v>
      </c>
      <c r="C16" s="755">
        <f>C17+C19</f>
        <v>1146879393.5378668</v>
      </c>
      <c r="D16" s="602">
        <f t="shared" ref="D16:S16" si="0">D17+D19</f>
        <v>1145929579.7378669</v>
      </c>
      <c r="E16" s="602">
        <f t="shared" si="0"/>
        <v>225676.88908195667</v>
      </c>
      <c r="F16" s="602">
        <f t="shared" si="0"/>
        <v>0</v>
      </c>
      <c r="G16" s="602">
        <f t="shared" si="0"/>
        <v>0</v>
      </c>
      <c r="H16" s="602">
        <f t="shared" si="0"/>
        <v>455236.19999999995</v>
      </c>
      <c r="I16" s="602">
        <f t="shared" si="0"/>
        <v>11240.4</v>
      </c>
      <c r="J16" s="602">
        <f t="shared" si="0"/>
        <v>349857.45</v>
      </c>
      <c r="K16" s="602">
        <f t="shared" si="0"/>
        <v>0</v>
      </c>
      <c r="L16" s="602">
        <f t="shared" si="0"/>
        <v>494577.6</v>
      </c>
      <c r="M16" s="602">
        <f t="shared" si="0"/>
        <v>0</v>
      </c>
      <c r="N16" s="602">
        <f t="shared" si="0"/>
        <v>120834.3</v>
      </c>
      <c r="O16" s="602">
        <f t="shared" si="0"/>
        <v>0</v>
      </c>
      <c r="P16" s="602">
        <f t="shared" si="0"/>
        <v>0</v>
      </c>
      <c r="Q16" s="602">
        <f t="shared" si="0"/>
        <v>0</v>
      </c>
      <c r="R16" s="602">
        <f t="shared" si="0"/>
        <v>252909</v>
      </c>
      <c r="S16" s="602">
        <f t="shared" si="0"/>
        <v>0</v>
      </c>
      <c r="T16" s="603"/>
      <c r="U16" s="603"/>
      <c r="V16" s="603"/>
      <c r="W16" s="603"/>
      <c r="X16" s="603"/>
      <c r="Y16" s="603"/>
      <c r="Z16" s="603"/>
      <c r="AA16" s="654"/>
    </row>
    <row r="17" spans="1:27" ht="25.5" x14ac:dyDescent="0.25">
      <c r="A17" s="652" t="s">
        <v>690</v>
      </c>
      <c r="B17" s="759" t="s">
        <v>691</v>
      </c>
      <c r="C17" s="653">
        <f>D17+H17+L17</f>
        <v>74271424.164549202</v>
      </c>
      <c r="D17" s="601">
        <v>73712778.65937385</v>
      </c>
      <c r="E17" s="601">
        <v>122443.76995013723</v>
      </c>
      <c r="F17" s="601">
        <v>0</v>
      </c>
      <c r="G17" s="601">
        <v>0</v>
      </c>
      <c r="H17" s="601">
        <v>270025.46517534141</v>
      </c>
      <c r="I17" s="601">
        <v>3550.9900000000002</v>
      </c>
      <c r="J17" s="601">
        <v>205678.01517534145</v>
      </c>
      <c r="K17" s="601">
        <v>0</v>
      </c>
      <c r="L17" s="601">
        <v>288620.03999999998</v>
      </c>
      <c r="M17" s="601">
        <v>0</v>
      </c>
      <c r="N17" s="601">
        <v>73840.95</v>
      </c>
      <c r="O17" s="601">
        <v>0</v>
      </c>
      <c r="P17" s="601">
        <v>0</v>
      </c>
      <c r="Q17" s="601">
        <v>0</v>
      </c>
      <c r="R17" s="601">
        <v>144338.21</v>
      </c>
      <c r="S17" s="601">
        <v>0</v>
      </c>
      <c r="T17" s="603"/>
      <c r="U17" s="603"/>
      <c r="V17" s="603"/>
      <c r="W17" s="603"/>
      <c r="X17" s="603"/>
      <c r="Y17" s="603"/>
      <c r="Z17" s="603"/>
      <c r="AA17" s="654"/>
    </row>
    <row r="18" spans="1:27" ht="25.5" x14ac:dyDescent="0.25">
      <c r="A18" s="655" t="s">
        <v>692</v>
      </c>
      <c r="B18" s="657" t="s">
        <v>693</v>
      </c>
      <c r="C18" s="653">
        <f>D18+H18+L18</f>
        <v>60346936.267879121</v>
      </c>
      <c r="D18" s="601">
        <v>59936380.412703775</v>
      </c>
      <c r="E18" s="601">
        <v>0</v>
      </c>
      <c r="F18" s="601">
        <v>0</v>
      </c>
      <c r="G18" s="601">
        <v>0</v>
      </c>
      <c r="H18" s="601">
        <v>195776.76517534142</v>
      </c>
      <c r="I18" s="601">
        <v>0</v>
      </c>
      <c r="J18" s="601">
        <v>163898.33517534143</v>
      </c>
      <c r="K18" s="601">
        <v>0</v>
      </c>
      <c r="L18" s="601">
        <v>214779.08999999997</v>
      </c>
      <c r="M18" s="601">
        <v>0</v>
      </c>
      <c r="N18" s="601">
        <v>0</v>
      </c>
      <c r="O18" s="601">
        <v>0</v>
      </c>
      <c r="P18" s="601">
        <v>0</v>
      </c>
      <c r="Q18" s="601">
        <v>0</v>
      </c>
      <c r="R18" s="601">
        <v>144338.21</v>
      </c>
      <c r="S18" s="601">
        <v>0</v>
      </c>
      <c r="T18" s="603"/>
      <c r="U18" s="603"/>
      <c r="V18" s="603"/>
      <c r="W18" s="603"/>
      <c r="X18" s="603"/>
      <c r="Y18" s="603"/>
      <c r="Z18" s="603"/>
      <c r="AA18" s="654"/>
    </row>
    <row r="19" spans="1:27" x14ac:dyDescent="0.25">
      <c r="A19" s="652" t="s">
        <v>694</v>
      </c>
      <c r="B19" s="656" t="s">
        <v>695</v>
      </c>
      <c r="C19" s="653">
        <f>D19+H19+L19</f>
        <v>1072607969.3733177</v>
      </c>
      <c r="D19" s="601">
        <v>1072216801.0784931</v>
      </c>
      <c r="E19" s="601">
        <v>103233.11913181945</v>
      </c>
      <c r="F19" s="601">
        <v>0</v>
      </c>
      <c r="G19" s="601">
        <v>0</v>
      </c>
      <c r="H19" s="601">
        <v>185210.73482465852</v>
      </c>
      <c r="I19" s="601">
        <v>7689.41</v>
      </c>
      <c r="J19" s="601">
        <v>144179.43482465856</v>
      </c>
      <c r="K19" s="601">
        <v>0</v>
      </c>
      <c r="L19" s="601">
        <v>205957.56000000003</v>
      </c>
      <c r="M19" s="601">
        <v>0</v>
      </c>
      <c r="N19" s="601">
        <v>46993.350000000006</v>
      </c>
      <c r="O19" s="601">
        <v>0</v>
      </c>
      <c r="P19" s="601">
        <v>0</v>
      </c>
      <c r="Q19" s="601">
        <v>0</v>
      </c>
      <c r="R19" s="601">
        <v>108570.79000000001</v>
      </c>
      <c r="S19" s="601">
        <v>0</v>
      </c>
      <c r="T19" s="603"/>
      <c r="U19" s="603"/>
      <c r="V19" s="603"/>
      <c r="W19" s="603"/>
      <c r="X19" s="603"/>
      <c r="Y19" s="603"/>
      <c r="Z19" s="603"/>
      <c r="AA19" s="654"/>
    </row>
    <row r="20" spans="1:27" x14ac:dyDescent="0.25">
      <c r="A20" s="655" t="s">
        <v>696</v>
      </c>
      <c r="B20" s="657" t="s">
        <v>697</v>
      </c>
      <c r="C20" s="653">
        <f>D20+H20+L20</f>
        <v>52061721.523822404</v>
      </c>
      <c r="D20" s="601">
        <v>51758511.978997745</v>
      </c>
      <c r="E20" s="601">
        <v>0</v>
      </c>
      <c r="F20" s="601">
        <v>0</v>
      </c>
      <c r="G20" s="601">
        <v>0</v>
      </c>
      <c r="H20" s="601">
        <v>144245.33482465855</v>
      </c>
      <c r="I20" s="601">
        <v>0</v>
      </c>
      <c r="J20" s="601">
        <v>111491.46482465856</v>
      </c>
      <c r="K20" s="601">
        <v>0</v>
      </c>
      <c r="L20" s="601">
        <v>158964.21000000002</v>
      </c>
      <c r="M20" s="601">
        <v>0</v>
      </c>
      <c r="N20" s="601">
        <v>0</v>
      </c>
      <c r="O20" s="601">
        <v>0</v>
      </c>
      <c r="P20" s="601">
        <v>0</v>
      </c>
      <c r="Q20" s="601">
        <v>0</v>
      </c>
      <c r="R20" s="601">
        <v>108570.79000000001</v>
      </c>
      <c r="S20" s="601">
        <v>0</v>
      </c>
      <c r="T20" s="603"/>
      <c r="U20" s="603"/>
      <c r="V20" s="603"/>
      <c r="W20" s="603"/>
      <c r="X20" s="603"/>
      <c r="Y20" s="603"/>
      <c r="Z20" s="603"/>
      <c r="AA20" s="654"/>
    </row>
    <row r="21" spans="1:27" x14ac:dyDescent="0.25">
      <c r="A21" s="658">
        <v>1.4</v>
      </c>
      <c r="B21" s="659" t="s">
        <v>698</v>
      </c>
      <c r="C21" s="660"/>
      <c r="D21" s="601"/>
      <c r="E21" s="601"/>
      <c r="F21" s="601"/>
      <c r="G21" s="601"/>
      <c r="H21" s="601"/>
      <c r="I21" s="601"/>
      <c r="J21" s="601"/>
      <c r="K21" s="601"/>
      <c r="L21" s="601"/>
      <c r="M21" s="601"/>
      <c r="N21" s="601"/>
      <c r="O21" s="601"/>
      <c r="P21" s="601"/>
      <c r="Q21" s="601"/>
      <c r="R21" s="601"/>
      <c r="S21" s="601"/>
      <c r="T21" s="603"/>
      <c r="U21" s="603"/>
      <c r="V21" s="603"/>
      <c r="W21" s="603"/>
      <c r="X21" s="603"/>
      <c r="Y21" s="603"/>
      <c r="Z21" s="603"/>
      <c r="AA21" s="654"/>
    </row>
    <row r="22" spans="1:27" ht="13.5" thickBot="1" x14ac:dyDescent="0.3">
      <c r="A22" s="661">
        <v>1.5</v>
      </c>
      <c r="B22" s="662" t="s">
        <v>699</v>
      </c>
      <c r="C22" s="663"/>
      <c r="D22" s="664"/>
      <c r="E22" s="664"/>
      <c r="F22" s="664"/>
      <c r="G22" s="664"/>
      <c r="H22" s="664"/>
      <c r="I22" s="664"/>
      <c r="J22" s="664"/>
      <c r="K22" s="664"/>
      <c r="L22" s="664"/>
      <c r="M22" s="664"/>
      <c r="N22" s="664"/>
      <c r="O22" s="664"/>
      <c r="P22" s="664"/>
      <c r="Q22" s="664"/>
      <c r="R22" s="664"/>
      <c r="S22" s="664"/>
      <c r="T22" s="665"/>
      <c r="U22" s="665"/>
      <c r="V22" s="665"/>
      <c r="W22" s="665"/>
      <c r="X22" s="665"/>
      <c r="Y22" s="665"/>
      <c r="Z22" s="665"/>
      <c r="AA22" s="666"/>
    </row>
  </sheetData>
  <mergeCells count="7">
    <mergeCell ref="A5:B7"/>
    <mergeCell ref="C5:AA5"/>
    <mergeCell ref="C6:C7"/>
    <mergeCell ref="D6:G6"/>
    <mergeCell ref="H6:K6"/>
    <mergeCell ref="M6:S6"/>
    <mergeCell ref="U6:AA6"/>
  </mergeCells>
  <conditionalFormatting sqref="A5">
    <cfRule type="duplicateValues" dxfId="8" priority="1"/>
    <cfRule type="duplicateValues" dxfId="7" priority="2"/>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AC1BE-8CEC-426D-8560-9B4EF0A2CA02}">
  <dimension ref="A1:L33"/>
  <sheetViews>
    <sheetView showGridLines="0" topLeftCell="C1" zoomScaleNormal="100" workbookViewId="0">
      <selection activeCell="P27" sqref="P27"/>
    </sheetView>
  </sheetViews>
  <sheetFormatPr defaultColWidth="9.140625" defaultRowHeight="12.75" x14ac:dyDescent="0.25"/>
  <cols>
    <col min="1" max="1" width="11.85546875" style="594" bestFit="1" customWidth="1"/>
    <col min="2" max="2" width="93.42578125" style="594" customWidth="1"/>
    <col min="3" max="3" width="14.5703125" style="594" customWidth="1"/>
    <col min="4" max="5" width="16.140625" style="594" customWidth="1"/>
    <col min="6" max="6" width="16.140625" style="639" customWidth="1"/>
    <col min="7" max="7" width="20.7109375" style="639" customWidth="1"/>
    <col min="8" max="8" width="16.140625" style="594" customWidth="1"/>
    <col min="9" max="11" width="16.140625" style="639" customWidth="1"/>
    <col min="12" max="12" width="21" style="639" customWidth="1"/>
    <col min="13" max="16384" width="9.140625" style="594"/>
  </cols>
  <sheetData>
    <row r="1" spans="1:12" ht="13.5" x14ac:dyDescent="0.25">
      <c r="A1" s="579" t="s">
        <v>41</v>
      </c>
      <c r="B1" s="22" t="str">
        <f>Info!C2</f>
        <v>სს სილქ ბანკი</v>
      </c>
      <c r="F1" s="594"/>
      <c r="G1" s="594"/>
      <c r="I1" s="594"/>
      <c r="J1" s="594"/>
      <c r="K1" s="594"/>
      <c r="L1" s="594"/>
    </row>
    <row r="2" spans="1:12" x14ac:dyDescent="0.25">
      <c r="A2" s="579" t="s">
        <v>42</v>
      </c>
      <c r="B2" s="581">
        <f>'1. key ratios'!B2</f>
        <v>45473</v>
      </c>
      <c r="F2" s="594"/>
      <c r="G2" s="594"/>
      <c r="I2" s="594"/>
      <c r="J2" s="594"/>
      <c r="K2" s="594"/>
      <c r="L2" s="594"/>
    </row>
    <row r="3" spans="1:12" x14ac:dyDescent="0.25">
      <c r="A3" s="582" t="s">
        <v>700</v>
      </c>
      <c r="F3" s="594"/>
      <c r="G3" s="594"/>
      <c r="I3" s="594"/>
      <c r="J3" s="594"/>
      <c r="K3" s="594"/>
      <c r="L3" s="594"/>
    </row>
    <row r="4" spans="1:12" ht="40.5" customHeight="1" x14ac:dyDescent="0.25">
      <c r="F4" s="594"/>
      <c r="G4" s="594"/>
      <c r="I4" s="594"/>
      <c r="J4" s="594"/>
      <c r="K4" s="594"/>
      <c r="L4" s="594"/>
    </row>
    <row r="5" spans="1:12" ht="37.5" customHeight="1" x14ac:dyDescent="0.25">
      <c r="A5" s="857" t="s">
        <v>701</v>
      </c>
      <c r="B5" s="858"/>
      <c r="C5" s="897" t="s">
        <v>580</v>
      </c>
      <c r="D5" s="898"/>
      <c r="E5" s="898"/>
      <c r="F5" s="898"/>
      <c r="G5" s="898"/>
      <c r="H5" s="897" t="s">
        <v>702</v>
      </c>
      <c r="I5" s="899"/>
      <c r="J5" s="899"/>
      <c r="K5" s="899"/>
      <c r="L5" s="900"/>
    </row>
    <row r="6" spans="1:12" ht="39.6" customHeight="1" x14ac:dyDescent="0.25">
      <c r="A6" s="859"/>
      <c r="B6" s="850"/>
      <c r="C6" s="667"/>
      <c r="D6" s="598" t="s">
        <v>651</v>
      </c>
      <c r="E6" s="598" t="s">
        <v>652</v>
      </c>
      <c r="F6" s="598" t="s">
        <v>653</v>
      </c>
      <c r="G6" s="598" t="s">
        <v>654</v>
      </c>
      <c r="H6" s="599"/>
      <c r="I6" s="598" t="s">
        <v>651</v>
      </c>
      <c r="J6" s="598" t="s">
        <v>652</v>
      </c>
      <c r="K6" s="598" t="s">
        <v>653</v>
      </c>
      <c r="L6" s="598" t="s">
        <v>654</v>
      </c>
    </row>
    <row r="7" spans="1:12" x14ac:dyDescent="0.25">
      <c r="A7" s="603">
        <v>1</v>
      </c>
      <c r="B7" s="617" t="s">
        <v>593</v>
      </c>
      <c r="C7" s="668">
        <v>2085331.7743012724</v>
      </c>
      <c r="D7" s="601">
        <v>2063694.6046662361</v>
      </c>
      <c r="E7" s="601">
        <v>8513.0499999999993</v>
      </c>
      <c r="F7" s="601">
        <v>13124.119635036495</v>
      </c>
      <c r="G7" s="601">
        <f>C7-D7-E7-F7</f>
        <v>-2.3283064365386963E-10</v>
      </c>
      <c r="H7" s="601">
        <v>62421.399984938813</v>
      </c>
      <c r="I7" s="601">
        <v>54671.650026515286</v>
      </c>
      <c r="J7" s="601">
        <v>1099.1936295558223</v>
      </c>
      <c r="K7" s="601">
        <v>6650.5563288677104</v>
      </c>
      <c r="L7" s="601">
        <v>0</v>
      </c>
    </row>
    <row r="8" spans="1:12" x14ac:dyDescent="0.25">
      <c r="A8" s="603">
        <v>2</v>
      </c>
      <c r="B8" s="617" t="s">
        <v>594</v>
      </c>
      <c r="C8" s="668">
        <v>4610061.9269323144</v>
      </c>
      <c r="D8" s="601">
        <v>4610061.9269323144</v>
      </c>
      <c r="E8" s="601">
        <v>0</v>
      </c>
      <c r="F8" s="601">
        <v>0</v>
      </c>
      <c r="G8" s="601">
        <v>0</v>
      </c>
      <c r="H8" s="601">
        <v>39603.5968924564</v>
      </c>
      <c r="I8" s="601">
        <v>39603.5968924564</v>
      </c>
      <c r="J8" s="601">
        <v>0</v>
      </c>
      <c r="K8" s="601">
        <v>0</v>
      </c>
      <c r="L8" s="601">
        <v>0</v>
      </c>
    </row>
    <row r="9" spans="1:12" x14ac:dyDescent="0.25">
      <c r="A9" s="603">
        <v>3</v>
      </c>
      <c r="B9" s="617" t="s">
        <v>595</v>
      </c>
      <c r="C9" s="668">
        <v>0</v>
      </c>
      <c r="D9" s="601">
        <v>0</v>
      </c>
      <c r="E9" s="601">
        <v>0</v>
      </c>
      <c r="F9" s="601">
        <v>0</v>
      </c>
      <c r="G9" s="601">
        <v>0</v>
      </c>
      <c r="H9" s="601">
        <v>0</v>
      </c>
      <c r="I9" s="601">
        <v>0</v>
      </c>
      <c r="J9" s="601">
        <v>0</v>
      </c>
      <c r="K9" s="601">
        <v>0</v>
      </c>
      <c r="L9" s="601">
        <v>0</v>
      </c>
    </row>
    <row r="10" spans="1:12" x14ac:dyDescent="0.25">
      <c r="A10" s="603">
        <v>4</v>
      </c>
      <c r="B10" s="617" t="s">
        <v>596</v>
      </c>
      <c r="C10" s="668">
        <v>10102891.840131579</v>
      </c>
      <c r="D10" s="601">
        <v>10102891.840131579</v>
      </c>
      <c r="E10" s="601">
        <v>0</v>
      </c>
      <c r="F10" s="601">
        <v>0</v>
      </c>
      <c r="G10" s="601">
        <v>0</v>
      </c>
      <c r="H10" s="601">
        <v>92326.538336523692</v>
      </c>
      <c r="I10" s="601">
        <v>92326.538336523692</v>
      </c>
      <c r="J10" s="601">
        <v>0</v>
      </c>
      <c r="K10" s="601">
        <v>0</v>
      </c>
      <c r="L10" s="601">
        <v>0</v>
      </c>
    </row>
    <row r="11" spans="1:12" x14ac:dyDescent="0.25">
      <c r="A11" s="603">
        <v>5</v>
      </c>
      <c r="B11" s="617" t="s">
        <v>598</v>
      </c>
      <c r="C11" s="668">
        <v>10602694.255189033</v>
      </c>
      <c r="D11" s="601">
        <v>10602694.255189033</v>
      </c>
      <c r="E11" s="601">
        <v>0</v>
      </c>
      <c r="F11" s="601">
        <v>0</v>
      </c>
      <c r="G11" s="601">
        <v>0</v>
      </c>
      <c r="H11" s="601">
        <v>146207.83404610655</v>
      </c>
      <c r="I11" s="601">
        <v>146207.83404610655</v>
      </c>
      <c r="J11" s="601">
        <v>0</v>
      </c>
      <c r="K11" s="601">
        <v>0</v>
      </c>
      <c r="L11" s="601">
        <v>0</v>
      </c>
    </row>
    <row r="12" spans="1:12" x14ac:dyDescent="0.25">
      <c r="A12" s="603">
        <v>6</v>
      </c>
      <c r="B12" s="617" t="s">
        <v>599</v>
      </c>
      <c r="C12" s="668">
        <v>6783718.3872424718</v>
      </c>
      <c r="D12" s="601">
        <v>6655444.0570967514</v>
      </c>
      <c r="E12" s="601">
        <v>11097.40014571949</v>
      </c>
      <c r="F12" s="601">
        <v>117176.93</v>
      </c>
      <c r="G12" s="601">
        <v>0</v>
      </c>
      <c r="H12" s="601">
        <v>189708.28628211492</v>
      </c>
      <c r="I12" s="601">
        <v>89343.307404360385</v>
      </c>
      <c r="J12" s="601">
        <v>4563.8224737169703</v>
      </c>
      <c r="K12" s="601">
        <v>95801.15640403764</v>
      </c>
      <c r="L12" s="601">
        <v>0</v>
      </c>
    </row>
    <row r="13" spans="1:12" x14ac:dyDescent="0.25">
      <c r="A13" s="603">
        <v>7</v>
      </c>
      <c r="B13" s="617" t="s">
        <v>601</v>
      </c>
      <c r="C13" s="668">
        <v>14073264.064853437</v>
      </c>
      <c r="D13" s="601">
        <v>14036633.264853436</v>
      </c>
      <c r="E13" s="601">
        <v>36630.800000000003</v>
      </c>
      <c r="F13" s="601">
        <v>0</v>
      </c>
      <c r="G13" s="601">
        <v>0</v>
      </c>
      <c r="H13" s="601">
        <v>53664.114837863519</v>
      </c>
      <c r="I13" s="601">
        <v>52198.882837863515</v>
      </c>
      <c r="J13" s="601">
        <v>1465.2320000000002</v>
      </c>
      <c r="K13" s="601">
        <v>0</v>
      </c>
      <c r="L13" s="601">
        <v>0</v>
      </c>
    </row>
    <row r="14" spans="1:12" x14ac:dyDescent="0.25">
      <c r="A14" s="603">
        <v>8</v>
      </c>
      <c r="B14" s="617" t="s">
        <v>602</v>
      </c>
      <c r="C14" s="668">
        <v>506800.47514810966</v>
      </c>
      <c r="D14" s="601">
        <v>506800.47514810966</v>
      </c>
      <c r="E14" s="601">
        <v>0</v>
      </c>
      <c r="F14" s="601">
        <v>0</v>
      </c>
      <c r="G14" s="601">
        <v>0</v>
      </c>
      <c r="H14" s="601">
        <v>7500.5528693789674</v>
      </c>
      <c r="I14" s="601">
        <v>7500.5528693789674</v>
      </c>
      <c r="J14" s="601">
        <v>0</v>
      </c>
      <c r="K14" s="601">
        <v>0</v>
      </c>
      <c r="L14" s="601">
        <v>0</v>
      </c>
    </row>
    <row r="15" spans="1:12" x14ac:dyDescent="0.25">
      <c r="A15" s="603">
        <v>9</v>
      </c>
      <c r="B15" s="617" t="s">
        <v>603</v>
      </c>
      <c r="C15" s="668">
        <v>29572.46</v>
      </c>
      <c r="D15" s="601">
        <v>29572.46</v>
      </c>
      <c r="E15" s="601">
        <v>0</v>
      </c>
      <c r="F15" s="601">
        <v>0</v>
      </c>
      <c r="G15" s="601">
        <v>0</v>
      </c>
      <c r="H15" s="601">
        <v>1157.9324361994097</v>
      </c>
      <c r="I15" s="601">
        <v>1157.9324361994097</v>
      </c>
      <c r="J15" s="601">
        <v>0</v>
      </c>
      <c r="K15" s="601">
        <v>0</v>
      </c>
      <c r="L15" s="601">
        <v>0</v>
      </c>
    </row>
    <row r="16" spans="1:12" x14ac:dyDescent="0.25">
      <c r="A16" s="603">
        <v>10</v>
      </c>
      <c r="B16" s="617" t="s">
        <v>604</v>
      </c>
      <c r="C16" s="668">
        <v>708289.02208569495</v>
      </c>
      <c r="D16" s="601">
        <v>708289.02208569495</v>
      </c>
      <c r="E16" s="601">
        <v>0</v>
      </c>
      <c r="F16" s="601">
        <v>0</v>
      </c>
      <c r="G16" s="601">
        <v>0</v>
      </c>
      <c r="H16" s="601">
        <v>13317.219415810372</v>
      </c>
      <c r="I16" s="601">
        <v>13317.219415810372</v>
      </c>
      <c r="J16" s="601">
        <v>0</v>
      </c>
      <c r="K16" s="601">
        <v>0</v>
      </c>
      <c r="L16" s="601">
        <v>0</v>
      </c>
    </row>
    <row r="17" spans="1:12" x14ac:dyDescent="0.25">
      <c r="A17" s="603">
        <v>11</v>
      </c>
      <c r="B17" s="617" t="s">
        <v>605</v>
      </c>
      <c r="C17" s="668">
        <v>25446.039163013149</v>
      </c>
      <c r="D17" s="601">
        <v>25446.039163013149</v>
      </c>
      <c r="E17" s="601">
        <v>0</v>
      </c>
      <c r="F17" s="601">
        <v>0</v>
      </c>
      <c r="G17" s="601">
        <v>0</v>
      </c>
      <c r="H17" s="601">
        <v>779.77876024087141</v>
      </c>
      <c r="I17" s="601">
        <v>779.77876024087141</v>
      </c>
      <c r="J17" s="601">
        <v>0</v>
      </c>
      <c r="K17" s="601">
        <v>0</v>
      </c>
      <c r="L17" s="601">
        <v>0</v>
      </c>
    </row>
    <row r="18" spans="1:12" x14ac:dyDescent="0.25">
      <c r="A18" s="603">
        <v>12</v>
      </c>
      <c r="B18" s="617" t="s">
        <v>606</v>
      </c>
      <c r="C18" s="668">
        <v>5082492.4307518164</v>
      </c>
      <c r="D18" s="601">
        <v>5057919.66002189</v>
      </c>
      <c r="E18" s="601">
        <v>0</v>
      </c>
      <c r="F18" s="601">
        <v>24572.770729927008</v>
      </c>
      <c r="G18" s="601">
        <v>0</v>
      </c>
      <c r="H18" s="601">
        <v>83403.871600433456</v>
      </c>
      <c r="I18" s="601">
        <v>70951.790970243674</v>
      </c>
      <c r="J18" s="601">
        <v>0</v>
      </c>
      <c r="K18" s="601">
        <v>12452.080630189777</v>
      </c>
      <c r="L18" s="601">
        <v>0</v>
      </c>
    </row>
    <row r="19" spans="1:12" x14ac:dyDescent="0.25">
      <c r="A19" s="603">
        <v>13</v>
      </c>
      <c r="B19" s="617" t="s">
        <v>607</v>
      </c>
      <c r="C19" s="668">
        <v>176566.2284952483</v>
      </c>
      <c r="D19" s="601">
        <v>165375.74980911691</v>
      </c>
      <c r="E19" s="601">
        <v>0</v>
      </c>
      <c r="F19" s="601">
        <v>11190.478686131388</v>
      </c>
      <c r="G19" s="601">
        <v>0</v>
      </c>
      <c r="H19" s="601">
        <v>10748.149822795413</v>
      </c>
      <c r="I19" s="601">
        <v>5077.4525936701184</v>
      </c>
      <c r="J19" s="601">
        <v>0</v>
      </c>
      <c r="K19" s="601">
        <v>5670.6972291252941</v>
      </c>
      <c r="L19" s="601">
        <v>0</v>
      </c>
    </row>
    <row r="20" spans="1:12" x14ac:dyDescent="0.25">
      <c r="A20" s="603">
        <v>14</v>
      </c>
      <c r="B20" s="617" t="s">
        <v>608</v>
      </c>
      <c r="C20" s="668">
        <v>1772577.8471511591</v>
      </c>
      <c r="D20" s="601">
        <v>1732730.017151159</v>
      </c>
      <c r="E20" s="601">
        <v>0</v>
      </c>
      <c r="F20" s="601">
        <v>39847.83</v>
      </c>
      <c r="G20" s="601">
        <v>0</v>
      </c>
      <c r="H20" s="601">
        <v>49125.01848274075</v>
      </c>
      <c r="I20" s="601">
        <v>28932.407826353072</v>
      </c>
      <c r="J20" s="601">
        <v>0</v>
      </c>
      <c r="K20" s="601">
        <v>20192.610656387671</v>
      </c>
      <c r="L20" s="601">
        <v>0</v>
      </c>
    </row>
    <row r="21" spans="1:12" x14ac:dyDescent="0.25">
      <c r="A21" s="603">
        <v>15</v>
      </c>
      <c r="B21" s="617" t="s">
        <v>609</v>
      </c>
      <c r="C21" s="668">
        <v>1999193.0892893721</v>
      </c>
      <c r="D21" s="601">
        <v>1990331.7392893722</v>
      </c>
      <c r="E21" s="601">
        <v>8425.7000000000007</v>
      </c>
      <c r="F21" s="601">
        <v>435.65</v>
      </c>
      <c r="G21" s="601">
        <v>0</v>
      </c>
      <c r="H21" s="601">
        <v>27230.190028551326</v>
      </c>
      <c r="I21" s="601">
        <v>25927.376224579566</v>
      </c>
      <c r="J21" s="601">
        <v>1082.0511970128555</v>
      </c>
      <c r="K21" s="601">
        <v>220.76260695890565</v>
      </c>
      <c r="L21" s="601">
        <v>0</v>
      </c>
    </row>
    <row r="22" spans="1:12" x14ac:dyDescent="0.25">
      <c r="A22" s="603">
        <v>16</v>
      </c>
      <c r="B22" s="612" t="s">
        <v>610</v>
      </c>
      <c r="C22" s="668">
        <v>86667.59836063032</v>
      </c>
      <c r="D22" s="601">
        <v>86667.59836063032</v>
      </c>
      <c r="E22" s="601">
        <v>0</v>
      </c>
      <c r="F22" s="601">
        <v>0</v>
      </c>
      <c r="G22" s="601">
        <v>0</v>
      </c>
      <c r="H22" s="601">
        <v>1356.6796634244031</v>
      </c>
      <c r="I22" s="601">
        <v>1356.6796634244031</v>
      </c>
      <c r="J22" s="601">
        <v>0</v>
      </c>
      <c r="K22" s="601">
        <v>0</v>
      </c>
      <c r="L22" s="601">
        <v>0</v>
      </c>
    </row>
    <row r="23" spans="1:12" x14ac:dyDescent="0.25">
      <c r="A23" s="603">
        <v>17</v>
      </c>
      <c r="B23" s="617" t="s">
        <v>611</v>
      </c>
      <c r="C23" s="668">
        <v>89790.339548333461</v>
      </c>
      <c r="D23" s="601">
        <v>84846.919548333462</v>
      </c>
      <c r="E23" s="601">
        <v>0</v>
      </c>
      <c r="F23" s="601">
        <v>4943.42</v>
      </c>
      <c r="G23" s="601">
        <v>0</v>
      </c>
      <c r="H23" s="601">
        <v>4754.0021023146091</v>
      </c>
      <c r="I23" s="601">
        <v>2248.9584055562191</v>
      </c>
      <c r="J23" s="601">
        <v>0</v>
      </c>
      <c r="K23" s="601">
        <v>2505.0436967583914</v>
      </c>
      <c r="L23" s="601">
        <v>0</v>
      </c>
    </row>
    <row r="24" spans="1:12" x14ac:dyDescent="0.25">
      <c r="A24" s="603">
        <v>18</v>
      </c>
      <c r="B24" s="617" t="s">
        <v>612</v>
      </c>
      <c r="C24" s="668">
        <v>6910834.877118038</v>
      </c>
      <c r="D24" s="601">
        <v>6902302.0680669453</v>
      </c>
      <c r="E24" s="601">
        <v>8532.8090510948896</v>
      </c>
      <c r="F24" s="601">
        <v>0</v>
      </c>
      <c r="G24" s="601">
        <v>0</v>
      </c>
      <c r="H24" s="601">
        <v>24116.472677000093</v>
      </c>
      <c r="I24" s="601">
        <v>22231.990201565008</v>
      </c>
      <c r="J24" s="601">
        <v>1884.4824754350852</v>
      </c>
      <c r="K24" s="601">
        <v>0</v>
      </c>
      <c r="L24" s="601">
        <v>0</v>
      </c>
    </row>
    <row r="25" spans="1:12" x14ac:dyDescent="0.25">
      <c r="A25" s="603">
        <v>19</v>
      </c>
      <c r="B25" s="617" t="s">
        <v>613</v>
      </c>
      <c r="C25" s="668">
        <v>422985.18697849289</v>
      </c>
      <c r="D25" s="601">
        <v>413995.69697849284</v>
      </c>
      <c r="E25" s="601">
        <v>8923.65</v>
      </c>
      <c r="F25" s="601">
        <v>65.84</v>
      </c>
      <c r="G25" s="601">
        <v>0</v>
      </c>
      <c r="H25" s="601">
        <v>17749.057036514558</v>
      </c>
      <c r="I25" s="601">
        <v>16569.693790874822</v>
      </c>
      <c r="J25" s="601">
        <v>1145.9992836469096</v>
      </c>
      <c r="K25" s="601">
        <v>33.36396199282531</v>
      </c>
      <c r="L25" s="601">
        <v>0</v>
      </c>
    </row>
    <row r="26" spans="1:12" x14ac:dyDescent="0.25">
      <c r="A26" s="603">
        <v>20</v>
      </c>
      <c r="B26" s="617" t="s">
        <v>614</v>
      </c>
      <c r="C26" s="668">
        <v>302570.26114196808</v>
      </c>
      <c r="D26" s="601">
        <v>302570.26114196808</v>
      </c>
      <c r="E26" s="601">
        <v>0</v>
      </c>
      <c r="F26" s="601">
        <v>0</v>
      </c>
      <c r="G26" s="601">
        <v>0</v>
      </c>
      <c r="H26" s="601">
        <v>8961.7063832521235</v>
      </c>
      <c r="I26" s="601">
        <v>8961.7063832521235</v>
      </c>
      <c r="J26" s="601">
        <v>0</v>
      </c>
      <c r="K26" s="601">
        <v>0</v>
      </c>
      <c r="L26" s="601">
        <v>0</v>
      </c>
    </row>
    <row r="27" spans="1:12" x14ac:dyDescent="0.25">
      <c r="A27" s="603">
        <v>21</v>
      </c>
      <c r="B27" s="617" t="s">
        <v>615</v>
      </c>
      <c r="C27" s="668">
        <v>330633.85362989269</v>
      </c>
      <c r="D27" s="601">
        <v>330476.95362989267</v>
      </c>
      <c r="E27" s="601">
        <v>156.89999999999998</v>
      </c>
      <c r="F27" s="601">
        <v>0</v>
      </c>
      <c r="G27" s="601">
        <v>0</v>
      </c>
      <c r="H27" s="601">
        <v>9993.6618226482387</v>
      </c>
      <c r="I27" s="601">
        <v>9943.5962843114467</v>
      </c>
      <c r="J27" s="601">
        <v>50.065538336791619</v>
      </c>
      <c r="K27" s="601">
        <v>0</v>
      </c>
      <c r="L27" s="601">
        <v>0</v>
      </c>
    </row>
    <row r="28" spans="1:12" x14ac:dyDescent="0.25">
      <c r="A28" s="603">
        <v>22</v>
      </c>
      <c r="B28" s="617" t="s">
        <v>616</v>
      </c>
      <c r="C28" s="668">
        <v>2025017.6162552328</v>
      </c>
      <c r="D28" s="601">
        <v>1953656.3662552328</v>
      </c>
      <c r="E28" s="601">
        <v>39036.300000000003</v>
      </c>
      <c r="F28" s="601">
        <v>32324.949999999997</v>
      </c>
      <c r="G28" s="601">
        <v>0</v>
      </c>
      <c r="H28" s="601">
        <v>51826.546908701253</v>
      </c>
      <c r="I28" s="601">
        <v>30843.864283952647</v>
      </c>
      <c r="J28" s="601">
        <v>4602.2390764499887</v>
      </c>
      <c r="K28" s="601">
        <v>16380.443548298581</v>
      </c>
      <c r="L28" s="601">
        <v>0</v>
      </c>
    </row>
    <row r="29" spans="1:12" x14ac:dyDescent="0.25">
      <c r="A29" s="603">
        <v>23</v>
      </c>
      <c r="B29" s="617" t="s">
        <v>617</v>
      </c>
      <c r="C29" s="668">
        <v>10023520.995398667</v>
      </c>
      <c r="D29" s="601">
        <v>9424609.8522966057</v>
      </c>
      <c r="E29" s="601">
        <v>310167.43462940701</v>
      </c>
      <c r="F29" s="601">
        <v>288743.70847265952</v>
      </c>
      <c r="G29" s="601">
        <v>0</v>
      </c>
      <c r="H29" s="601">
        <v>515382.42532408627</v>
      </c>
      <c r="I29" s="601">
        <v>223503.85410389933</v>
      </c>
      <c r="J29" s="601">
        <v>63413.648963953907</v>
      </c>
      <c r="K29" s="601">
        <v>228464.92225623305</v>
      </c>
      <c r="L29" s="601">
        <v>0</v>
      </c>
    </row>
    <row r="30" spans="1:12" x14ac:dyDescent="0.25">
      <c r="A30" s="603">
        <v>24</v>
      </c>
      <c r="B30" s="617" t="s">
        <v>618</v>
      </c>
      <c r="C30" s="668">
        <v>2801718.7133066687</v>
      </c>
      <c r="D30" s="601">
        <v>2657380.5033066687</v>
      </c>
      <c r="E30" s="601">
        <v>0</v>
      </c>
      <c r="F30" s="601">
        <v>144338.21</v>
      </c>
      <c r="G30" s="601">
        <v>0</v>
      </c>
      <c r="H30" s="601">
        <v>113227.20141609953</v>
      </c>
      <c r="I30" s="601">
        <v>28588.990719127745</v>
      </c>
      <c r="J30" s="601">
        <v>0</v>
      </c>
      <c r="K30" s="601">
        <v>84638.210696971815</v>
      </c>
      <c r="L30" s="601">
        <v>0</v>
      </c>
    </row>
    <row r="31" spans="1:12" x14ac:dyDescent="0.25">
      <c r="A31" s="603">
        <v>25</v>
      </c>
      <c r="B31" s="617" t="s">
        <v>216</v>
      </c>
      <c r="C31" s="760">
        <v>6114643.5778810252</v>
      </c>
      <c r="D31" s="601">
        <v>5939565.8969219178</v>
      </c>
      <c r="E31" s="603">
        <v>26491.970959106759</v>
      </c>
      <c r="F31" s="603">
        <v>148585.71</v>
      </c>
      <c r="G31" s="601">
        <v>0</v>
      </c>
      <c r="H31" s="603">
        <v>220591.13042513991</v>
      </c>
      <c r="I31" s="601">
        <v>106283.87297082838</v>
      </c>
      <c r="J31" s="601">
        <v>3434.9187682128927</v>
      </c>
      <c r="K31" s="601">
        <v>110872.338686099</v>
      </c>
      <c r="L31" s="601">
        <v>0</v>
      </c>
    </row>
    <row r="32" spans="1:12" x14ac:dyDescent="0.25">
      <c r="A32" s="603">
        <v>26</v>
      </c>
      <c r="B32" s="617" t="s">
        <v>703</v>
      </c>
      <c r="C32" s="668">
        <v>0</v>
      </c>
      <c r="D32" s="601">
        <v>0</v>
      </c>
      <c r="E32" s="601">
        <v>0</v>
      </c>
      <c r="F32" s="601">
        <v>0</v>
      </c>
      <c r="G32" s="601">
        <v>0</v>
      </c>
      <c r="H32" s="668">
        <v>0</v>
      </c>
      <c r="I32" s="668">
        <v>0</v>
      </c>
      <c r="J32" s="668">
        <v>0</v>
      </c>
      <c r="K32" s="668">
        <v>0</v>
      </c>
      <c r="L32" s="601">
        <v>0</v>
      </c>
    </row>
    <row r="33" spans="1:12" x14ac:dyDescent="0.25">
      <c r="A33" s="603">
        <v>27</v>
      </c>
      <c r="B33" s="669" t="s">
        <v>96</v>
      </c>
      <c r="C33" s="670">
        <f>SUM(C7:C32)</f>
        <v>87667282.860353485</v>
      </c>
      <c r="D33" s="670">
        <f t="shared" ref="D33:L33" si="0">SUM(D7:D32)</f>
        <v>86383957.228044406</v>
      </c>
      <c r="E33" s="670">
        <f t="shared" si="0"/>
        <v>457976.01478532812</v>
      </c>
      <c r="F33" s="670">
        <f t="shared" si="0"/>
        <v>825349.61752375425</v>
      </c>
      <c r="G33" s="670">
        <f t="shared" si="0"/>
        <v>-2.3283064365386963E-10</v>
      </c>
      <c r="H33" s="670">
        <f t="shared" si="0"/>
        <v>1745153.3675553352</v>
      </c>
      <c r="I33" s="670">
        <f t="shared" si="0"/>
        <v>1078529.527447094</v>
      </c>
      <c r="J33" s="670">
        <f t="shared" si="0"/>
        <v>82741.653406321231</v>
      </c>
      <c r="K33" s="670">
        <f t="shared" si="0"/>
        <v>583882.1867019207</v>
      </c>
      <c r="L33" s="670">
        <f t="shared" si="0"/>
        <v>0</v>
      </c>
    </row>
  </sheetData>
  <mergeCells count="3">
    <mergeCell ref="A5:B6"/>
    <mergeCell ref="C5:G5"/>
    <mergeCell ref="H5:L5"/>
  </mergeCells>
  <conditionalFormatting sqref="A5">
    <cfRule type="duplicateValues" dxfId="5" priority="1"/>
    <cfRule type="duplicateValues" dxfId="4" priority="2"/>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47E1D-B3F0-4033-B7B4-12A68CCB65B1}">
  <dimension ref="A1:M21"/>
  <sheetViews>
    <sheetView showGridLines="0" topLeftCell="C1" zoomScale="115" zoomScaleNormal="115" workbookViewId="0">
      <selection activeCell="K5" sqref="K5"/>
    </sheetView>
  </sheetViews>
  <sheetFormatPr defaultColWidth="8.7109375" defaultRowHeight="12" x14ac:dyDescent="0.2"/>
  <cols>
    <col min="1" max="1" width="11.85546875" style="674" bestFit="1" customWidth="1"/>
    <col min="2" max="2" width="80" style="674" customWidth="1"/>
    <col min="3" max="11" width="20.5703125" style="674" customWidth="1"/>
    <col min="12" max="12" width="12.42578125" style="673" bestFit="1" customWidth="1"/>
    <col min="13" max="16384" width="8.7109375" style="674"/>
  </cols>
  <sheetData>
    <row r="1" spans="1:13" s="580" customFormat="1" ht="13.5" x14ac:dyDescent="0.25">
      <c r="A1" s="579" t="s">
        <v>41</v>
      </c>
      <c r="B1" s="22" t="str">
        <f>Info!C2</f>
        <v>სს სილქ ბანკი</v>
      </c>
      <c r="C1" s="594"/>
      <c r="D1" s="594"/>
      <c r="E1" s="594"/>
      <c r="F1" s="594"/>
      <c r="G1" s="594"/>
      <c r="H1" s="594"/>
      <c r="I1" s="594"/>
      <c r="J1" s="594"/>
      <c r="K1" s="594"/>
      <c r="L1" s="619"/>
    </row>
    <row r="2" spans="1:13" s="580" customFormat="1" ht="12.75" x14ac:dyDescent="0.25">
      <c r="A2" s="579" t="s">
        <v>42</v>
      </c>
      <c r="B2" s="581">
        <f>'1. key ratios'!B2</f>
        <v>45473</v>
      </c>
      <c r="C2" s="594"/>
      <c r="D2" s="594"/>
      <c r="E2" s="594"/>
      <c r="F2" s="594"/>
      <c r="G2" s="594"/>
      <c r="H2" s="594"/>
      <c r="I2" s="594"/>
      <c r="J2" s="594"/>
      <c r="K2" s="594"/>
      <c r="L2" s="619"/>
    </row>
    <row r="3" spans="1:13" s="580" customFormat="1" ht="12.75" x14ac:dyDescent="0.25">
      <c r="A3" s="582" t="s">
        <v>704</v>
      </c>
      <c r="B3" s="594"/>
      <c r="C3" s="594"/>
      <c r="D3" s="594"/>
      <c r="E3" s="594"/>
      <c r="F3" s="594"/>
      <c r="G3" s="594"/>
      <c r="H3" s="594"/>
      <c r="I3" s="594"/>
      <c r="J3" s="594"/>
      <c r="K3" s="594"/>
      <c r="L3" s="619"/>
    </row>
    <row r="4" spans="1:13" ht="40.5" customHeight="1" x14ac:dyDescent="0.2">
      <c r="A4" s="671"/>
      <c r="B4" s="671"/>
      <c r="C4" s="672"/>
      <c r="D4" s="672"/>
      <c r="E4" s="672"/>
      <c r="F4" s="672"/>
      <c r="G4" s="672"/>
      <c r="H4" s="672"/>
      <c r="I4" s="672"/>
      <c r="J4" s="672"/>
      <c r="K4" s="672"/>
    </row>
    <row r="5" spans="1:13" ht="104.1" customHeight="1" x14ac:dyDescent="0.2">
      <c r="A5" s="901" t="s">
        <v>705</v>
      </c>
      <c r="B5" s="902"/>
      <c r="C5" s="633" t="s">
        <v>706</v>
      </c>
      <c r="D5" s="633" t="s">
        <v>707</v>
      </c>
      <c r="E5" s="633" t="s">
        <v>708</v>
      </c>
      <c r="F5" s="633" t="s">
        <v>709</v>
      </c>
      <c r="G5" s="633" t="s">
        <v>710</v>
      </c>
      <c r="H5" s="633" t="s">
        <v>711</v>
      </c>
      <c r="I5" s="633" t="s">
        <v>712</v>
      </c>
      <c r="J5" s="633" t="s">
        <v>713</v>
      </c>
      <c r="K5" s="633" t="s">
        <v>714</v>
      </c>
    </row>
    <row r="6" spans="1:13" ht="12.75" x14ac:dyDescent="0.25">
      <c r="A6" s="603">
        <v>1</v>
      </c>
      <c r="B6" s="603" t="s">
        <v>715</v>
      </c>
      <c r="C6" s="601">
        <v>2623096.6960027157</v>
      </c>
      <c r="D6" s="601"/>
      <c r="E6" s="601"/>
      <c r="F6" s="601"/>
      <c r="G6" s="601">
        <v>61211643.972928971</v>
      </c>
      <c r="H6" s="601"/>
      <c r="I6" s="602">
        <v>9849830.4372473247</v>
      </c>
      <c r="J6" s="602">
        <v>0</v>
      </c>
      <c r="K6" s="602">
        <f>'23. LTV'!C8-J6-I6-G6-C6</f>
        <v>13982711.754174447</v>
      </c>
      <c r="L6" s="675">
        <f>'23. LTV'!C8-'25. Collateral'!J6-'25. Collateral'!G6-'25. Collateral'!C6-K6-I6</f>
        <v>0</v>
      </c>
      <c r="M6" s="676">
        <v>0</v>
      </c>
    </row>
    <row r="7" spans="1:13" ht="12.75" x14ac:dyDescent="0.25">
      <c r="A7" s="603">
        <v>2</v>
      </c>
      <c r="B7" s="603" t="s">
        <v>716</v>
      </c>
      <c r="C7" s="601"/>
      <c r="D7" s="601"/>
      <c r="E7" s="601"/>
      <c r="F7" s="601"/>
      <c r="G7" s="601"/>
      <c r="H7" s="601"/>
      <c r="I7" s="601"/>
      <c r="J7" s="601"/>
      <c r="K7" s="601"/>
    </row>
    <row r="8" spans="1:13" ht="12.75" x14ac:dyDescent="0.25">
      <c r="A8" s="603">
        <v>3</v>
      </c>
      <c r="B8" s="603" t="s">
        <v>669</v>
      </c>
      <c r="C8" s="601">
        <v>2544260.39</v>
      </c>
      <c r="D8" s="601"/>
      <c r="E8" s="601"/>
      <c r="F8" s="601"/>
      <c r="G8" s="601">
        <v>1841592.45</v>
      </c>
      <c r="H8" s="601"/>
      <c r="I8" s="601">
        <v>1406603</v>
      </c>
      <c r="J8" s="601"/>
      <c r="K8" s="601">
        <f>'4. Off-balance'!E27+'4. Off-balance'!E28-C8-G8-I8</f>
        <v>4322950.1599999992</v>
      </c>
    </row>
    <row r="9" spans="1:13" ht="12.75" x14ac:dyDescent="0.25">
      <c r="A9" s="603">
        <v>4</v>
      </c>
      <c r="B9" s="625" t="s">
        <v>717</v>
      </c>
      <c r="C9" s="677"/>
      <c r="D9" s="677"/>
      <c r="E9" s="677"/>
      <c r="F9" s="677"/>
      <c r="G9" s="677">
        <v>214779.08999999997</v>
      </c>
      <c r="H9" s="677"/>
      <c r="I9" s="677">
        <v>0</v>
      </c>
      <c r="J9" s="678"/>
      <c r="K9" s="677">
        <v>610570.52752375475</v>
      </c>
    </row>
    <row r="10" spans="1:13" ht="12.75" x14ac:dyDescent="0.25">
      <c r="A10" s="603">
        <v>5</v>
      </c>
      <c r="B10" s="625" t="s">
        <v>718</v>
      </c>
      <c r="C10" s="677"/>
      <c r="D10" s="677"/>
      <c r="E10" s="677"/>
      <c r="F10" s="677"/>
      <c r="G10" s="677"/>
      <c r="H10" s="677"/>
      <c r="I10" s="677"/>
      <c r="J10" s="677"/>
      <c r="K10" s="677"/>
    </row>
    <row r="11" spans="1:13" ht="12.75" x14ac:dyDescent="0.25">
      <c r="A11" s="603">
        <v>6</v>
      </c>
      <c r="B11" s="625" t="s">
        <v>719</v>
      </c>
      <c r="C11" s="677"/>
      <c r="D11" s="677"/>
      <c r="E11" s="677"/>
      <c r="F11" s="677"/>
      <c r="G11" s="677"/>
      <c r="H11" s="677"/>
      <c r="I11" s="677"/>
      <c r="J11" s="677"/>
      <c r="K11" s="677"/>
    </row>
    <row r="13" spans="1:13" ht="15" x14ac:dyDescent="0.3">
      <c r="B13" s="679"/>
      <c r="G13" s="680"/>
    </row>
    <row r="14" spans="1:13" x14ac:dyDescent="0.2">
      <c r="G14" s="681"/>
    </row>
    <row r="19" spans="2:7" x14ac:dyDescent="0.2">
      <c r="C19" s="681"/>
      <c r="G19" s="681"/>
    </row>
    <row r="21" spans="2:7" x14ac:dyDescent="0.2">
      <c r="B21" s="682"/>
    </row>
  </sheetData>
  <mergeCells count="1">
    <mergeCell ref="A5:B5"/>
  </mergeCells>
  <conditionalFormatting sqref="A5">
    <cfRule type="duplicateValues" dxfId="2" priority="1"/>
    <cfRule type="duplicateValues" dxfId="1" priority="2"/>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43F58-22B7-41F9-AF20-F2AC4D068A7C}">
  <dimension ref="A1:BP27"/>
  <sheetViews>
    <sheetView showGridLines="0" topLeftCell="B1" zoomScaleNormal="100" workbookViewId="0">
      <pane xSplit="2" topLeftCell="N1" activePane="topRight" state="frozen"/>
      <selection activeCell="C17" sqref="C17"/>
      <selection pane="topRight" activeCell="R25" sqref="R25"/>
    </sheetView>
  </sheetViews>
  <sheetFormatPr defaultColWidth="8.7109375" defaultRowHeight="15" x14ac:dyDescent="0.25"/>
  <cols>
    <col min="1" max="1" width="8.7109375" style="683"/>
    <col min="2" max="2" width="13.7109375" style="683" customWidth="1"/>
    <col min="3" max="3" width="56.42578125" style="683" customWidth="1"/>
    <col min="4" max="4" width="17.28515625" style="683" customWidth="1"/>
    <col min="5" max="5" width="15.85546875" style="683" bestFit="1" customWidth="1"/>
    <col min="6" max="7" width="14.85546875" style="683" customWidth="1"/>
    <col min="8" max="8" width="23" style="683" customWidth="1"/>
    <col min="9" max="9" width="16.5703125" style="683" customWidth="1"/>
    <col min="10" max="10" width="17.42578125" style="683" customWidth="1"/>
    <col min="11" max="11" width="16.42578125" style="683" customWidth="1"/>
    <col min="12" max="12" width="25.140625" style="683" customWidth="1"/>
    <col min="13" max="13" width="22.140625" style="683" customWidth="1"/>
    <col min="14" max="14" width="12.85546875" style="683" customWidth="1"/>
    <col min="15" max="15" width="15.140625" style="683" bestFit="1" customWidth="1"/>
    <col min="16" max="16" width="14.140625" style="683" customWidth="1"/>
    <col min="17" max="17" width="14.28515625" style="683" customWidth="1"/>
    <col min="18" max="18" width="25.7109375" style="683" customWidth="1"/>
    <col min="19" max="19" width="10.7109375" style="683" customWidth="1"/>
    <col min="20" max="20" width="19.28515625" style="683" customWidth="1"/>
    <col min="21" max="21" width="23.28515625" style="683" customWidth="1"/>
    <col min="22" max="22" width="21.85546875" style="683" customWidth="1"/>
    <col min="23" max="23" width="21" style="683" customWidth="1"/>
    <col min="24" max="16384" width="8.7109375" style="683"/>
  </cols>
  <sheetData>
    <row r="1" spans="1:68" x14ac:dyDescent="0.25">
      <c r="B1" s="579" t="s">
        <v>41</v>
      </c>
      <c r="C1" s="22" t="str">
        <f>Info!C2</f>
        <v>სს სილქ ბანკი</v>
      </c>
    </row>
    <row r="2" spans="1:68" x14ac:dyDescent="0.25">
      <c r="B2" s="579" t="s">
        <v>42</v>
      </c>
      <c r="C2" s="581">
        <f>'1. key ratios'!B2</f>
        <v>45473</v>
      </c>
    </row>
    <row r="3" spans="1:68" x14ac:dyDescent="0.25">
      <c r="B3" s="582" t="s">
        <v>720</v>
      </c>
      <c r="C3" s="594"/>
    </row>
    <row r="4" spans="1:68" ht="40.5" customHeight="1" x14ac:dyDescent="0.25">
      <c r="B4" s="582"/>
      <c r="C4" s="594"/>
    </row>
    <row r="5" spans="1:68" ht="24" customHeight="1" x14ac:dyDescent="0.25">
      <c r="B5" s="904" t="s">
        <v>721</v>
      </c>
      <c r="C5" s="904"/>
      <c r="D5" s="905" t="s">
        <v>722</v>
      </c>
      <c r="E5" s="905"/>
      <c r="F5" s="905"/>
      <c r="G5" s="905"/>
      <c r="H5" s="905"/>
      <c r="I5" s="905" t="s">
        <v>580</v>
      </c>
      <c r="J5" s="905"/>
      <c r="K5" s="905"/>
      <c r="L5" s="905"/>
      <c r="M5" s="905"/>
      <c r="N5" s="905" t="s">
        <v>581</v>
      </c>
      <c r="O5" s="905"/>
      <c r="P5" s="905"/>
      <c r="Q5" s="905"/>
      <c r="R5" s="905"/>
      <c r="S5" s="903" t="s">
        <v>723</v>
      </c>
      <c r="T5" s="903" t="s">
        <v>724</v>
      </c>
      <c r="U5" s="903" t="s">
        <v>725</v>
      </c>
      <c r="V5" s="903" t="s">
        <v>726</v>
      </c>
      <c r="W5" s="903" t="s">
        <v>727</v>
      </c>
    </row>
    <row r="6" spans="1:68" ht="45" customHeight="1" x14ac:dyDescent="0.25">
      <c r="B6" s="904"/>
      <c r="C6" s="904"/>
      <c r="D6" s="684"/>
      <c r="E6" s="598" t="s">
        <v>651</v>
      </c>
      <c r="F6" s="598" t="s">
        <v>652</v>
      </c>
      <c r="G6" s="598" t="s">
        <v>653</v>
      </c>
      <c r="H6" s="598" t="s">
        <v>654</v>
      </c>
      <c r="I6" s="684"/>
      <c r="J6" s="598" t="s">
        <v>651</v>
      </c>
      <c r="K6" s="598" t="s">
        <v>652</v>
      </c>
      <c r="L6" s="598" t="s">
        <v>653</v>
      </c>
      <c r="M6" s="598" t="s">
        <v>654</v>
      </c>
      <c r="N6" s="684"/>
      <c r="O6" s="598" t="s">
        <v>651</v>
      </c>
      <c r="P6" s="598" t="s">
        <v>652</v>
      </c>
      <c r="Q6" s="598" t="s">
        <v>653</v>
      </c>
      <c r="R6" s="598" t="s">
        <v>654</v>
      </c>
      <c r="S6" s="903"/>
      <c r="T6" s="903"/>
      <c r="U6" s="903"/>
      <c r="V6" s="903"/>
      <c r="W6" s="903"/>
    </row>
    <row r="7" spans="1:68" x14ac:dyDescent="0.25">
      <c r="B7" s="685">
        <v>1</v>
      </c>
      <c r="C7" s="686" t="s">
        <v>728</v>
      </c>
      <c r="D7" s="687">
        <f t="shared" ref="D7:D19" si="0">E7+F7+G7</f>
        <v>1043857.61</v>
      </c>
      <c r="E7" s="677">
        <v>1006623.85</v>
      </c>
      <c r="F7" s="677">
        <v>37233.760000000002</v>
      </c>
      <c r="G7" s="677">
        <v>0</v>
      </c>
      <c r="H7" s="677"/>
      <c r="I7" s="677">
        <f t="shared" ref="I7:I18" si="1">SUM(J7:M7)</f>
        <v>1060807.8510499999</v>
      </c>
      <c r="J7" s="677">
        <v>1020626.06105</v>
      </c>
      <c r="K7" s="677">
        <v>40181.79</v>
      </c>
      <c r="L7" s="677">
        <v>0</v>
      </c>
      <c r="M7" s="677"/>
      <c r="N7" s="677">
        <f t="shared" ref="N7:N18" si="2">O7+P7+Q7</f>
        <v>41570.742605599997</v>
      </c>
      <c r="O7" s="677">
        <v>39963.471005599997</v>
      </c>
      <c r="P7" s="677">
        <v>1607.2716</v>
      </c>
      <c r="Q7" s="677">
        <v>0</v>
      </c>
      <c r="R7" s="677">
        <v>0</v>
      </c>
      <c r="S7" s="688">
        <v>77</v>
      </c>
      <c r="T7" s="689">
        <v>0.28772029250456999</v>
      </c>
      <c r="U7" s="689">
        <v>0.33588555758683702</v>
      </c>
      <c r="V7" s="689">
        <v>0.30285520474387301</v>
      </c>
      <c r="W7" s="677">
        <v>27.112461633536299</v>
      </c>
    </row>
    <row r="8" spans="1:68" x14ac:dyDescent="0.25">
      <c r="B8" s="685">
        <v>2</v>
      </c>
      <c r="C8" s="690" t="s">
        <v>600</v>
      </c>
      <c r="D8" s="687">
        <f t="shared" si="0"/>
        <v>21133770.079999998</v>
      </c>
      <c r="E8" s="677">
        <v>20293455.099999998</v>
      </c>
      <c r="F8" s="677">
        <v>413278.22</v>
      </c>
      <c r="G8" s="677">
        <v>427036.76</v>
      </c>
      <c r="H8" s="677"/>
      <c r="I8" s="677">
        <f t="shared" si="1"/>
        <v>21293901.271848194</v>
      </c>
      <c r="J8" s="677">
        <v>20435454.679512396</v>
      </c>
      <c r="K8" s="677">
        <v>417152.9348097</v>
      </c>
      <c r="L8" s="677">
        <v>441293.6575261</v>
      </c>
      <c r="M8" s="677"/>
      <c r="N8" s="677">
        <f t="shared" si="2"/>
        <v>818805.58169321204</v>
      </c>
      <c r="O8" s="677">
        <v>477817.93331178097</v>
      </c>
      <c r="P8" s="677">
        <v>80942.594989631005</v>
      </c>
      <c r="Q8" s="677">
        <v>260045.0533918</v>
      </c>
      <c r="R8" s="677"/>
      <c r="S8" s="688">
        <v>2135</v>
      </c>
      <c r="T8" s="689">
        <v>0.20776699811256299</v>
      </c>
      <c r="U8" s="689">
        <v>0.23736934480657501</v>
      </c>
      <c r="V8" s="689">
        <v>0.196183108694584</v>
      </c>
      <c r="W8" s="677">
        <v>45.702869911156398</v>
      </c>
    </row>
    <row r="9" spans="1:68" x14ac:dyDescent="0.25">
      <c r="B9" s="685">
        <v>3</v>
      </c>
      <c r="C9" s="690" t="s">
        <v>729</v>
      </c>
      <c r="D9" s="687">
        <f t="shared" si="0"/>
        <v>12240.68</v>
      </c>
      <c r="E9" s="677">
        <v>10965.99</v>
      </c>
      <c r="F9" s="677">
        <v>226.74</v>
      </c>
      <c r="G9" s="677">
        <v>1047.95</v>
      </c>
      <c r="H9" s="677"/>
      <c r="I9" s="677">
        <f t="shared" si="1"/>
        <v>12268.37</v>
      </c>
      <c r="J9" s="677">
        <v>10993.14</v>
      </c>
      <c r="K9" s="677">
        <v>227.28</v>
      </c>
      <c r="L9" s="677">
        <v>1047.95</v>
      </c>
      <c r="M9" s="677"/>
      <c r="N9" s="677">
        <f t="shared" si="2"/>
        <v>1249.972147577</v>
      </c>
      <c r="O9" s="677">
        <v>653.90213745699998</v>
      </c>
      <c r="P9" s="677">
        <v>65.028637560000007</v>
      </c>
      <c r="Q9" s="677">
        <v>531.04137256000001</v>
      </c>
      <c r="R9" s="677"/>
      <c r="S9" s="688">
        <v>48</v>
      </c>
      <c r="T9" s="689">
        <v>0</v>
      </c>
      <c r="U9" s="689">
        <v>0</v>
      </c>
      <c r="V9" s="689">
        <v>0.1</v>
      </c>
      <c r="W9" s="677">
        <v>0.47396718048159397</v>
      </c>
    </row>
    <row r="10" spans="1:68" x14ac:dyDescent="0.25">
      <c r="B10" s="685">
        <v>4</v>
      </c>
      <c r="C10" s="690" t="s">
        <v>730</v>
      </c>
      <c r="D10" s="687">
        <f t="shared" si="0"/>
        <v>52521.98</v>
      </c>
      <c r="E10" s="677">
        <v>52521.98</v>
      </c>
      <c r="F10" s="677">
        <v>0</v>
      </c>
      <c r="G10" s="677">
        <v>0</v>
      </c>
      <c r="H10" s="677"/>
      <c r="I10" s="677">
        <f t="shared" si="1"/>
        <v>49134.485799499998</v>
      </c>
      <c r="J10" s="677">
        <v>49134.485799499998</v>
      </c>
      <c r="K10" s="677">
        <v>0</v>
      </c>
      <c r="L10" s="677">
        <v>0</v>
      </c>
      <c r="M10" s="677"/>
      <c r="N10" s="677">
        <f t="shared" si="2"/>
        <v>547.55721007499994</v>
      </c>
      <c r="O10" s="677">
        <v>547.55721007499994</v>
      </c>
      <c r="P10" s="677">
        <v>0</v>
      </c>
      <c r="Q10" s="677">
        <v>0</v>
      </c>
      <c r="R10" s="677"/>
      <c r="S10" s="688">
        <v>33</v>
      </c>
      <c r="T10" s="689">
        <v>0</v>
      </c>
      <c r="U10" s="689">
        <v>0</v>
      </c>
      <c r="V10" s="689">
        <v>0.28000000000000003</v>
      </c>
      <c r="W10" s="677">
        <v>8.9486103341877001</v>
      </c>
    </row>
    <row r="11" spans="1:68" x14ac:dyDescent="0.25">
      <c r="B11" s="685">
        <v>5</v>
      </c>
      <c r="C11" s="690" t="s">
        <v>731</v>
      </c>
      <c r="D11" s="687">
        <f t="shared" si="0"/>
        <v>259925.47</v>
      </c>
      <c r="E11" s="677">
        <v>21256.32</v>
      </c>
      <c r="F11" s="677">
        <v>0</v>
      </c>
      <c r="G11" s="677">
        <v>238669.15</v>
      </c>
      <c r="H11" s="677"/>
      <c r="I11" s="677">
        <f t="shared" si="1"/>
        <v>260122.99</v>
      </c>
      <c r="J11" s="677">
        <v>21453.19</v>
      </c>
      <c r="K11" s="677">
        <v>0</v>
      </c>
      <c r="L11" s="677">
        <v>238669.8</v>
      </c>
      <c r="M11" s="677"/>
      <c r="N11" s="677">
        <f t="shared" si="2"/>
        <v>239423.07388629098</v>
      </c>
      <c r="O11" s="677">
        <v>755.19265585100004</v>
      </c>
      <c r="P11" s="677">
        <v>0</v>
      </c>
      <c r="Q11" s="677">
        <v>238667.88123043999</v>
      </c>
      <c r="R11" s="677"/>
      <c r="S11" s="688">
        <v>42</v>
      </c>
      <c r="T11" s="689">
        <v>0.48</v>
      </c>
      <c r="U11" s="689">
        <v>0</v>
      </c>
      <c r="V11" s="689">
        <v>0.171657263838009</v>
      </c>
      <c r="W11" s="677">
        <v>6.8740194949402103</v>
      </c>
    </row>
    <row r="12" spans="1:68" x14ac:dyDescent="0.25">
      <c r="B12" s="685">
        <v>6</v>
      </c>
      <c r="C12" s="690" t="s">
        <v>732</v>
      </c>
      <c r="D12" s="687">
        <f t="shared" si="0"/>
        <v>67876.259999999995</v>
      </c>
      <c r="E12" s="677">
        <v>67483.11</v>
      </c>
      <c r="F12" s="677">
        <v>393.15</v>
      </c>
      <c r="G12" s="677">
        <v>0</v>
      </c>
      <c r="H12" s="677"/>
      <c r="I12" s="677">
        <f t="shared" si="1"/>
        <v>68962.409999999989</v>
      </c>
      <c r="J12" s="677">
        <v>68548.399999999994</v>
      </c>
      <c r="K12" s="677">
        <v>414.01</v>
      </c>
      <c r="L12" s="677">
        <v>0</v>
      </c>
      <c r="M12" s="677"/>
      <c r="N12" s="677">
        <f t="shared" si="2"/>
        <v>2502.1483892890001</v>
      </c>
      <c r="O12" s="677">
        <v>2375.3902073889999</v>
      </c>
      <c r="P12" s="677">
        <v>126.7581819</v>
      </c>
      <c r="Q12" s="677">
        <v>0</v>
      </c>
      <c r="R12" s="677"/>
      <c r="S12" s="688">
        <v>48</v>
      </c>
      <c r="T12" s="689">
        <v>0</v>
      </c>
      <c r="U12" s="689">
        <v>0</v>
      </c>
      <c r="V12" s="689">
        <v>0.224426437166691</v>
      </c>
      <c r="W12" s="677">
        <v>6.3252712951479602</v>
      </c>
    </row>
    <row r="13" spans="1:68" x14ac:dyDescent="0.25">
      <c r="B13" s="685">
        <v>7</v>
      </c>
      <c r="C13" s="690" t="s">
        <v>733</v>
      </c>
      <c r="D13" s="687">
        <f t="shared" si="0"/>
        <v>2894705.56</v>
      </c>
      <c r="E13" s="677">
        <v>2894705.56</v>
      </c>
      <c r="F13" s="677">
        <v>0</v>
      </c>
      <c r="G13" s="677">
        <v>0</v>
      </c>
      <c r="H13" s="677"/>
      <c r="I13" s="677">
        <f t="shared" si="1"/>
        <v>2903496.0340499999</v>
      </c>
      <c r="J13" s="677">
        <v>2903496.0340499999</v>
      </c>
      <c r="K13" s="677">
        <v>0</v>
      </c>
      <c r="L13" s="677">
        <v>0</v>
      </c>
      <c r="M13" s="677"/>
      <c r="N13" s="677">
        <f t="shared" si="2"/>
        <v>74077.315217800002</v>
      </c>
      <c r="O13" s="677">
        <v>74077.315217800002</v>
      </c>
      <c r="P13" s="677">
        <v>0</v>
      </c>
      <c r="Q13" s="677">
        <v>0</v>
      </c>
      <c r="R13" s="677"/>
      <c r="S13" s="688">
        <v>24</v>
      </c>
      <c r="T13" s="689">
        <v>0.12896610169491499</v>
      </c>
      <c r="U13" s="689">
        <v>0.13819491525423699</v>
      </c>
      <c r="V13" s="689">
        <v>0.13607520419797001</v>
      </c>
      <c r="W13" s="677">
        <v>140.31296755135199</v>
      </c>
    </row>
    <row r="14" spans="1:68" s="691" customFormat="1" x14ac:dyDescent="0.25">
      <c r="A14" s="691" t="s">
        <v>597</v>
      </c>
      <c r="B14" s="697">
        <v>7.1</v>
      </c>
      <c r="C14" s="698" t="s">
        <v>734</v>
      </c>
      <c r="D14" s="687">
        <f t="shared" si="0"/>
        <v>2374901.9900000002</v>
      </c>
      <c r="E14" s="677">
        <v>2374901.9900000002</v>
      </c>
      <c r="F14" s="677">
        <v>0</v>
      </c>
      <c r="G14" s="677">
        <v>0</v>
      </c>
      <c r="H14" s="677"/>
      <c r="I14" s="677">
        <f t="shared" si="1"/>
        <v>2380348.4513999997</v>
      </c>
      <c r="J14" s="677">
        <v>2380348.4513999997</v>
      </c>
      <c r="K14" s="677">
        <v>0</v>
      </c>
      <c r="L14" s="677">
        <v>0</v>
      </c>
      <c r="M14" s="677"/>
      <c r="N14" s="677">
        <f t="shared" si="2"/>
        <v>57753.593109199996</v>
      </c>
      <c r="O14" s="677">
        <v>57753.593109199996</v>
      </c>
      <c r="P14" s="677">
        <v>0</v>
      </c>
      <c r="Q14" s="677">
        <v>0</v>
      </c>
      <c r="R14" s="677"/>
      <c r="S14" s="688">
        <v>15</v>
      </c>
      <c r="T14" s="689">
        <v>0.127</v>
      </c>
      <c r="U14" s="689">
        <v>0.13500000000000001</v>
      </c>
      <c r="V14" s="689">
        <v>0.13798553008917999</v>
      </c>
      <c r="W14" s="677">
        <v>143.875949043269</v>
      </c>
      <c r="X14" s="683"/>
      <c r="Y14" s="683"/>
      <c r="Z14" s="683"/>
      <c r="AA14" s="683"/>
      <c r="AB14" s="683"/>
      <c r="AC14" s="683"/>
      <c r="AD14" s="683"/>
      <c r="AE14" s="683"/>
      <c r="AF14" s="683"/>
      <c r="AG14" s="683"/>
      <c r="AH14" s="683"/>
      <c r="AI14" s="683"/>
      <c r="AJ14" s="683"/>
      <c r="AK14" s="683"/>
      <c r="AL14" s="683"/>
      <c r="AM14" s="683"/>
      <c r="AN14" s="683"/>
      <c r="AO14" s="683"/>
      <c r="AP14" s="683"/>
      <c r="AQ14" s="683"/>
      <c r="AR14" s="683"/>
      <c r="AS14" s="683"/>
      <c r="AT14" s="683"/>
      <c r="AU14" s="683"/>
      <c r="AV14" s="683"/>
      <c r="AW14" s="683"/>
      <c r="AX14" s="683"/>
      <c r="AY14" s="683"/>
      <c r="AZ14" s="683"/>
      <c r="BA14" s="683"/>
      <c r="BB14" s="683"/>
      <c r="BC14" s="683"/>
      <c r="BD14" s="683"/>
      <c r="BE14" s="683"/>
      <c r="BF14" s="683"/>
      <c r="BG14" s="683"/>
      <c r="BH14" s="683"/>
      <c r="BI14" s="683"/>
      <c r="BJ14" s="683"/>
      <c r="BK14" s="683"/>
      <c r="BL14" s="683"/>
      <c r="BM14" s="683"/>
      <c r="BN14" s="683"/>
      <c r="BO14" s="683"/>
      <c r="BP14" s="683"/>
    </row>
    <row r="15" spans="1:68" s="691" customFormat="1" ht="25.5" x14ac:dyDescent="0.25">
      <c r="A15" s="691" t="s">
        <v>735</v>
      </c>
      <c r="B15" s="697">
        <v>7.2</v>
      </c>
      <c r="C15" s="698" t="s">
        <v>736</v>
      </c>
      <c r="D15" s="687">
        <f t="shared" si="0"/>
        <v>227829.64</v>
      </c>
      <c r="E15" s="677">
        <v>227829.64</v>
      </c>
      <c r="F15" s="677">
        <v>0</v>
      </c>
      <c r="G15" s="677">
        <v>0</v>
      </c>
      <c r="H15" s="677"/>
      <c r="I15" s="677">
        <f t="shared" si="1"/>
        <v>228413.8916</v>
      </c>
      <c r="J15" s="677">
        <v>228413.8916</v>
      </c>
      <c r="K15" s="677">
        <v>0</v>
      </c>
      <c r="L15" s="677">
        <v>0</v>
      </c>
      <c r="M15" s="677"/>
      <c r="N15" s="677">
        <f t="shared" si="2"/>
        <v>7127.1759934000002</v>
      </c>
      <c r="O15" s="677">
        <v>7127.1759934000002</v>
      </c>
      <c r="P15" s="677">
        <v>0</v>
      </c>
      <c r="Q15" s="677">
        <v>0</v>
      </c>
      <c r="R15" s="677"/>
      <c r="S15" s="688">
        <v>3</v>
      </c>
      <c r="T15" s="689">
        <v>0</v>
      </c>
      <c r="U15" s="689">
        <v>0</v>
      </c>
      <c r="V15" s="689">
        <v>0.12560188972778</v>
      </c>
      <c r="W15" s="677">
        <v>145.10675925222</v>
      </c>
      <c r="X15" s="683"/>
      <c r="Y15" s="683"/>
      <c r="Z15" s="683"/>
      <c r="AA15" s="683"/>
      <c r="AB15" s="683"/>
      <c r="AC15" s="683"/>
      <c r="AD15" s="683"/>
      <c r="AE15" s="683"/>
      <c r="AF15" s="683"/>
      <c r="AG15" s="683"/>
      <c r="AH15" s="683"/>
      <c r="AI15" s="683"/>
      <c r="AJ15" s="683"/>
      <c r="AK15" s="683"/>
      <c r="AL15" s="683"/>
      <c r="AM15" s="683"/>
      <c r="AN15" s="683"/>
      <c r="AO15" s="683"/>
      <c r="AP15" s="683"/>
      <c r="AQ15" s="683"/>
      <c r="AR15" s="683"/>
      <c r="AS15" s="683"/>
      <c r="AT15" s="683"/>
      <c r="AU15" s="683"/>
      <c r="AV15" s="683"/>
      <c r="AW15" s="683"/>
      <c r="AX15" s="683"/>
      <c r="AY15" s="683"/>
      <c r="AZ15" s="683"/>
      <c r="BA15" s="683"/>
      <c r="BB15" s="683"/>
      <c r="BC15" s="683"/>
      <c r="BD15" s="683"/>
      <c r="BE15" s="683"/>
      <c r="BF15" s="683"/>
      <c r="BG15" s="683"/>
      <c r="BH15" s="683"/>
      <c r="BI15" s="683"/>
      <c r="BJ15" s="683"/>
      <c r="BK15" s="683"/>
      <c r="BL15" s="683"/>
      <c r="BM15" s="683"/>
      <c r="BN15" s="683"/>
      <c r="BO15" s="683"/>
      <c r="BP15" s="683"/>
    </row>
    <row r="16" spans="1:68" s="691" customFormat="1" x14ac:dyDescent="0.25">
      <c r="A16" s="692" t="s">
        <v>737</v>
      </c>
      <c r="B16" s="697">
        <v>7.3</v>
      </c>
      <c r="C16" s="698" t="s">
        <v>738</v>
      </c>
      <c r="D16" s="687">
        <f t="shared" si="0"/>
        <v>291973.93</v>
      </c>
      <c r="E16" s="677">
        <v>291973.93</v>
      </c>
      <c r="F16" s="677">
        <v>0</v>
      </c>
      <c r="G16" s="677">
        <v>0</v>
      </c>
      <c r="H16" s="677"/>
      <c r="I16" s="677">
        <f t="shared" si="1"/>
        <v>294733.69105000002</v>
      </c>
      <c r="J16" s="677">
        <v>294733.69105000002</v>
      </c>
      <c r="K16" s="677">
        <v>0</v>
      </c>
      <c r="L16" s="677">
        <v>0</v>
      </c>
      <c r="M16" s="677"/>
      <c r="N16" s="677">
        <f t="shared" si="2"/>
        <v>9196.5461152000007</v>
      </c>
      <c r="O16" s="677">
        <v>9196.5461152000007</v>
      </c>
      <c r="P16" s="677">
        <v>0</v>
      </c>
      <c r="Q16" s="677">
        <v>0</v>
      </c>
      <c r="R16" s="677"/>
      <c r="S16" s="688">
        <v>6</v>
      </c>
      <c r="T16" s="689">
        <v>0.13500000000000001</v>
      </c>
      <c r="U16" s="689">
        <v>0.14799999999999999</v>
      </c>
      <c r="V16" s="689">
        <v>0.12870911745442401</v>
      </c>
      <c r="W16" s="677">
        <v>107.59121162975001</v>
      </c>
      <c r="X16" s="683"/>
      <c r="Y16" s="683"/>
      <c r="Z16" s="683"/>
      <c r="AA16" s="683"/>
      <c r="AB16" s="683"/>
      <c r="AC16" s="683"/>
      <c r="AD16" s="683"/>
      <c r="AE16" s="683"/>
      <c r="AF16" s="683"/>
      <c r="AG16" s="683"/>
      <c r="AH16" s="683"/>
      <c r="AI16" s="683"/>
      <c r="AJ16" s="683"/>
      <c r="AK16" s="683"/>
      <c r="AL16" s="683"/>
      <c r="AM16" s="683"/>
      <c r="AN16" s="683"/>
      <c r="AO16" s="683"/>
      <c r="AP16" s="683"/>
      <c r="AQ16" s="683"/>
      <c r="AR16" s="683"/>
      <c r="AS16" s="683"/>
      <c r="AT16" s="683"/>
      <c r="AU16" s="683"/>
      <c r="AV16" s="683"/>
      <c r="AW16" s="683"/>
      <c r="AX16" s="683"/>
      <c r="AY16" s="683"/>
      <c r="AZ16" s="683"/>
      <c r="BA16" s="683"/>
      <c r="BB16" s="683"/>
      <c r="BC16" s="683"/>
      <c r="BD16" s="683"/>
      <c r="BE16" s="683"/>
      <c r="BF16" s="683"/>
      <c r="BG16" s="683"/>
      <c r="BH16" s="683"/>
      <c r="BI16" s="683"/>
      <c r="BJ16" s="683"/>
      <c r="BK16" s="683"/>
      <c r="BL16" s="683"/>
      <c r="BM16" s="683"/>
      <c r="BN16" s="683"/>
      <c r="BO16" s="683"/>
      <c r="BP16" s="683"/>
    </row>
    <row r="17" spans="1:23" x14ac:dyDescent="0.25">
      <c r="A17" s="683" t="s">
        <v>739</v>
      </c>
      <c r="B17" s="685">
        <v>8</v>
      </c>
      <c r="C17" s="690" t="s">
        <v>740</v>
      </c>
      <c r="D17" s="687">
        <f t="shared" si="0"/>
        <v>0</v>
      </c>
      <c r="E17" s="677">
        <v>0</v>
      </c>
      <c r="F17" s="677">
        <v>0</v>
      </c>
      <c r="G17" s="677">
        <v>0</v>
      </c>
      <c r="H17" s="677"/>
      <c r="I17" s="677">
        <f t="shared" si="1"/>
        <v>0</v>
      </c>
      <c r="J17" s="677">
        <v>0</v>
      </c>
      <c r="K17" s="677">
        <v>0</v>
      </c>
      <c r="L17" s="677">
        <v>0</v>
      </c>
      <c r="M17" s="677"/>
      <c r="N17" s="677">
        <f t="shared" si="2"/>
        <v>0</v>
      </c>
      <c r="O17" s="677">
        <v>0</v>
      </c>
      <c r="P17" s="677">
        <v>0</v>
      </c>
      <c r="Q17" s="677">
        <v>0</v>
      </c>
      <c r="R17" s="677"/>
      <c r="S17" s="688">
        <v>0</v>
      </c>
      <c r="T17" s="689">
        <v>0</v>
      </c>
      <c r="U17" s="689">
        <v>0</v>
      </c>
      <c r="V17" s="689">
        <v>0</v>
      </c>
      <c r="W17" s="677">
        <v>0</v>
      </c>
    </row>
    <row r="18" spans="1:23" x14ac:dyDescent="0.25">
      <c r="B18" s="693">
        <v>9</v>
      </c>
      <c r="C18" s="694" t="s">
        <v>741</v>
      </c>
      <c r="D18" s="687">
        <f t="shared" si="0"/>
        <v>0</v>
      </c>
      <c r="E18" s="677">
        <v>0</v>
      </c>
      <c r="F18" s="677">
        <v>0</v>
      </c>
      <c r="G18" s="677">
        <v>0</v>
      </c>
      <c r="H18" s="695"/>
      <c r="I18" s="677">
        <f t="shared" si="1"/>
        <v>0</v>
      </c>
      <c r="J18" s="677">
        <v>0</v>
      </c>
      <c r="K18" s="677">
        <v>0</v>
      </c>
      <c r="L18" s="677">
        <v>0</v>
      </c>
      <c r="M18" s="695"/>
      <c r="N18" s="677">
        <f t="shared" si="2"/>
        <v>0</v>
      </c>
      <c r="O18" s="677">
        <v>0</v>
      </c>
      <c r="P18" s="677">
        <v>0</v>
      </c>
      <c r="Q18" s="677">
        <v>0</v>
      </c>
      <c r="R18" s="695"/>
      <c r="S18" s="688">
        <v>0</v>
      </c>
      <c r="T18" s="689">
        <v>0</v>
      </c>
      <c r="U18" s="689">
        <v>0</v>
      </c>
      <c r="V18" s="689">
        <v>0</v>
      </c>
      <c r="W18" s="677">
        <v>0</v>
      </c>
    </row>
    <row r="19" spans="1:23" x14ac:dyDescent="0.25">
      <c r="B19" s="685">
        <v>10</v>
      </c>
      <c r="C19" s="696" t="s">
        <v>742</v>
      </c>
      <c r="D19" s="687">
        <f t="shared" si="0"/>
        <v>25464897.639999997</v>
      </c>
      <c r="E19" s="677">
        <f>SUM(E7:E13,E17,E18)</f>
        <v>24347011.909999996</v>
      </c>
      <c r="F19" s="677">
        <f>SUM(F7:F13,F17,F18)</f>
        <v>451131.87</v>
      </c>
      <c r="G19" s="677">
        <f>SUM(G7:G13,G17,G18)</f>
        <v>666753.86</v>
      </c>
      <c r="H19" s="677"/>
      <c r="I19" s="677">
        <f>SUM(I7:I13,I17,I18)</f>
        <v>25648693.412747692</v>
      </c>
      <c r="J19" s="677">
        <f>SUM(J7:J13,J17,J18)</f>
        <v>24509705.990411896</v>
      </c>
      <c r="K19" s="677">
        <f>SUM(K7:K13,K17,K18)</f>
        <v>457976.01480970002</v>
      </c>
      <c r="L19" s="677">
        <f>SUM(L7:L13,L17,L18)</f>
        <v>681011.40752610005</v>
      </c>
      <c r="M19" s="677"/>
      <c r="N19" s="677">
        <f>SUM(N7:N13,N17,N18)</f>
        <v>1178176.3911498438</v>
      </c>
      <c r="O19" s="677">
        <f>SUM(O7:O13,O17,O18)</f>
        <v>596190.761745953</v>
      </c>
      <c r="P19" s="677">
        <f>SUM(P7:P13,P17,P18)</f>
        <v>82741.653409091014</v>
      </c>
      <c r="Q19" s="677">
        <f>SUM(Q7:Q13,Q17,Q18)</f>
        <v>499243.97599479998</v>
      </c>
      <c r="R19" s="677"/>
      <c r="S19" s="688">
        <v>2407</v>
      </c>
      <c r="T19" s="689">
        <v>0.205263742294824</v>
      </c>
      <c r="U19" s="689">
        <v>0.234120371758229</v>
      </c>
      <c r="V19" s="689">
        <v>0.193729463262447</v>
      </c>
      <c r="W19" s="678">
        <v>55.589534893095198</v>
      </c>
    </row>
    <row r="20" spans="1:23" ht="25.5" x14ac:dyDescent="0.25">
      <c r="B20" s="697">
        <v>10.1</v>
      </c>
      <c r="C20" s="698" t="s">
        <v>743</v>
      </c>
      <c r="D20" s="688"/>
      <c r="E20" s="677"/>
      <c r="F20" s="677"/>
      <c r="G20" s="677"/>
      <c r="H20" s="677"/>
      <c r="I20" s="677">
        <f t="shared" ref="I20" si="3">SUM(J20:M20)</f>
        <v>0</v>
      </c>
      <c r="J20" s="677"/>
      <c r="K20" s="677"/>
      <c r="L20" s="677"/>
      <c r="M20" s="677"/>
      <c r="N20" s="677">
        <f t="shared" ref="N20" si="4">O20+P20+Q20</f>
        <v>0</v>
      </c>
      <c r="O20" s="677"/>
      <c r="P20" s="677"/>
      <c r="Q20" s="677"/>
      <c r="R20" s="677"/>
      <c r="S20" s="688"/>
      <c r="T20" s="688"/>
      <c r="U20" s="688"/>
      <c r="V20" s="688"/>
      <c r="W20" s="688"/>
    </row>
    <row r="22" spans="1:23" x14ac:dyDescent="0.25">
      <c r="C22" s="699"/>
      <c r="D22" s="700"/>
    </row>
    <row r="23" spans="1:23" s="237" customFormat="1" x14ac:dyDescent="0.25">
      <c r="D23" s="254"/>
      <c r="E23" s="254"/>
      <c r="F23" s="254"/>
      <c r="G23" s="254"/>
      <c r="H23" s="254"/>
      <c r="I23" s="254"/>
      <c r="J23" s="254"/>
      <c r="K23" s="254"/>
      <c r="L23" s="254"/>
      <c r="M23" s="254"/>
      <c r="N23" s="254"/>
      <c r="O23" s="254"/>
      <c r="P23" s="254"/>
      <c r="Q23" s="254"/>
      <c r="R23" s="254"/>
      <c r="S23" s="254"/>
      <c r="T23" s="701"/>
      <c r="U23" s="701"/>
      <c r="V23" s="702"/>
      <c r="W23" s="703"/>
    </row>
    <row r="24" spans="1:23" x14ac:dyDescent="0.25">
      <c r="D24" s="700"/>
    </row>
    <row r="25" spans="1:23" x14ac:dyDescent="0.25">
      <c r="D25" s="700"/>
      <c r="E25" s="700"/>
    </row>
    <row r="26" spans="1:23" x14ac:dyDescent="0.25">
      <c r="I26" s="700"/>
    </row>
    <row r="27" spans="1:23" x14ac:dyDescent="0.25">
      <c r="I27" s="700"/>
    </row>
  </sheetData>
  <mergeCells count="9">
    <mergeCell ref="U5:U6"/>
    <mergeCell ref="V5:V6"/>
    <mergeCell ref="W5:W6"/>
    <mergeCell ref="B5:C6"/>
    <mergeCell ref="D5:H5"/>
    <mergeCell ref="I5:M5"/>
    <mergeCell ref="N5:R5"/>
    <mergeCell ref="S5:S6"/>
    <mergeCell ref="T5:T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6084E-7F87-40DF-9962-2AFAFC2C5815}">
  <dimension ref="A1:H69"/>
  <sheetViews>
    <sheetView zoomScaleNormal="100" workbookViewId="0">
      <selection activeCell="C1" sqref="C1:H1048576"/>
    </sheetView>
  </sheetViews>
  <sheetFormatPr defaultRowHeight="15" x14ac:dyDescent="0.25"/>
  <cols>
    <col min="1" max="1" width="9.140625" style="150"/>
    <col min="2" max="2" width="69.28515625" style="151" customWidth="1"/>
    <col min="3" max="3" width="15.7109375" style="43" customWidth="1"/>
    <col min="4" max="4" width="14.42578125" style="43" customWidth="1"/>
    <col min="5" max="5" width="13.140625" style="43" customWidth="1"/>
    <col min="6" max="6" width="15.140625" style="43" customWidth="1"/>
    <col min="7" max="7" width="13.42578125" style="43" customWidth="1"/>
    <col min="8" max="8" width="13.140625" style="43" customWidth="1"/>
    <col min="9" max="9" width="13.7109375" customWidth="1"/>
  </cols>
  <sheetData>
    <row r="1" spans="1:8" ht="15.75" x14ac:dyDescent="0.3">
      <c r="A1" s="21" t="s">
        <v>41</v>
      </c>
      <c r="B1" s="22" t="str">
        <f>Info!C2</f>
        <v>სს სილქ ბანკი</v>
      </c>
      <c r="C1" s="111"/>
      <c r="D1" s="112"/>
      <c r="E1" s="112"/>
      <c r="F1" s="112"/>
      <c r="G1" s="112"/>
    </row>
    <row r="2" spans="1:8" ht="15.75" x14ac:dyDescent="0.3">
      <c r="A2" s="21" t="s">
        <v>42</v>
      </c>
      <c r="B2" s="24">
        <f>'1. key ratios'!B2</f>
        <v>45473</v>
      </c>
      <c r="C2" s="111"/>
      <c r="D2" s="112"/>
      <c r="E2" s="112"/>
      <c r="F2" s="112"/>
      <c r="G2" s="112"/>
    </row>
    <row r="3" spans="1:8" ht="16.5" thickBot="1" x14ac:dyDescent="0.35">
      <c r="A3" s="21"/>
      <c r="B3" s="23"/>
      <c r="C3" s="111"/>
      <c r="D3" s="112"/>
      <c r="E3" s="112"/>
      <c r="F3" s="112"/>
      <c r="G3" s="112"/>
    </row>
    <row r="4" spans="1:8" ht="40.5" customHeight="1" x14ac:dyDescent="0.25">
      <c r="A4" s="794" t="s">
        <v>46</v>
      </c>
      <c r="B4" s="795" t="s">
        <v>91</v>
      </c>
      <c r="C4" s="797" t="s">
        <v>92</v>
      </c>
      <c r="D4" s="797"/>
      <c r="E4" s="797"/>
      <c r="F4" s="797" t="s">
        <v>93</v>
      </c>
      <c r="G4" s="797"/>
      <c r="H4" s="798"/>
    </row>
    <row r="5" spans="1:8" ht="21" customHeight="1" x14ac:dyDescent="0.25">
      <c r="A5" s="794"/>
      <c r="B5" s="796"/>
      <c r="C5" s="114" t="s">
        <v>94</v>
      </c>
      <c r="D5" s="114" t="s">
        <v>95</v>
      </c>
      <c r="E5" s="114" t="s">
        <v>96</v>
      </c>
      <c r="F5" s="114" t="s">
        <v>94</v>
      </c>
      <c r="G5" s="114" t="s">
        <v>95</v>
      </c>
      <c r="H5" s="114" t="s">
        <v>96</v>
      </c>
    </row>
    <row r="6" spans="1:8" ht="26.45" customHeight="1" x14ac:dyDescent="0.25">
      <c r="A6" s="794"/>
      <c r="B6" s="115" t="s">
        <v>97</v>
      </c>
      <c r="C6" s="116"/>
      <c r="D6" s="117"/>
      <c r="E6" s="117"/>
      <c r="F6" s="117"/>
      <c r="G6" s="117"/>
      <c r="H6" s="118"/>
    </row>
    <row r="7" spans="1:8" ht="23.1" customHeight="1" x14ac:dyDescent="0.25">
      <c r="A7" s="119">
        <v>1</v>
      </c>
      <c r="B7" s="120" t="s">
        <v>98</v>
      </c>
      <c r="C7" s="121">
        <f>SUM(C8:C10)</f>
        <v>43498432.640811704</v>
      </c>
      <c r="D7" s="121">
        <f>SUM(D8:D10)</f>
        <v>17353133.499999862</v>
      </c>
      <c r="E7" s="122">
        <f>C7+D7</f>
        <v>60851566.140811563</v>
      </c>
      <c r="F7" s="121">
        <v>64937554.159999974</v>
      </c>
      <c r="G7" s="121">
        <v>4887352.290000001</v>
      </c>
      <c r="H7" s="122">
        <f>F7+G7</f>
        <v>69824906.449999973</v>
      </c>
    </row>
    <row r="8" spans="1:8" x14ac:dyDescent="0.25">
      <c r="A8" s="119">
        <v>1.1000000000000001</v>
      </c>
      <c r="B8" s="123" t="s">
        <v>99</v>
      </c>
      <c r="C8" s="121">
        <v>867076.15000000037</v>
      </c>
      <c r="D8" s="121">
        <v>2579336.2500000023</v>
      </c>
      <c r="E8" s="122">
        <f t="shared" ref="E8:E36" si="0">C8+D8</f>
        <v>3446412.4000000027</v>
      </c>
      <c r="F8" s="121">
        <v>953605.2799999984</v>
      </c>
      <c r="G8" s="121">
        <v>1265069.1200000029</v>
      </c>
      <c r="H8" s="122">
        <f t="shared" ref="H8:H36" si="1">F8+G8</f>
        <v>2218674.4000000013</v>
      </c>
    </row>
    <row r="9" spans="1:8" x14ac:dyDescent="0.25">
      <c r="A9" s="119">
        <v>1.2</v>
      </c>
      <c r="B9" s="123" t="s">
        <v>100</v>
      </c>
      <c r="C9" s="121">
        <v>1024049.8300000047</v>
      </c>
      <c r="D9" s="121">
        <v>3040490.7799999979</v>
      </c>
      <c r="E9" s="122">
        <f t="shared" si="0"/>
        <v>4064540.6100000027</v>
      </c>
      <c r="F9" s="121">
        <v>4628333.969999969</v>
      </c>
      <c r="G9" s="121">
        <v>1968637.9200000013</v>
      </c>
      <c r="H9" s="122">
        <f t="shared" si="1"/>
        <v>6596971.8899999708</v>
      </c>
    </row>
    <row r="10" spans="1:8" x14ac:dyDescent="0.25">
      <c r="A10" s="119">
        <v>1.3</v>
      </c>
      <c r="B10" s="123" t="s">
        <v>101</v>
      </c>
      <c r="C10" s="124">
        <v>41607306.6608117</v>
      </c>
      <c r="D10" s="124">
        <v>11733306.469999863</v>
      </c>
      <c r="E10" s="122">
        <f t="shared" si="0"/>
        <v>53340613.130811565</v>
      </c>
      <c r="F10" s="121">
        <v>59355614.910000004</v>
      </c>
      <c r="G10" s="121">
        <v>1653645.2499999967</v>
      </c>
      <c r="H10" s="122">
        <f t="shared" si="1"/>
        <v>61009260.160000004</v>
      </c>
    </row>
    <row r="11" spans="1:8" x14ac:dyDescent="0.25">
      <c r="A11" s="119">
        <v>2</v>
      </c>
      <c r="B11" s="125" t="s">
        <v>102</v>
      </c>
      <c r="C11" s="121">
        <f>C12</f>
        <v>130815.54650862557</v>
      </c>
      <c r="D11" s="121">
        <f>D12</f>
        <v>0</v>
      </c>
      <c r="E11" s="122">
        <f t="shared" si="0"/>
        <v>130815.54650862557</v>
      </c>
      <c r="F11" s="121">
        <v>0</v>
      </c>
      <c r="G11" s="121">
        <v>13720</v>
      </c>
      <c r="H11" s="122">
        <f t="shared" si="1"/>
        <v>13720</v>
      </c>
    </row>
    <row r="12" spans="1:8" x14ac:dyDescent="0.25">
      <c r="A12" s="119">
        <v>2.1</v>
      </c>
      <c r="B12" s="126" t="s">
        <v>103</v>
      </c>
      <c r="C12" s="121">
        <v>130815.54650862557</v>
      </c>
      <c r="D12" s="121">
        <v>0</v>
      </c>
      <c r="E12" s="122">
        <f t="shared" si="0"/>
        <v>130815.54650862557</v>
      </c>
      <c r="F12" s="121">
        <v>0</v>
      </c>
      <c r="G12" s="121">
        <v>13720</v>
      </c>
      <c r="H12" s="122">
        <f t="shared" si="1"/>
        <v>13720</v>
      </c>
    </row>
    <row r="13" spans="1:8" ht="26.45" customHeight="1" x14ac:dyDescent="0.25">
      <c r="A13" s="119">
        <v>3</v>
      </c>
      <c r="B13" s="127" t="s">
        <v>104</v>
      </c>
      <c r="C13" s="121"/>
      <c r="D13" s="121"/>
      <c r="E13" s="122">
        <f t="shared" si="0"/>
        <v>0</v>
      </c>
      <c r="F13" s="121"/>
      <c r="G13" s="121"/>
      <c r="H13" s="122">
        <f t="shared" si="1"/>
        <v>0</v>
      </c>
    </row>
    <row r="14" spans="1:8" ht="26.45" customHeight="1" x14ac:dyDescent="0.25">
      <c r="A14" s="119">
        <v>4</v>
      </c>
      <c r="B14" s="128" t="s">
        <v>105</v>
      </c>
      <c r="C14" s="121"/>
      <c r="D14" s="121"/>
      <c r="E14" s="122">
        <f t="shared" si="0"/>
        <v>0</v>
      </c>
      <c r="F14" s="121"/>
      <c r="G14" s="121"/>
      <c r="H14" s="122">
        <f t="shared" si="1"/>
        <v>0</v>
      </c>
    </row>
    <row r="15" spans="1:8" ht="24.6" customHeight="1" x14ac:dyDescent="0.25">
      <c r="A15" s="119">
        <v>5</v>
      </c>
      <c r="B15" s="128" t="s">
        <v>106</v>
      </c>
      <c r="C15" s="129">
        <f>SUM(C16:C18)</f>
        <v>20000</v>
      </c>
      <c r="D15" s="129">
        <f>SUM(D16:D18)</f>
        <v>0</v>
      </c>
      <c r="E15" s="130">
        <f t="shared" si="0"/>
        <v>20000</v>
      </c>
      <c r="F15" s="129">
        <v>20000</v>
      </c>
      <c r="G15" s="129">
        <v>0</v>
      </c>
      <c r="H15" s="130">
        <f t="shared" si="1"/>
        <v>20000</v>
      </c>
    </row>
    <row r="16" spans="1:8" x14ac:dyDescent="0.25">
      <c r="A16" s="119">
        <v>5.0999999999999996</v>
      </c>
      <c r="B16" s="131" t="s">
        <v>107</v>
      </c>
      <c r="C16" s="121">
        <v>20000</v>
      </c>
      <c r="D16" s="121"/>
      <c r="E16" s="122">
        <f t="shared" si="0"/>
        <v>20000</v>
      </c>
      <c r="F16" s="121">
        <v>20000</v>
      </c>
      <c r="G16" s="121"/>
      <c r="H16" s="122">
        <f t="shared" si="1"/>
        <v>20000</v>
      </c>
    </row>
    <row r="17" spans="1:8" x14ac:dyDescent="0.25">
      <c r="A17" s="119">
        <v>5.2</v>
      </c>
      <c r="B17" s="131" t="s">
        <v>108</v>
      </c>
      <c r="C17" s="121"/>
      <c r="D17" s="121"/>
      <c r="E17" s="122">
        <f t="shared" si="0"/>
        <v>0</v>
      </c>
      <c r="F17" s="121"/>
      <c r="G17" s="121"/>
      <c r="H17" s="122">
        <f t="shared" si="1"/>
        <v>0</v>
      </c>
    </row>
    <row r="18" spans="1:8" x14ac:dyDescent="0.25">
      <c r="A18" s="119">
        <v>5.3</v>
      </c>
      <c r="B18" s="131" t="s">
        <v>109</v>
      </c>
      <c r="C18" s="121"/>
      <c r="D18" s="121"/>
      <c r="E18" s="122">
        <f t="shared" si="0"/>
        <v>0</v>
      </c>
      <c r="F18" s="121"/>
      <c r="G18" s="121"/>
      <c r="H18" s="122">
        <f t="shared" si="1"/>
        <v>0</v>
      </c>
    </row>
    <row r="19" spans="1:8" x14ac:dyDescent="0.25">
      <c r="A19" s="119">
        <v>6</v>
      </c>
      <c r="B19" s="127" t="s">
        <v>110</v>
      </c>
      <c r="C19" s="121">
        <f>SUM(C20:C21)</f>
        <v>72727193.449607104</v>
      </c>
      <c r="D19" s="121">
        <f>SUM(D20:D21)</f>
        <v>39968204.10484688</v>
      </c>
      <c r="E19" s="122">
        <f t="shared" si="0"/>
        <v>112695397.55445398</v>
      </c>
      <c r="F19" s="121">
        <v>37550930.86545413</v>
      </c>
      <c r="G19" s="121">
        <v>8622718.0032036975</v>
      </c>
      <c r="H19" s="122">
        <f t="shared" si="1"/>
        <v>46173648.868657827</v>
      </c>
    </row>
    <row r="20" spans="1:8" x14ac:dyDescent="0.25">
      <c r="A20" s="119">
        <v>6.1</v>
      </c>
      <c r="B20" s="131" t="s">
        <v>108</v>
      </c>
      <c r="C20" s="121">
        <v>24460592.292955898</v>
      </c>
      <c r="D20" s="121">
        <v>2312675.7686999999</v>
      </c>
      <c r="E20" s="122">
        <f t="shared" si="0"/>
        <v>26773268.061655898</v>
      </c>
      <c r="F20" s="121">
        <v>25010350.438634034</v>
      </c>
      <c r="G20" s="121"/>
      <c r="H20" s="122">
        <f t="shared" si="1"/>
        <v>25010350.438634034</v>
      </c>
    </row>
    <row r="21" spans="1:8" x14ac:dyDescent="0.25">
      <c r="A21" s="119">
        <v>6.2</v>
      </c>
      <c r="B21" s="131" t="s">
        <v>109</v>
      </c>
      <c r="C21" s="121">
        <v>48266601.156651206</v>
      </c>
      <c r="D21" s="121">
        <v>37655528.336146884</v>
      </c>
      <c r="E21" s="122">
        <f t="shared" si="0"/>
        <v>85922129.49279809</v>
      </c>
      <c r="F21" s="124">
        <v>12540580.426820096</v>
      </c>
      <c r="G21" s="124">
        <v>8622718.0032036975</v>
      </c>
      <c r="H21" s="122">
        <f t="shared" si="1"/>
        <v>21163298.430023793</v>
      </c>
    </row>
    <row r="22" spans="1:8" x14ac:dyDescent="0.25">
      <c r="A22" s="119">
        <v>7</v>
      </c>
      <c r="B22" s="132" t="s">
        <v>111</v>
      </c>
      <c r="C22" s="121"/>
      <c r="D22" s="121"/>
      <c r="E22" s="122">
        <f t="shared" si="0"/>
        <v>0</v>
      </c>
      <c r="F22" s="121"/>
      <c r="G22" s="121"/>
      <c r="H22" s="122">
        <f t="shared" si="1"/>
        <v>0</v>
      </c>
    </row>
    <row r="23" spans="1:8" ht="21" x14ac:dyDescent="0.25">
      <c r="A23" s="119">
        <v>8</v>
      </c>
      <c r="B23" s="133" t="s">
        <v>112</v>
      </c>
      <c r="C23" s="121">
        <v>3405446.1870027352</v>
      </c>
      <c r="D23" s="121">
        <v>0</v>
      </c>
      <c r="E23" s="122">
        <f t="shared" si="0"/>
        <v>3405446.1870027352</v>
      </c>
      <c r="F23" s="121">
        <v>3389411.9415073614</v>
      </c>
      <c r="G23" s="121">
        <v>0</v>
      </c>
      <c r="H23" s="122">
        <f t="shared" si="1"/>
        <v>3389411.9415073614</v>
      </c>
    </row>
    <row r="24" spans="1:8" x14ac:dyDescent="0.25">
      <c r="A24" s="119">
        <v>9</v>
      </c>
      <c r="B24" s="128" t="s">
        <v>113</v>
      </c>
      <c r="C24" s="121">
        <f>SUM(C25:C26)</f>
        <v>16937598.419214901</v>
      </c>
      <c r="D24" s="121">
        <f>SUM(D25:D26)</f>
        <v>0</v>
      </c>
      <c r="E24" s="122">
        <f>C24+D24</f>
        <v>16937598.419214901</v>
      </c>
      <c r="F24" s="121">
        <v>19081042.57</v>
      </c>
      <c r="G24" s="121">
        <v>0</v>
      </c>
      <c r="H24" s="122">
        <f t="shared" si="1"/>
        <v>19081042.57</v>
      </c>
    </row>
    <row r="25" spans="1:8" x14ac:dyDescent="0.25">
      <c r="A25" s="119">
        <v>9.1</v>
      </c>
      <c r="B25" s="134" t="s">
        <v>114</v>
      </c>
      <c r="C25" s="121">
        <v>16937598.419214901</v>
      </c>
      <c r="D25" s="121"/>
      <c r="E25" s="122">
        <f>C25+D25</f>
        <v>16937598.419214901</v>
      </c>
      <c r="F25" s="121">
        <v>19081042.57</v>
      </c>
      <c r="G25" s="121"/>
      <c r="H25" s="122">
        <f t="shared" si="1"/>
        <v>19081042.57</v>
      </c>
    </row>
    <row r="26" spans="1:8" x14ac:dyDescent="0.25">
      <c r="A26" s="119">
        <v>9.1999999999999993</v>
      </c>
      <c r="B26" s="134" t="s">
        <v>115</v>
      </c>
      <c r="C26" s="121"/>
      <c r="D26" s="121"/>
      <c r="E26" s="122">
        <f>C26+D26</f>
        <v>0</v>
      </c>
      <c r="F26" s="121"/>
      <c r="G26" s="121"/>
      <c r="H26" s="122">
        <f t="shared" si="1"/>
        <v>0</v>
      </c>
    </row>
    <row r="27" spans="1:8" x14ac:dyDescent="0.25">
      <c r="A27" s="119">
        <v>10</v>
      </c>
      <c r="B27" s="128" t="s">
        <v>116</v>
      </c>
      <c r="C27" s="121">
        <f>SUM(C28:C29)</f>
        <v>1387773.6500000004</v>
      </c>
      <c r="D27" s="121">
        <f>SUM(D28:D29)</f>
        <v>0</v>
      </c>
      <c r="E27" s="122">
        <f t="shared" si="0"/>
        <v>1387773.6500000004</v>
      </c>
      <c r="F27" s="121">
        <v>795839.35999999987</v>
      </c>
      <c r="G27" s="121">
        <v>0</v>
      </c>
      <c r="H27" s="122">
        <f t="shared" si="1"/>
        <v>795839.35999999987</v>
      </c>
    </row>
    <row r="28" spans="1:8" x14ac:dyDescent="0.25">
      <c r="A28" s="119">
        <v>10.1</v>
      </c>
      <c r="B28" s="134" t="s">
        <v>117</v>
      </c>
      <c r="C28" s="121"/>
      <c r="D28" s="121"/>
      <c r="E28" s="122">
        <f t="shared" si="0"/>
        <v>0</v>
      </c>
      <c r="F28" s="121"/>
      <c r="G28" s="121"/>
      <c r="H28" s="122">
        <f t="shared" si="1"/>
        <v>0</v>
      </c>
    </row>
    <row r="29" spans="1:8" x14ac:dyDescent="0.25">
      <c r="A29" s="119">
        <v>10.199999999999999</v>
      </c>
      <c r="B29" s="134" t="s">
        <v>118</v>
      </c>
      <c r="C29" s="121">
        <v>1387773.6500000004</v>
      </c>
      <c r="D29" s="121"/>
      <c r="E29" s="122">
        <f t="shared" si="0"/>
        <v>1387773.6500000004</v>
      </c>
      <c r="F29" s="121">
        <v>795839.35999999987</v>
      </c>
      <c r="G29" s="121"/>
      <c r="H29" s="122">
        <f t="shared" si="1"/>
        <v>795839.35999999987</v>
      </c>
    </row>
    <row r="30" spans="1:8" x14ac:dyDescent="0.25">
      <c r="A30" s="119">
        <v>11</v>
      </c>
      <c r="B30" s="128" t="s">
        <v>119</v>
      </c>
      <c r="C30" s="121">
        <f>SUM(C31:C32)</f>
        <v>45248.5</v>
      </c>
      <c r="D30" s="121">
        <f>SUM(D31:D32)</f>
        <v>0</v>
      </c>
      <c r="E30" s="122">
        <f t="shared" si="0"/>
        <v>45248.5</v>
      </c>
      <c r="F30" s="121">
        <v>45248.5</v>
      </c>
      <c r="G30" s="121">
        <v>0</v>
      </c>
      <c r="H30" s="122">
        <f t="shared" si="1"/>
        <v>45248.5</v>
      </c>
    </row>
    <row r="31" spans="1:8" x14ac:dyDescent="0.25">
      <c r="A31" s="119">
        <v>11.1</v>
      </c>
      <c r="B31" s="134" t="s">
        <v>120</v>
      </c>
      <c r="C31" s="121">
        <v>45248.5</v>
      </c>
      <c r="D31" s="121"/>
      <c r="E31" s="122">
        <f t="shared" si="0"/>
        <v>45248.5</v>
      </c>
      <c r="F31" s="121">
        <v>45248.5</v>
      </c>
      <c r="G31" s="121"/>
      <c r="H31" s="122">
        <f t="shared" si="1"/>
        <v>45248.5</v>
      </c>
    </row>
    <row r="32" spans="1:8" x14ac:dyDescent="0.25">
      <c r="A32" s="119">
        <v>11.2</v>
      </c>
      <c r="B32" s="134" t="s">
        <v>121</v>
      </c>
      <c r="C32" s="121"/>
      <c r="D32" s="121"/>
      <c r="E32" s="122">
        <f t="shared" si="0"/>
        <v>0</v>
      </c>
      <c r="F32" s="121"/>
      <c r="G32" s="121"/>
      <c r="H32" s="122">
        <f t="shared" si="1"/>
        <v>0</v>
      </c>
    </row>
    <row r="33" spans="1:8" x14ac:dyDescent="0.25">
      <c r="A33" s="119">
        <v>13</v>
      </c>
      <c r="B33" s="128" t="s">
        <v>122</v>
      </c>
      <c r="C33" s="124">
        <v>7800342.330000001</v>
      </c>
      <c r="D33" s="124">
        <v>54657.380000000005</v>
      </c>
      <c r="E33" s="122">
        <f t="shared" si="0"/>
        <v>7854999.7100000009</v>
      </c>
      <c r="F33" s="121">
        <v>1502195.3199999998</v>
      </c>
      <c r="G33" s="121">
        <v>223653.14</v>
      </c>
      <c r="H33" s="122">
        <f t="shared" si="1"/>
        <v>1725848.46</v>
      </c>
    </row>
    <row r="34" spans="1:8" x14ac:dyDescent="0.25">
      <c r="A34" s="119">
        <v>13.1</v>
      </c>
      <c r="B34" s="135" t="s">
        <v>123</v>
      </c>
      <c r="C34" s="121"/>
      <c r="D34" s="121"/>
      <c r="E34" s="122">
        <f t="shared" si="0"/>
        <v>0</v>
      </c>
      <c r="F34" s="121"/>
      <c r="G34" s="121"/>
      <c r="H34" s="122">
        <f t="shared" si="1"/>
        <v>0</v>
      </c>
    </row>
    <row r="35" spans="1:8" x14ac:dyDescent="0.25">
      <c r="A35" s="119">
        <v>13.2</v>
      </c>
      <c r="B35" s="135" t="s">
        <v>124</v>
      </c>
      <c r="C35" s="121"/>
      <c r="D35" s="121"/>
      <c r="E35" s="122">
        <f t="shared" si="0"/>
        <v>0</v>
      </c>
      <c r="F35" s="121"/>
      <c r="G35" s="121"/>
      <c r="H35" s="122">
        <f t="shared" si="1"/>
        <v>0</v>
      </c>
    </row>
    <row r="36" spans="1:8" x14ac:dyDescent="0.25">
      <c r="A36" s="119">
        <v>14</v>
      </c>
      <c r="B36" s="136" t="s">
        <v>125</v>
      </c>
      <c r="C36" s="121">
        <f>SUM(C7,C11,C13,C14,C15,C19,C22,C23,C24,C27,C30,C33)</f>
        <v>145952850.72314507</v>
      </c>
      <c r="D36" s="121">
        <f>SUM(D7,D11,D13,D14,D15,D19,D22,D23,D24,D27,D30,D33)</f>
        <v>57375994.984846748</v>
      </c>
      <c r="E36" s="122">
        <f t="shared" si="0"/>
        <v>203328845.70799181</v>
      </c>
      <c r="F36" s="121">
        <v>127322222.71696146</v>
      </c>
      <c r="G36" s="121">
        <v>13747443.433203699</v>
      </c>
      <c r="H36" s="122">
        <f t="shared" si="1"/>
        <v>141069666.15016517</v>
      </c>
    </row>
    <row r="37" spans="1:8" ht="22.5" customHeight="1" x14ac:dyDescent="0.25">
      <c r="A37" s="119"/>
      <c r="B37" s="137" t="s">
        <v>126</v>
      </c>
      <c r="C37" s="138"/>
      <c r="D37" s="139"/>
      <c r="E37" s="140"/>
      <c r="F37" s="139"/>
      <c r="G37" s="139"/>
      <c r="H37" s="141"/>
    </row>
    <row r="38" spans="1:8" x14ac:dyDescent="0.25">
      <c r="A38" s="119">
        <v>15</v>
      </c>
      <c r="B38" s="142" t="s">
        <v>127</v>
      </c>
      <c r="C38" s="121">
        <f>C39</f>
        <v>26170</v>
      </c>
      <c r="D38" s="121">
        <f>D39</f>
        <v>206939.90677948453</v>
      </c>
      <c r="E38" s="122">
        <f>C38+D38</f>
        <v>233109.90677948453</v>
      </c>
      <c r="F38" s="121">
        <v>12530</v>
      </c>
      <c r="G38" s="121">
        <v>217453.9425461124</v>
      </c>
      <c r="H38" s="122">
        <f>F38+G38</f>
        <v>229983.9425461124</v>
      </c>
    </row>
    <row r="39" spans="1:8" x14ac:dyDescent="0.25">
      <c r="A39" s="119">
        <v>15.1</v>
      </c>
      <c r="B39" s="126" t="s">
        <v>103</v>
      </c>
      <c r="C39" s="121">
        <v>26170</v>
      </c>
      <c r="D39" s="121">
        <v>206939.90677948453</v>
      </c>
      <c r="E39" s="122">
        <f t="shared" ref="E39:E53" si="2">C39+D39</f>
        <v>233109.90677948453</v>
      </c>
      <c r="F39" s="121">
        <v>12530</v>
      </c>
      <c r="G39" s="121">
        <v>217453.9425461124</v>
      </c>
      <c r="H39" s="122">
        <f t="shared" ref="H39:H53" si="3">F39+G39</f>
        <v>229983.9425461124</v>
      </c>
    </row>
    <row r="40" spans="1:8" ht="24" customHeight="1" x14ac:dyDescent="0.25">
      <c r="A40" s="119">
        <v>16</v>
      </c>
      <c r="B40" s="143" t="s">
        <v>128</v>
      </c>
      <c r="C40" s="121"/>
      <c r="D40" s="121"/>
      <c r="E40" s="122">
        <f t="shared" si="2"/>
        <v>0</v>
      </c>
      <c r="F40" s="121"/>
      <c r="G40" s="121"/>
      <c r="H40" s="122">
        <f t="shared" si="3"/>
        <v>0</v>
      </c>
    </row>
    <row r="41" spans="1:8" ht="21" x14ac:dyDescent="0.25">
      <c r="A41" s="119">
        <v>17</v>
      </c>
      <c r="B41" s="143" t="s">
        <v>129</v>
      </c>
      <c r="C41" s="121">
        <f>SUM(C42:C45)</f>
        <v>115183555.78379075</v>
      </c>
      <c r="D41" s="121">
        <f>SUM(D42:D45)</f>
        <v>26716448.436081309</v>
      </c>
      <c r="E41" s="122">
        <f t="shared" si="2"/>
        <v>141900004.21987206</v>
      </c>
      <c r="F41" s="121">
        <v>66435760.125296876</v>
      </c>
      <c r="G41" s="121">
        <v>14163377.689999999</v>
      </c>
      <c r="H41" s="122">
        <f t="shared" si="3"/>
        <v>80599137.815296873</v>
      </c>
    </row>
    <row r="42" spans="1:8" x14ac:dyDescent="0.25">
      <c r="A42" s="119">
        <v>17.100000000000001</v>
      </c>
      <c r="B42" s="145" t="s">
        <v>130</v>
      </c>
      <c r="C42" s="124">
        <v>115164357.68268463</v>
      </c>
      <c r="D42" s="124">
        <v>25557026.769999996</v>
      </c>
      <c r="E42" s="122">
        <f t="shared" si="2"/>
        <v>140721384.45268464</v>
      </c>
      <c r="F42" s="124">
        <v>66404841.855296873</v>
      </c>
      <c r="G42" s="124">
        <v>13941221.16</v>
      </c>
      <c r="H42" s="122">
        <f t="shared" si="3"/>
        <v>80346063.015296876</v>
      </c>
    </row>
    <row r="43" spans="1:8" x14ac:dyDescent="0.25">
      <c r="A43" s="119">
        <v>17.2</v>
      </c>
      <c r="B43" s="123" t="s">
        <v>131</v>
      </c>
      <c r="C43" s="121">
        <v>0</v>
      </c>
      <c r="D43" s="121">
        <v>0</v>
      </c>
      <c r="E43" s="122">
        <f t="shared" si="2"/>
        <v>0</v>
      </c>
      <c r="F43" s="121">
        <v>0</v>
      </c>
      <c r="G43" s="121">
        <v>0</v>
      </c>
      <c r="H43" s="122">
        <f t="shared" si="3"/>
        <v>0</v>
      </c>
    </row>
    <row r="44" spans="1:8" x14ac:dyDescent="0.25">
      <c r="A44" s="119">
        <v>17.3</v>
      </c>
      <c r="B44" s="145" t="s">
        <v>132</v>
      </c>
      <c r="C44" s="121"/>
      <c r="D44" s="121"/>
      <c r="E44" s="122">
        <f t="shared" si="2"/>
        <v>0</v>
      </c>
      <c r="F44" s="121"/>
      <c r="G44" s="121"/>
      <c r="H44" s="122">
        <f t="shared" si="3"/>
        <v>0</v>
      </c>
    </row>
    <row r="45" spans="1:8" x14ac:dyDescent="0.25">
      <c r="A45" s="119">
        <v>17.399999999999999</v>
      </c>
      <c r="B45" s="145" t="s">
        <v>133</v>
      </c>
      <c r="C45" s="124">
        <v>19198.101106125163</v>
      </c>
      <c r="D45" s="124">
        <v>1159421.666081313</v>
      </c>
      <c r="E45" s="122">
        <f t="shared" si="2"/>
        <v>1178619.7671874382</v>
      </c>
      <c r="F45" s="124">
        <v>30918.270000000004</v>
      </c>
      <c r="G45" s="124">
        <v>222156.53000000003</v>
      </c>
      <c r="H45" s="122">
        <f t="shared" si="3"/>
        <v>253074.80000000005</v>
      </c>
    </row>
    <row r="46" spans="1:8" x14ac:dyDescent="0.25">
      <c r="A46" s="119">
        <v>18</v>
      </c>
      <c r="B46" s="128" t="s">
        <v>134</v>
      </c>
      <c r="C46" s="121">
        <v>18505.79143925885</v>
      </c>
      <c r="D46" s="121">
        <v>10136.023914488725</v>
      </c>
      <c r="E46" s="122">
        <f t="shared" si="2"/>
        <v>28641.815353747574</v>
      </c>
      <c r="F46" s="124">
        <v>8943.5671997316531</v>
      </c>
      <c r="G46" s="121">
        <v>41898.594405891556</v>
      </c>
      <c r="H46" s="122">
        <f t="shared" si="3"/>
        <v>50842.161605623209</v>
      </c>
    </row>
    <row r="47" spans="1:8" x14ac:dyDescent="0.25">
      <c r="A47" s="119">
        <v>19</v>
      </c>
      <c r="B47" s="128" t="s">
        <v>135</v>
      </c>
      <c r="C47" s="121">
        <f>SUM(C48:C49)</f>
        <v>1139408.8970912299</v>
      </c>
      <c r="D47" s="121">
        <f>SUM(D48:D49)</f>
        <v>0</v>
      </c>
      <c r="E47" s="122">
        <f t="shared" si="2"/>
        <v>1139408.8970912299</v>
      </c>
      <c r="F47" s="121">
        <v>1752441.5988421449</v>
      </c>
      <c r="G47" s="121">
        <v>0</v>
      </c>
      <c r="H47" s="122">
        <f t="shared" si="3"/>
        <v>1752441.5988421449</v>
      </c>
    </row>
    <row r="48" spans="1:8" x14ac:dyDescent="0.25">
      <c r="A48" s="119">
        <v>19.100000000000001</v>
      </c>
      <c r="B48" s="146" t="s">
        <v>136</v>
      </c>
      <c r="C48" s="121">
        <v>0</v>
      </c>
      <c r="D48" s="121">
        <v>0</v>
      </c>
      <c r="E48" s="122">
        <f t="shared" si="2"/>
        <v>0</v>
      </c>
      <c r="F48" s="121">
        <v>0</v>
      </c>
      <c r="G48" s="121">
        <v>0</v>
      </c>
      <c r="H48" s="122">
        <f t="shared" si="3"/>
        <v>0</v>
      </c>
    </row>
    <row r="49" spans="1:8" x14ac:dyDescent="0.25">
      <c r="A49" s="119">
        <v>19.2</v>
      </c>
      <c r="B49" s="147" t="s">
        <v>137</v>
      </c>
      <c r="C49" s="121">
        <v>1139408.8970912299</v>
      </c>
      <c r="D49" s="121">
        <v>0</v>
      </c>
      <c r="E49" s="122">
        <f t="shared" si="2"/>
        <v>1139408.8970912299</v>
      </c>
      <c r="F49" s="121">
        <v>1752441.5988421449</v>
      </c>
      <c r="G49" s="121">
        <v>0</v>
      </c>
      <c r="H49" s="122">
        <f t="shared" si="3"/>
        <v>1752441.5988421449</v>
      </c>
    </row>
    <row r="50" spans="1:8" x14ac:dyDescent="0.25">
      <c r="A50" s="119">
        <v>20</v>
      </c>
      <c r="B50" s="136" t="s">
        <v>138</v>
      </c>
      <c r="C50" s="121">
        <v>0</v>
      </c>
      <c r="D50" s="121">
        <v>0</v>
      </c>
      <c r="E50" s="122">
        <f t="shared" si="2"/>
        <v>0</v>
      </c>
      <c r="F50" s="121">
        <v>3092397.84</v>
      </c>
      <c r="G50" s="121">
        <v>0</v>
      </c>
      <c r="H50" s="122">
        <f t="shared" si="3"/>
        <v>3092397.84</v>
      </c>
    </row>
    <row r="51" spans="1:8" x14ac:dyDescent="0.25">
      <c r="A51" s="119">
        <v>21</v>
      </c>
      <c r="B51" s="125" t="s">
        <v>139</v>
      </c>
      <c r="C51" s="121">
        <v>869736.38000000012</v>
      </c>
      <c r="D51" s="121">
        <v>293665.55000000005</v>
      </c>
      <c r="E51" s="122">
        <f t="shared" si="2"/>
        <v>1163401.9300000002</v>
      </c>
      <c r="F51" s="121">
        <v>517969.3299999999</v>
      </c>
      <c r="G51" s="121">
        <v>223940.33999999991</v>
      </c>
      <c r="H51" s="122">
        <f t="shared" si="3"/>
        <v>741909.66999999981</v>
      </c>
    </row>
    <row r="52" spans="1:8" x14ac:dyDescent="0.25">
      <c r="A52" s="119">
        <v>21.1</v>
      </c>
      <c r="B52" s="123" t="s">
        <v>140</v>
      </c>
      <c r="C52" s="121"/>
      <c r="D52" s="121"/>
      <c r="E52" s="122">
        <f t="shared" si="2"/>
        <v>0</v>
      </c>
      <c r="F52" s="121"/>
      <c r="G52" s="121"/>
      <c r="H52" s="122">
        <f t="shared" si="3"/>
        <v>0</v>
      </c>
    </row>
    <row r="53" spans="1:8" x14ac:dyDescent="0.25">
      <c r="A53" s="119">
        <v>22</v>
      </c>
      <c r="B53" s="136" t="s">
        <v>141</v>
      </c>
      <c r="C53" s="121">
        <f>SUM(C38,C40,C41,C46,C47,C50,C51)</f>
        <v>117237376.85232124</v>
      </c>
      <c r="D53" s="121">
        <f>SUM(D38,D40,D41,D46,D47,D50,D51)</f>
        <v>27227189.916775282</v>
      </c>
      <c r="E53" s="122">
        <f t="shared" si="2"/>
        <v>144464566.76909652</v>
      </c>
      <c r="F53" s="121">
        <v>71820042.461338758</v>
      </c>
      <c r="G53" s="121">
        <v>14646670.566952003</v>
      </c>
      <c r="H53" s="122">
        <f t="shared" si="3"/>
        <v>86466713.028290763</v>
      </c>
    </row>
    <row r="54" spans="1:8" ht="24" customHeight="1" x14ac:dyDescent="0.25">
      <c r="A54" s="119"/>
      <c r="B54" s="137" t="s">
        <v>142</v>
      </c>
      <c r="C54" s="138"/>
      <c r="D54" s="139"/>
      <c r="E54" s="139"/>
      <c r="F54" s="139"/>
      <c r="G54" s="139"/>
      <c r="H54" s="141"/>
    </row>
    <row r="55" spans="1:8" x14ac:dyDescent="0.25">
      <c r="A55" s="119">
        <v>23</v>
      </c>
      <c r="B55" s="136" t="s">
        <v>143</v>
      </c>
      <c r="C55" s="121">
        <v>76211100</v>
      </c>
      <c r="D55" s="121"/>
      <c r="E55" s="122">
        <f>C55+D55</f>
        <v>76211100</v>
      </c>
      <c r="F55" s="121">
        <v>62946400</v>
      </c>
      <c r="G55" s="121"/>
      <c r="H55" s="122">
        <f>F55+G55</f>
        <v>62946400</v>
      </c>
    </row>
    <row r="56" spans="1:8" x14ac:dyDescent="0.25">
      <c r="A56" s="119">
        <v>24</v>
      </c>
      <c r="B56" s="136" t="s">
        <v>144</v>
      </c>
      <c r="C56" s="121"/>
      <c r="D56" s="121"/>
      <c r="E56" s="122">
        <f t="shared" ref="E56:E69" si="4">C56+D56</f>
        <v>0</v>
      </c>
      <c r="F56" s="121"/>
      <c r="G56" s="121"/>
      <c r="H56" s="122">
        <f t="shared" ref="H56:H69" si="5">F56+G56</f>
        <v>0</v>
      </c>
    </row>
    <row r="57" spans="1:8" x14ac:dyDescent="0.25">
      <c r="A57" s="119">
        <v>25</v>
      </c>
      <c r="B57" s="136" t="s">
        <v>145</v>
      </c>
      <c r="C57" s="121"/>
      <c r="D57" s="121"/>
      <c r="E57" s="122">
        <f t="shared" si="4"/>
        <v>0</v>
      </c>
      <c r="F57" s="121"/>
      <c r="G57" s="121"/>
      <c r="H57" s="122">
        <f t="shared" si="5"/>
        <v>0</v>
      </c>
    </row>
    <row r="58" spans="1:8" x14ac:dyDescent="0.25">
      <c r="A58" s="119">
        <v>26</v>
      </c>
      <c r="B58" s="128" t="s">
        <v>146</v>
      </c>
      <c r="C58" s="121"/>
      <c r="D58" s="121"/>
      <c r="E58" s="122">
        <f t="shared" si="4"/>
        <v>0</v>
      </c>
      <c r="F58" s="121"/>
      <c r="G58" s="121"/>
      <c r="H58" s="122">
        <f t="shared" si="5"/>
        <v>0</v>
      </c>
    </row>
    <row r="59" spans="1:8" ht="21" x14ac:dyDescent="0.25">
      <c r="A59" s="119">
        <v>27</v>
      </c>
      <c r="B59" s="128" t="s">
        <v>147</v>
      </c>
      <c r="C59" s="121">
        <f>SUM(C60:C61)</f>
        <v>0</v>
      </c>
      <c r="D59" s="121">
        <f>SUM(D60:D61)</f>
        <v>0</v>
      </c>
      <c r="E59" s="122">
        <f t="shared" si="4"/>
        <v>0</v>
      </c>
      <c r="F59" s="121">
        <v>0</v>
      </c>
      <c r="G59" s="121">
        <v>0</v>
      </c>
      <c r="H59" s="122">
        <f t="shared" si="5"/>
        <v>0</v>
      </c>
    </row>
    <row r="60" spans="1:8" x14ac:dyDescent="0.25">
      <c r="A60" s="119">
        <v>27.1</v>
      </c>
      <c r="B60" s="146" t="s">
        <v>148</v>
      </c>
      <c r="C60" s="121"/>
      <c r="D60" s="121"/>
      <c r="E60" s="122">
        <f t="shared" si="4"/>
        <v>0</v>
      </c>
      <c r="F60" s="121"/>
      <c r="G60" s="121"/>
      <c r="H60" s="122">
        <f t="shared" si="5"/>
        <v>0</v>
      </c>
    </row>
    <row r="61" spans="1:8" x14ac:dyDescent="0.25">
      <c r="A61" s="119">
        <v>27.2</v>
      </c>
      <c r="B61" s="145" t="s">
        <v>149</v>
      </c>
      <c r="C61" s="121"/>
      <c r="D61" s="121"/>
      <c r="E61" s="122">
        <f t="shared" si="4"/>
        <v>0</v>
      </c>
      <c r="F61" s="121"/>
      <c r="G61" s="121"/>
      <c r="H61" s="122">
        <f t="shared" si="5"/>
        <v>0</v>
      </c>
    </row>
    <row r="62" spans="1:8" x14ac:dyDescent="0.25">
      <c r="A62" s="119">
        <v>28</v>
      </c>
      <c r="B62" s="125" t="s">
        <v>150</v>
      </c>
      <c r="C62" s="121"/>
      <c r="D62" s="121"/>
      <c r="E62" s="122">
        <f t="shared" si="4"/>
        <v>0</v>
      </c>
      <c r="F62" s="121"/>
      <c r="G62" s="121"/>
      <c r="H62" s="122">
        <f t="shared" si="5"/>
        <v>0</v>
      </c>
    </row>
    <row r="63" spans="1:8" x14ac:dyDescent="0.25">
      <c r="A63" s="119">
        <v>29</v>
      </c>
      <c r="B63" s="128" t="s">
        <v>151</v>
      </c>
      <c r="C63" s="121">
        <f>SUM(C64:C66)</f>
        <v>3615196.900470661</v>
      </c>
      <c r="D63" s="121">
        <f>SUM(D64:D66)</f>
        <v>0</v>
      </c>
      <c r="E63" s="122">
        <f t="shared" si="4"/>
        <v>3615196.900470661</v>
      </c>
      <c r="F63" s="121">
        <v>4352500.4589957595</v>
      </c>
      <c r="G63" s="121">
        <v>0</v>
      </c>
      <c r="H63" s="122">
        <f t="shared" si="5"/>
        <v>4352500.4589957595</v>
      </c>
    </row>
    <row r="64" spans="1:8" x14ac:dyDescent="0.25">
      <c r="A64" s="119">
        <v>29.1</v>
      </c>
      <c r="B64" s="131" t="s">
        <v>152</v>
      </c>
      <c r="C64" s="121">
        <v>3615196.900470661</v>
      </c>
      <c r="D64" s="121"/>
      <c r="E64" s="122">
        <f t="shared" si="4"/>
        <v>3615196.900470661</v>
      </c>
      <c r="F64" s="121">
        <v>4352500.4589957595</v>
      </c>
      <c r="G64" s="121"/>
      <c r="H64" s="122">
        <f t="shared" si="5"/>
        <v>4352500.4589957595</v>
      </c>
    </row>
    <row r="65" spans="1:8" ht="24.95" customHeight="1" x14ac:dyDescent="0.25">
      <c r="A65" s="119">
        <v>29.2</v>
      </c>
      <c r="B65" s="146" t="s">
        <v>153</v>
      </c>
      <c r="C65" s="121"/>
      <c r="D65" s="121"/>
      <c r="E65" s="122">
        <f t="shared" si="4"/>
        <v>0</v>
      </c>
      <c r="F65" s="121"/>
      <c r="G65" s="121"/>
      <c r="H65" s="122">
        <f t="shared" si="5"/>
        <v>0</v>
      </c>
    </row>
    <row r="66" spans="1:8" ht="22.5" customHeight="1" x14ac:dyDescent="0.25">
      <c r="A66" s="119">
        <v>29.3</v>
      </c>
      <c r="B66" s="134" t="s">
        <v>154</v>
      </c>
      <c r="C66" s="121"/>
      <c r="D66" s="121"/>
      <c r="E66" s="122">
        <f t="shared" si="4"/>
        <v>0</v>
      </c>
      <c r="F66" s="121"/>
      <c r="G66" s="121"/>
      <c r="H66" s="122">
        <f t="shared" si="5"/>
        <v>0</v>
      </c>
    </row>
    <row r="67" spans="1:8" x14ac:dyDescent="0.25">
      <c r="A67" s="119">
        <v>30</v>
      </c>
      <c r="B67" s="128" t="s">
        <v>155</v>
      </c>
      <c r="C67" s="121">
        <v>-20962018.265575189</v>
      </c>
      <c r="D67" s="121"/>
      <c r="E67" s="122">
        <f t="shared" si="4"/>
        <v>-20962018.265575189</v>
      </c>
      <c r="F67" s="121">
        <v>-12695947.58112132</v>
      </c>
      <c r="G67" s="121"/>
      <c r="H67" s="122">
        <f t="shared" si="5"/>
        <v>-12695947.58112132</v>
      </c>
    </row>
    <row r="68" spans="1:8" x14ac:dyDescent="0.25">
      <c r="A68" s="119">
        <v>31</v>
      </c>
      <c r="B68" s="148" t="s">
        <v>156</v>
      </c>
      <c r="C68" s="121">
        <f>SUM(C55,C56,C57,C58,C59,C62,C63,C67)</f>
        <v>58864278.634895474</v>
      </c>
      <c r="D68" s="121">
        <f>SUM(D55,D56,D57,D58,D59,D62,D63,D67)</f>
        <v>0</v>
      </c>
      <c r="E68" s="122">
        <f t="shared" si="4"/>
        <v>58864278.634895474</v>
      </c>
      <c r="F68" s="121">
        <v>54602952.877874441</v>
      </c>
      <c r="G68" s="121">
        <v>0</v>
      </c>
      <c r="H68" s="122">
        <f t="shared" si="5"/>
        <v>54602952.877874441</v>
      </c>
    </row>
    <row r="69" spans="1:8" x14ac:dyDescent="0.25">
      <c r="A69" s="119">
        <v>32</v>
      </c>
      <c r="B69" s="149" t="s">
        <v>157</v>
      </c>
      <c r="C69" s="121">
        <f>SUM(C53,C68)</f>
        <v>176101655.48721671</v>
      </c>
      <c r="D69" s="121">
        <f>SUM(D53,D68)</f>
        <v>27227189.916775282</v>
      </c>
      <c r="E69" s="122">
        <f t="shared" si="4"/>
        <v>203328845.403992</v>
      </c>
      <c r="F69" s="121">
        <v>126422995.33921319</v>
      </c>
      <c r="G69" s="121">
        <v>14646670.566952003</v>
      </c>
      <c r="H69" s="122">
        <f t="shared" si="5"/>
        <v>141069665.90616518</v>
      </c>
    </row>
  </sheetData>
  <mergeCells count="4">
    <mergeCell ref="A4:A6"/>
    <mergeCell ref="B4:B5"/>
    <mergeCell ref="C4:E4"/>
    <mergeCell ref="F4:H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4CCF3-E901-408F-8638-A0DB20CF4C33}">
  <dimension ref="A1:M50"/>
  <sheetViews>
    <sheetView topLeftCell="A30" zoomScaleNormal="100" workbookViewId="0">
      <selection activeCell="C30" sqref="C1:H1048576"/>
    </sheetView>
  </sheetViews>
  <sheetFormatPr defaultRowHeight="15" x14ac:dyDescent="0.25"/>
  <cols>
    <col min="2" max="2" width="66.5703125" customWidth="1"/>
    <col min="3" max="3" width="19" customWidth="1"/>
    <col min="4" max="6" width="17.85546875" customWidth="1"/>
    <col min="7" max="7" width="16.85546875" customWidth="1"/>
    <col min="8" max="8" width="17.85546875" customWidth="1"/>
  </cols>
  <sheetData>
    <row r="1" spans="1:8" ht="15.75" x14ac:dyDescent="0.3">
      <c r="A1" s="21" t="s">
        <v>41</v>
      </c>
      <c r="B1" s="22" t="str">
        <f>Info!C2</f>
        <v>სს სილქ ბანკი</v>
      </c>
      <c r="C1" s="23"/>
      <c r="D1" s="20"/>
      <c r="E1" s="20"/>
      <c r="F1" s="20"/>
      <c r="G1" s="20"/>
    </row>
    <row r="2" spans="1:8" ht="15.75" x14ac:dyDescent="0.3">
      <c r="A2" s="21" t="s">
        <v>42</v>
      </c>
      <c r="B2" s="24">
        <f>'1. key ratios'!B2</f>
        <v>45473</v>
      </c>
      <c r="C2" s="23"/>
      <c r="D2" s="20"/>
      <c r="E2" s="20"/>
      <c r="F2" s="20"/>
      <c r="G2" s="20"/>
    </row>
    <row r="3" spans="1:8" ht="16.5" thickBot="1" x14ac:dyDescent="0.35">
      <c r="A3" s="21"/>
      <c r="B3" s="23"/>
      <c r="C3" s="23"/>
      <c r="D3" s="20"/>
      <c r="E3" s="20"/>
      <c r="F3" s="20"/>
      <c r="G3" s="20"/>
    </row>
    <row r="4" spans="1:8" ht="40.5" customHeight="1" x14ac:dyDescent="0.25">
      <c r="A4" s="799" t="s">
        <v>46</v>
      </c>
      <c r="B4" s="801" t="s">
        <v>14</v>
      </c>
      <c r="C4" s="803" t="s">
        <v>92</v>
      </c>
      <c r="D4" s="803"/>
      <c r="E4" s="803"/>
      <c r="F4" s="803" t="s">
        <v>93</v>
      </c>
      <c r="G4" s="803"/>
      <c r="H4" s="804"/>
    </row>
    <row r="5" spans="1:8" ht="15.6" customHeight="1" x14ac:dyDescent="0.25">
      <c r="A5" s="800"/>
      <c r="B5" s="802"/>
      <c r="C5" s="152" t="s">
        <v>94</v>
      </c>
      <c r="D5" s="152" t="s">
        <v>95</v>
      </c>
      <c r="E5" s="152" t="s">
        <v>96</v>
      </c>
      <c r="F5" s="152" t="s">
        <v>94</v>
      </c>
      <c r="G5" s="152" t="s">
        <v>95</v>
      </c>
      <c r="H5" s="173" t="s">
        <v>96</v>
      </c>
    </row>
    <row r="6" spans="1:8" x14ac:dyDescent="0.25">
      <c r="A6" s="704">
        <v>1</v>
      </c>
      <c r="B6" s="153" t="s">
        <v>158</v>
      </c>
      <c r="C6" s="154">
        <f>SUM(C7:C12)</f>
        <v>6816395.8543144446</v>
      </c>
      <c r="D6" s="154">
        <f>SUM(D7:D12)</f>
        <v>1396117.7298678849</v>
      </c>
      <c r="E6" s="155">
        <f>C6+D6</f>
        <v>8212513.5841823295</v>
      </c>
      <c r="F6" s="154">
        <v>2466064.6015167623</v>
      </c>
      <c r="G6" s="154">
        <v>494156.33000000019</v>
      </c>
      <c r="H6" s="705">
        <f>F6+G6</f>
        <v>2960220.9315167624</v>
      </c>
    </row>
    <row r="7" spans="1:8" x14ac:dyDescent="0.25">
      <c r="A7" s="704">
        <v>1.1000000000000001</v>
      </c>
      <c r="B7" s="156" t="s">
        <v>102</v>
      </c>
      <c r="C7" s="154"/>
      <c r="D7" s="154"/>
      <c r="E7" s="155">
        <f t="shared" ref="E7:E45" si="0">C7+D7</f>
        <v>0</v>
      </c>
      <c r="F7" s="154"/>
      <c r="G7" s="154"/>
      <c r="H7" s="705">
        <f t="shared" ref="H7:H45" si="1">F7+G7</f>
        <v>0</v>
      </c>
    </row>
    <row r="8" spans="1:8" ht="21" x14ac:dyDescent="0.25">
      <c r="A8" s="704">
        <v>1.2</v>
      </c>
      <c r="B8" s="156" t="s">
        <v>159</v>
      </c>
      <c r="C8" s="154"/>
      <c r="D8" s="154"/>
      <c r="E8" s="155">
        <f t="shared" si="0"/>
        <v>0</v>
      </c>
      <c r="F8" s="154"/>
      <c r="G8" s="154"/>
      <c r="H8" s="705">
        <f t="shared" si="1"/>
        <v>0</v>
      </c>
    </row>
    <row r="9" spans="1:8" ht="21.6" customHeight="1" x14ac:dyDescent="0.25">
      <c r="A9" s="704">
        <v>1.3</v>
      </c>
      <c r="B9" s="146" t="s">
        <v>160</v>
      </c>
      <c r="C9" s="154"/>
      <c r="D9" s="154"/>
      <c r="E9" s="155">
        <f t="shared" si="0"/>
        <v>0</v>
      </c>
      <c r="F9" s="154"/>
      <c r="G9" s="154"/>
      <c r="H9" s="705">
        <f t="shared" si="1"/>
        <v>0</v>
      </c>
    </row>
    <row r="10" spans="1:8" ht="21" x14ac:dyDescent="0.25">
      <c r="A10" s="704">
        <v>1.4</v>
      </c>
      <c r="B10" s="146" t="s">
        <v>106</v>
      </c>
      <c r="C10" s="154"/>
      <c r="D10" s="154"/>
      <c r="E10" s="155">
        <f t="shared" si="0"/>
        <v>0</v>
      </c>
      <c r="F10" s="154"/>
      <c r="G10" s="154"/>
      <c r="H10" s="705">
        <f t="shared" si="1"/>
        <v>0</v>
      </c>
    </row>
    <row r="11" spans="1:8" x14ac:dyDescent="0.25">
      <c r="A11" s="704">
        <v>1.5</v>
      </c>
      <c r="B11" s="146" t="s">
        <v>110</v>
      </c>
      <c r="C11" s="154">
        <v>6816395.8543144446</v>
      </c>
      <c r="D11" s="154">
        <v>1396117.7298678849</v>
      </c>
      <c r="E11" s="155">
        <f t="shared" si="0"/>
        <v>8212513.5841823295</v>
      </c>
      <c r="F11" s="154">
        <v>2466064.6015167623</v>
      </c>
      <c r="G11" s="154">
        <v>494156.33000000019</v>
      </c>
      <c r="H11" s="705">
        <f t="shared" si="1"/>
        <v>2960220.9315167624</v>
      </c>
    </row>
    <row r="12" spans="1:8" x14ac:dyDescent="0.25">
      <c r="A12" s="704">
        <v>1.6</v>
      </c>
      <c r="B12" s="147" t="s">
        <v>122</v>
      </c>
      <c r="C12" s="154"/>
      <c r="D12" s="154"/>
      <c r="E12" s="155">
        <f t="shared" si="0"/>
        <v>0</v>
      </c>
      <c r="F12" s="154"/>
      <c r="G12" s="154"/>
      <c r="H12" s="705">
        <f t="shared" si="1"/>
        <v>0</v>
      </c>
    </row>
    <row r="13" spans="1:8" x14ac:dyDescent="0.25">
      <c r="A13" s="704">
        <v>2</v>
      </c>
      <c r="B13" s="157" t="s">
        <v>161</v>
      </c>
      <c r="C13" s="154">
        <f>SUM(C14:C17)</f>
        <v>-4955290.1282864949</v>
      </c>
      <c r="D13" s="154">
        <f>SUM(D14:D17)</f>
        <v>-454950.72097785387</v>
      </c>
      <c r="E13" s="155">
        <f t="shared" si="0"/>
        <v>-5410240.8492643489</v>
      </c>
      <c r="F13" s="154">
        <v>-867610.87045483524</v>
      </c>
      <c r="G13" s="154">
        <v>-65598.140000000029</v>
      </c>
      <c r="H13" s="705">
        <f t="shared" si="1"/>
        <v>-933209.01045483525</v>
      </c>
    </row>
    <row r="14" spans="1:8" x14ac:dyDescent="0.25">
      <c r="A14" s="704">
        <v>2.1</v>
      </c>
      <c r="B14" s="146" t="s">
        <v>162</v>
      </c>
      <c r="C14" s="154"/>
      <c r="D14" s="154"/>
      <c r="E14" s="155">
        <f t="shared" si="0"/>
        <v>0</v>
      </c>
      <c r="F14" s="154"/>
      <c r="G14" s="154"/>
      <c r="H14" s="705">
        <f t="shared" si="1"/>
        <v>0</v>
      </c>
    </row>
    <row r="15" spans="1:8" ht="24.6" customHeight="1" x14ac:dyDescent="0.25">
      <c r="A15" s="704">
        <v>2.2000000000000002</v>
      </c>
      <c r="B15" s="146" t="s">
        <v>163</v>
      </c>
      <c r="C15" s="154"/>
      <c r="D15" s="154"/>
      <c r="E15" s="155">
        <f t="shared" si="0"/>
        <v>0</v>
      </c>
      <c r="F15" s="154"/>
      <c r="G15" s="154"/>
      <c r="H15" s="705">
        <f t="shared" si="1"/>
        <v>0</v>
      </c>
    </row>
    <row r="16" spans="1:8" ht="20.45" customHeight="1" x14ac:dyDescent="0.25">
      <c r="A16" s="704">
        <v>2.2999999999999998</v>
      </c>
      <c r="B16" s="146" t="s">
        <v>164</v>
      </c>
      <c r="C16" s="154">
        <v>-4955290.1282864949</v>
      </c>
      <c r="D16" s="154">
        <v>-454950.72097785387</v>
      </c>
      <c r="E16" s="155">
        <f t="shared" si="0"/>
        <v>-5410240.8492643489</v>
      </c>
      <c r="F16" s="154">
        <v>-867610.87045483524</v>
      </c>
      <c r="G16" s="154">
        <v>-65598.140000000029</v>
      </c>
      <c r="H16" s="705">
        <f t="shared" si="1"/>
        <v>-933209.01045483525</v>
      </c>
    </row>
    <row r="17" spans="1:8" x14ac:dyDescent="0.25">
      <c r="A17" s="704">
        <v>2.4</v>
      </c>
      <c r="B17" s="146" t="s">
        <v>165</v>
      </c>
      <c r="C17" s="154"/>
      <c r="D17" s="154"/>
      <c r="E17" s="155">
        <f t="shared" si="0"/>
        <v>0</v>
      </c>
      <c r="F17" s="154"/>
      <c r="G17" s="154"/>
      <c r="H17" s="705">
        <f t="shared" si="1"/>
        <v>0</v>
      </c>
    </row>
    <row r="18" spans="1:8" x14ac:dyDescent="0.25">
      <c r="A18" s="704">
        <v>3</v>
      </c>
      <c r="B18" s="157" t="s">
        <v>166</v>
      </c>
      <c r="C18" s="154"/>
      <c r="D18" s="154"/>
      <c r="E18" s="155">
        <f t="shared" si="0"/>
        <v>0</v>
      </c>
      <c r="F18" s="154"/>
      <c r="G18" s="154"/>
      <c r="H18" s="705">
        <f t="shared" si="1"/>
        <v>0</v>
      </c>
    </row>
    <row r="19" spans="1:8" x14ac:dyDescent="0.25">
      <c r="A19" s="704">
        <v>4</v>
      </c>
      <c r="B19" s="157" t="s">
        <v>167</v>
      </c>
      <c r="C19" s="154">
        <v>71236.39</v>
      </c>
      <c r="D19" s="154">
        <v>97720.410000000018</v>
      </c>
      <c r="E19" s="155">
        <f t="shared" si="0"/>
        <v>168956.80000000002</v>
      </c>
      <c r="F19" s="154">
        <v>106531.81</v>
      </c>
      <c r="G19" s="154">
        <v>53576.71</v>
      </c>
      <c r="H19" s="705">
        <f t="shared" si="1"/>
        <v>160108.51999999999</v>
      </c>
    </row>
    <row r="20" spans="1:8" x14ac:dyDescent="0.25">
      <c r="A20" s="704">
        <v>5</v>
      </c>
      <c r="B20" s="157" t="s">
        <v>168</v>
      </c>
      <c r="C20" s="154">
        <v>-112945.14</v>
      </c>
      <c r="D20" s="154">
        <v>-67256.12</v>
      </c>
      <c r="E20" s="155">
        <f t="shared" si="0"/>
        <v>-180201.26</v>
      </c>
      <c r="F20" s="154">
        <v>-37693.759999999995</v>
      </c>
      <c r="G20" s="154">
        <v>-51721.79</v>
      </c>
      <c r="H20" s="705">
        <f t="shared" si="1"/>
        <v>-89415.549999999988</v>
      </c>
    </row>
    <row r="21" spans="1:8" ht="38.450000000000003" customHeight="1" x14ac:dyDescent="0.25">
      <c r="A21" s="704">
        <v>6</v>
      </c>
      <c r="B21" s="157" t="s">
        <v>169</v>
      </c>
      <c r="C21" s="154"/>
      <c r="D21" s="154"/>
      <c r="E21" s="155">
        <f t="shared" si="0"/>
        <v>0</v>
      </c>
      <c r="F21" s="154"/>
      <c r="G21" s="154"/>
      <c r="H21" s="705">
        <f t="shared" si="1"/>
        <v>0</v>
      </c>
    </row>
    <row r="22" spans="1:8" ht="27.6" customHeight="1" x14ac:dyDescent="0.25">
      <c r="A22" s="704">
        <v>7</v>
      </c>
      <c r="B22" s="158" t="s">
        <v>170</v>
      </c>
      <c r="C22" s="154"/>
      <c r="D22" s="154"/>
      <c r="E22" s="155">
        <f t="shared" si="0"/>
        <v>0</v>
      </c>
      <c r="F22" s="154"/>
      <c r="G22" s="154"/>
      <c r="H22" s="705">
        <f t="shared" si="1"/>
        <v>0</v>
      </c>
    </row>
    <row r="23" spans="1:8" ht="36.950000000000003" customHeight="1" x14ac:dyDescent="0.25">
      <c r="A23" s="704">
        <v>8</v>
      </c>
      <c r="B23" s="159" t="s">
        <v>171</v>
      </c>
      <c r="C23" s="154"/>
      <c r="D23" s="154"/>
      <c r="E23" s="155">
        <f t="shared" si="0"/>
        <v>0</v>
      </c>
      <c r="F23" s="154"/>
      <c r="G23" s="154"/>
      <c r="H23" s="705">
        <f t="shared" si="1"/>
        <v>0</v>
      </c>
    </row>
    <row r="24" spans="1:8" ht="34.5" customHeight="1" x14ac:dyDescent="0.25">
      <c r="A24" s="704">
        <v>9</v>
      </c>
      <c r="B24" s="159" t="s">
        <v>172</v>
      </c>
      <c r="C24" s="154"/>
      <c r="D24" s="154"/>
      <c r="E24" s="155">
        <f t="shared" si="0"/>
        <v>0</v>
      </c>
      <c r="F24" s="154"/>
      <c r="G24" s="154"/>
      <c r="H24" s="705">
        <f t="shared" si="1"/>
        <v>0</v>
      </c>
    </row>
    <row r="25" spans="1:8" x14ac:dyDescent="0.25">
      <c r="A25" s="704">
        <v>10</v>
      </c>
      <c r="B25" s="157" t="s">
        <v>173</v>
      </c>
      <c r="C25" s="154">
        <v>1671637.2041595355</v>
      </c>
      <c r="D25" s="154">
        <v>0</v>
      </c>
      <c r="E25" s="155">
        <f t="shared" si="0"/>
        <v>1671637.2041595355</v>
      </c>
      <c r="F25" s="154">
        <v>188686.81865976751</v>
      </c>
      <c r="G25" s="154">
        <v>0</v>
      </c>
      <c r="H25" s="705">
        <f t="shared" si="1"/>
        <v>188686.81865976751</v>
      </c>
    </row>
    <row r="26" spans="1:8" ht="27" customHeight="1" x14ac:dyDescent="0.25">
      <c r="A26" s="704">
        <v>11</v>
      </c>
      <c r="B26" s="160" t="s">
        <v>174</v>
      </c>
      <c r="C26" s="154">
        <v>-14938.062352134351</v>
      </c>
      <c r="D26" s="154">
        <v>0</v>
      </c>
      <c r="E26" s="155">
        <f t="shared" si="0"/>
        <v>-14938.062352134351</v>
      </c>
      <c r="F26" s="154">
        <v>-23368.640438376908</v>
      </c>
      <c r="G26" s="154">
        <v>0</v>
      </c>
      <c r="H26" s="705">
        <f t="shared" si="1"/>
        <v>-23368.640438376908</v>
      </c>
    </row>
    <row r="27" spans="1:8" x14ac:dyDescent="0.25">
      <c r="A27" s="704">
        <v>12</v>
      </c>
      <c r="B27" s="157" t="s">
        <v>175</v>
      </c>
      <c r="C27" s="154">
        <v>74466.193307275928</v>
      </c>
      <c r="D27" s="154">
        <v>0</v>
      </c>
      <c r="E27" s="155">
        <f t="shared" si="0"/>
        <v>74466.193307275928</v>
      </c>
      <c r="F27" s="161">
        <v>31689.316479998455</v>
      </c>
      <c r="G27" s="162">
        <v>0</v>
      </c>
      <c r="H27" s="705">
        <f t="shared" si="1"/>
        <v>31689.316479998455</v>
      </c>
    </row>
    <row r="28" spans="1:8" x14ac:dyDescent="0.25">
      <c r="A28" s="704">
        <v>13</v>
      </c>
      <c r="B28" s="163" t="s">
        <v>176</v>
      </c>
      <c r="C28" s="154">
        <v>-21147.837232000002</v>
      </c>
      <c r="D28" s="154">
        <v>0</v>
      </c>
      <c r="E28" s="155">
        <f t="shared" si="0"/>
        <v>-21147.837232000002</v>
      </c>
      <c r="F28" s="162">
        <v>-4518.1964799999996</v>
      </c>
      <c r="G28" s="162">
        <v>0</v>
      </c>
      <c r="H28" s="705">
        <f t="shared" si="1"/>
        <v>-4518.1964799999996</v>
      </c>
    </row>
    <row r="29" spans="1:8" x14ac:dyDescent="0.25">
      <c r="A29" s="704">
        <v>14</v>
      </c>
      <c r="B29" s="164" t="s">
        <v>177</v>
      </c>
      <c r="C29" s="154">
        <f>SUM(C30:C31)</f>
        <v>-7623621.6077606445</v>
      </c>
      <c r="D29" s="154">
        <f>SUM(D30:D31)</f>
        <v>-691318.10999999964</v>
      </c>
      <c r="E29" s="155">
        <f t="shared" si="0"/>
        <v>-8314939.7177606439</v>
      </c>
      <c r="F29" s="162">
        <v>-3969729.4699999997</v>
      </c>
      <c r="G29" s="162">
        <v>-432134.44999999995</v>
      </c>
      <c r="H29" s="706">
        <f t="shared" si="1"/>
        <v>-4401863.92</v>
      </c>
    </row>
    <row r="30" spans="1:8" x14ac:dyDescent="0.25">
      <c r="A30" s="704">
        <v>14.1</v>
      </c>
      <c r="B30" s="134" t="s">
        <v>178</v>
      </c>
      <c r="C30" s="154">
        <v>-5005717.2300000004</v>
      </c>
      <c r="D30" s="154">
        <v>0</v>
      </c>
      <c r="E30" s="155">
        <f t="shared" si="0"/>
        <v>-5005717.2300000004</v>
      </c>
      <c r="F30" s="162">
        <v>-2766258.23</v>
      </c>
      <c r="G30" s="162">
        <v>0</v>
      </c>
      <c r="H30" s="706">
        <f t="shared" si="1"/>
        <v>-2766258.23</v>
      </c>
    </row>
    <row r="31" spans="1:8" x14ac:dyDescent="0.25">
      <c r="A31" s="704">
        <v>14.2</v>
      </c>
      <c r="B31" s="134" t="s">
        <v>179</v>
      </c>
      <c r="C31" s="154">
        <v>-2617904.3777606441</v>
      </c>
      <c r="D31" s="154">
        <v>-691318.10999999964</v>
      </c>
      <c r="E31" s="155">
        <f t="shared" si="0"/>
        <v>-3309222.4877606435</v>
      </c>
      <c r="F31" s="162">
        <v>-1203471.24</v>
      </c>
      <c r="G31" s="162">
        <v>-432134.44999999995</v>
      </c>
      <c r="H31" s="706">
        <f t="shared" si="1"/>
        <v>-1635605.69</v>
      </c>
    </row>
    <row r="32" spans="1:8" x14ac:dyDescent="0.25">
      <c r="A32" s="704">
        <v>15</v>
      </c>
      <c r="B32" s="165" t="s">
        <v>180</v>
      </c>
      <c r="C32" s="154">
        <v>-605531.01325045945</v>
      </c>
      <c r="D32" s="154">
        <v>0</v>
      </c>
      <c r="E32" s="155">
        <f t="shared" si="0"/>
        <v>-605531.01325045945</v>
      </c>
      <c r="F32" s="162">
        <v>-429960.33999999997</v>
      </c>
      <c r="G32" s="162">
        <v>0</v>
      </c>
      <c r="H32" s="706">
        <f t="shared" si="1"/>
        <v>-429960.33999999997</v>
      </c>
    </row>
    <row r="33" spans="1:13" ht="22.5" customHeight="1" x14ac:dyDescent="0.25">
      <c r="A33" s="704">
        <v>16</v>
      </c>
      <c r="B33" s="128" t="s">
        <v>181</v>
      </c>
      <c r="C33" s="154"/>
      <c r="D33" s="154"/>
      <c r="E33" s="155">
        <f t="shared" si="0"/>
        <v>0</v>
      </c>
      <c r="F33" s="154"/>
      <c r="G33" s="154"/>
      <c r="H33" s="705">
        <f t="shared" si="1"/>
        <v>0</v>
      </c>
    </row>
    <row r="34" spans="1:13" x14ac:dyDescent="0.25">
      <c r="A34" s="704">
        <v>17</v>
      </c>
      <c r="B34" s="157" t="s">
        <v>182</v>
      </c>
      <c r="C34" s="154">
        <f>SUM(C35:C36)</f>
        <v>-5312.8164130083696</v>
      </c>
      <c r="D34" s="154">
        <f>SUM(D35:D36)</f>
        <v>-17248.389999478517</v>
      </c>
      <c r="E34" s="155">
        <f t="shared" si="0"/>
        <v>-22561.206412486885</v>
      </c>
      <c r="F34" s="154">
        <v>-3703.5671997316686</v>
      </c>
      <c r="G34" s="154">
        <v>-36761.800951675614</v>
      </c>
      <c r="H34" s="705">
        <f t="shared" si="1"/>
        <v>-40465.368151407281</v>
      </c>
    </row>
    <row r="35" spans="1:13" x14ac:dyDescent="0.25">
      <c r="A35" s="704">
        <v>17.100000000000001</v>
      </c>
      <c r="B35" s="166" t="s">
        <v>183</v>
      </c>
      <c r="C35" s="154">
        <v>-5312.8164130083696</v>
      </c>
      <c r="D35" s="154">
        <v>-17248.389999478517</v>
      </c>
      <c r="E35" s="155">
        <f t="shared" si="0"/>
        <v>-22561.206412486885</v>
      </c>
      <c r="F35" s="154">
        <v>-3703.5671997316686</v>
      </c>
      <c r="G35" s="154">
        <v>-36761.800951675614</v>
      </c>
      <c r="H35" s="705">
        <f t="shared" si="1"/>
        <v>-40465.368151407281</v>
      </c>
    </row>
    <row r="36" spans="1:13" x14ac:dyDescent="0.25">
      <c r="A36" s="704">
        <v>17.2</v>
      </c>
      <c r="B36" s="134" t="s">
        <v>184</v>
      </c>
      <c r="C36" s="154"/>
      <c r="D36" s="154"/>
      <c r="E36" s="155">
        <f t="shared" si="0"/>
        <v>0</v>
      </c>
      <c r="F36" s="154"/>
      <c r="G36" s="154"/>
      <c r="H36" s="705">
        <f t="shared" si="1"/>
        <v>0</v>
      </c>
    </row>
    <row r="37" spans="1:13" ht="41.45" customHeight="1" x14ac:dyDescent="0.25">
      <c r="A37" s="704">
        <v>18</v>
      </c>
      <c r="B37" s="167" t="s">
        <v>185</v>
      </c>
      <c r="C37" s="154">
        <f>SUM(C38:C39)</f>
        <v>76471.462865294263</v>
      </c>
      <c r="D37" s="154">
        <f>SUM(D38:D39)</f>
        <v>-141599.88350349694</v>
      </c>
      <c r="E37" s="155">
        <f t="shared" si="0"/>
        <v>-65128.420638202675</v>
      </c>
      <c r="F37" s="168">
        <v>-52770.815927236581</v>
      </c>
      <c r="G37" s="168">
        <v>90470.018609403778</v>
      </c>
      <c r="H37" s="705">
        <f t="shared" si="1"/>
        <v>37699.202682167197</v>
      </c>
    </row>
    <row r="38" spans="1:13" ht="21" x14ac:dyDescent="0.25">
      <c r="A38" s="704">
        <v>18.100000000000001</v>
      </c>
      <c r="B38" s="146" t="s">
        <v>186</v>
      </c>
      <c r="C38" s="154"/>
      <c r="D38" s="154"/>
      <c r="E38" s="155">
        <f t="shared" si="0"/>
        <v>0</v>
      </c>
      <c r="F38" s="168"/>
      <c r="G38" s="168"/>
      <c r="H38" s="705">
        <f t="shared" si="1"/>
        <v>0</v>
      </c>
    </row>
    <row r="39" spans="1:13" x14ac:dyDescent="0.25">
      <c r="A39" s="704">
        <v>18.2</v>
      </c>
      <c r="B39" s="146" t="s">
        <v>187</v>
      </c>
      <c r="C39" s="154">
        <v>76471.462865294263</v>
      </c>
      <c r="D39" s="154">
        <v>-141599.88350349694</v>
      </c>
      <c r="E39" s="155">
        <f t="shared" si="0"/>
        <v>-65128.420638202675</v>
      </c>
      <c r="F39" s="169">
        <v>-52770.815927236581</v>
      </c>
      <c r="G39" s="168">
        <v>90470.018609403778</v>
      </c>
      <c r="H39" s="705">
        <f t="shared" si="1"/>
        <v>37699.202682167197</v>
      </c>
    </row>
    <row r="40" spans="1:13" ht="24.6" customHeight="1" x14ac:dyDescent="0.25">
      <c r="A40" s="704">
        <v>19</v>
      </c>
      <c r="B40" s="167" t="s">
        <v>188</v>
      </c>
      <c r="C40" s="154"/>
      <c r="D40" s="154"/>
      <c r="E40" s="155">
        <f t="shared" si="0"/>
        <v>0</v>
      </c>
      <c r="F40" s="154"/>
      <c r="G40" s="154"/>
      <c r="H40" s="705">
        <f t="shared" si="1"/>
        <v>0</v>
      </c>
    </row>
    <row r="41" spans="1:13" ht="24.95" customHeight="1" x14ac:dyDescent="0.25">
      <c r="A41" s="704">
        <v>20</v>
      </c>
      <c r="B41" s="167" t="s">
        <v>189</v>
      </c>
      <c r="C41" s="154">
        <v>0</v>
      </c>
      <c r="D41" s="154">
        <v>0</v>
      </c>
      <c r="E41" s="155">
        <f t="shared" si="0"/>
        <v>0</v>
      </c>
      <c r="F41" s="154">
        <v>159729.28678434109</v>
      </c>
      <c r="G41" s="154">
        <v>0</v>
      </c>
      <c r="H41" s="705">
        <f t="shared" si="1"/>
        <v>159729.28678434109</v>
      </c>
    </row>
    <row r="42" spans="1:13" ht="33" customHeight="1" x14ac:dyDescent="0.25">
      <c r="A42" s="704">
        <v>21</v>
      </c>
      <c r="B42" s="170" t="s">
        <v>190</v>
      </c>
      <c r="C42" s="154"/>
      <c r="D42" s="154"/>
      <c r="E42" s="155">
        <f t="shared" si="0"/>
        <v>0</v>
      </c>
      <c r="F42" s="154"/>
      <c r="G42" s="154"/>
      <c r="H42" s="705">
        <f t="shared" si="1"/>
        <v>0</v>
      </c>
    </row>
    <row r="43" spans="1:13" x14ac:dyDescent="0.25">
      <c r="A43" s="704">
        <v>22</v>
      </c>
      <c r="B43" s="171" t="s">
        <v>191</v>
      </c>
      <c r="C43" s="154">
        <f>SUM(C6,C13,C18,C19,C20,C21,C22,C23,C24,C25,C26,C27,C28,C29,C32,C33,C34,C37,C40,C41,C42)</f>
        <v>-4628579.5006481921</v>
      </c>
      <c r="D43" s="154">
        <f>SUM(D6,D13,D18,D19,D20,D21,D22,D23,D24,D25,D26,D27,D28,D29,D32,D33,D34,D37,D40,D41,D42)</f>
        <v>121464.91538705595</v>
      </c>
      <c r="E43" s="155">
        <f t="shared" si="0"/>
        <v>-4507114.5852611363</v>
      </c>
      <c r="F43" s="154">
        <v>-2436653.8270593109</v>
      </c>
      <c r="G43" s="154">
        <v>51986.87765772843</v>
      </c>
      <c r="H43" s="705">
        <f t="shared" si="1"/>
        <v>-2384666.9494015826</v>
      </c>
    </row>
    <row r="44" spans="1:13" x14ac:dyDescent="0.25">
      <c r="A44" s="704">
        <v>23</v>
      </c>
      <c r="B44" s="171" t="s">
        <v>192</v>
      </c>
      <c r="C44" s="154">
        <v>-599374.79415148508</v>
      </c>
      <c r="D44" s="154"/>
      <c r="E44" s="155">
        <f t="shared" si="0"/>
        <v>-599374.79415148508</v>
      </c>
      <c r="F44" s="154"/>
      <c r="G44" s="154"/>
      <c r="H44" s="705">
        <f t="shared" si="1"/>
        <v>0</v>
      </c>
    </row>
    <row r="45" spans="1:13" ht="15.75" thickBot="1" x14ac:dyDescent="0.3">
      <c r="A45" s="707">
        <v>24</v>
      </c>
      <c r="B45" s="708" t="s">
        <v>193</v>
      </c>
      <c r="C45" s="709">
        <f>C43-C44</f>
        <v>-4029204.7064967072</v>
      </c>
      <c r="D45" s="709">
        <f>D43-D44</f>
        <v>121464.91538705595</v>
      </c>
      <c r="E45" s="710">
        <f t="shared" si="0"/>
        <v>-3907739.7911096513</v>
      </c>
      <c r="F45" s="709">
        <v>-2436653.8270593109</v>
      </c>
      <c r="G45" s="709">
        <v>51986.87765772843</v>
      </c>
      <c r="H45" s="711">
        <f t="shared" si="1"/>
        <v>-2384666.9494015826</v>
      </c>
    </row>
    <row r="48" spans="1:13" s="25" customFormat="1" x14ac:dyDescent="0.25">
      <c r="A48"/>
      <c r="B48"/>
      <c r="C48"/>
      <c r="D48"/>
      <c r="E48"/>
      <c r="F48"/>
      <c r="G48"/>
      <c r="H48" s="144"/>
      <c r="I48"/>
      <c r="J48"/>
      <c r="K48"/>
      <c r="L48"/>
      <c r="M48"/>
    </row>
    <row r="50" spans="1:13" s="25" customFormat="1" x14ac:dyDescent="0.25">
      <c r="A50"/>
      <c r="B50"/>
      <c r="C50" s="113"/>
      <c r="D50" s="113"/>
      <c r="E50" s="113"/>
      <c r="F50" s="113"/>
      <c r="G50" s="113"/>
      <c r="H50" s="113"/>
      <c r="I50"/>
      <c r="J50"/>
      <c r="K50"/>
      <c r="L50"/>
      <c r="M50"/>
    </row>
  </sheetData>
  <mergeCells count="4">
    <mergeCell ref="A4:A5"/>
    <mergeCell ref="B4:B5"/>
    <mergeCell ref="C4:E4"/>
    <mergeCell ref="F4:H4"/>
  </mergeCells>
  <pageMargins left="0.7" right="0.7" top="0.75" bottom="0.75" header="0.3" footer="0.3"/>
  <pageSetup paperSize="0" orientation="portrait" horizontalDpi="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A15A6-9BBB-4A90-9DC2-309E1EDA812B}">
  <dimension ref="A1:J51"/>
  <sheetViews>
    <sheetView zoomScale="115" zoomScaleNormal="115" workbookViewId="0">
      <selection activeCell="C1" sqref="C1:H1048576"/>
    </sheetView>
  </sheetViews>
  <sheetFormatPr defaultRowHeight="15" x14ac:dyDescent="0.25"/>
  <cols>
    <col min="1" max="1" width="9.140625" style="150"/>
    <col min="2" max="2" width="87.5703125" bestFit="1" customWidth="1"/>
    <col min="3" max="3" width="17.5703125" customWidth="1"/>
    <col min="4" max="4" width="16.28515625" customWidth="1"/>
    <col min="5" max="5" width="12.7109375" customWidth="1"/>
    <col min="6" max="7" width="14.28515625" customWidth="1"/>
    <col min="8" max="8" width="12.7109375" customWidth="1"/>
  </cols>
  <sheetData>
    <row r="1" spans="1:8" ht="15.75" x14ac:dyDescent="0.3">
      <c r="A1" s="21" t="s">
        <v>41</v>
      </c>
      <c r="B1" s="22" t="str">
        <f>Info!C2</f>
        <v>სს სილქ ბანკი</v>
      </c>
      <c r="C1" s="23"/>
      <c r="D1" s="20"/>
      <c r="E1" s="20"/>
      <c r="F1" s="20"/>
      <c r="G1" s="20"/>
    </row>
    <row r="2" spans="1:8" ht="15.75" x14ac:dyDescent="0.3">
      <c r="A2" s="21" t="s">
        <v>42</v>
      </c>
      <c r="B2" s="24">
        <f>'1. key ratios'!B2</f>
        <v>45473</v>
      </c>
      <c r="C2" s="23"/>
      <c r="D2" s="20"/>
      <c r="E2" s="20"/>
      <c r="F2" s="20"/>
      <c r="G2" s="20"/>
    </row>
    <row r="3" spans="1:8" ht="16.5" thickBot="1" x14ac:dyDescent="0.35">
      <c r="A3" s="21"/>
      <c r="B3" s="23"/>
      <c r="C3" s="23"/>
      <c r="D3" s="20"/>
      <c r="E3" s="20"/>
      <c r="F3" s="20"/>
      <c r="G3" s="20"/>
    </row>
    <row r="4" spans="1:8" ht="15.75" x14ac:dyDescent="0.3">
      <c r="A4" s="794" t="s">
        <v>46</v>
      </c>
      <c r="B4" s="805" t="s">
        <v>194</v>
      </c>
      <c r="C4" s="806" t="s">
        <v>92</v>
      </c>
      <c r="D4" s="806"/>
      <c r="E4" s="806"/>
      <c r="F4" s="806" t="s">
        <v>93</v>
      </c>
      <c r="G4" s="806"/>
      <c r="H4" s="807"/>
    </row>
    <row r="5" spans="1:8" x14ac:dyDescent="0.25">
      <c r="A5" s="794"/>
      <c r="B5" s="805"/>
      <c r="C5" s="152" t="s">
        <v>94</v>
      </c>
      <c r="D5" s="152" t="s">
        <v>95</v>
      </c>
      <c r="E5" s="152" t="s">
        <v>96</v>
      </c>
      <c r="F5" s="152" t="s">
        <v>94</v>
      </c>
      <c r="G5" s="152" t="s">
        <v>95</v>
      </c>
      <c r="H5" s="173" t="s">
        <v>96</v>
      </c>
    </row>
    <row r="6" spans="1:8" ht="15.75" x14ac:dyDescent="0.3">
      <c r="A6" s="119">
        <v>1</v>
      </c>
      <c r="B6" s="174" t="s">
        <v>195</v>
      </c>
      <c r="C6" s="175">
        <v>0</v>
      </c>
      <c r="D6" s="175">
        <v>0</v>
      </c>
      <c r="E6" s="176">
        <f t="shared" ref="E6:E43" si="0">C6+D6</f>
        <v>0</v>
      </c>
      <c r="F6" s="175">
        <v>0</v>
      </c>
      <c r="G6" s="175">
        <v>0</v>
      </c>
      <c r="H6" s="177">
        <f t="shared" ref="H6:H43" si="1">F6+G6</f>
        <v>0</v>
      </c>
    </row>
    <row r="7" spans="1:8" ht="27" x14ac:dyDescent="0.3">
      <c r="A7" s="119">
        <v>2</v>
      </c>
      <c r="B7" s="174" t="s">
        <v>196</v>
      </c>
      <c r="C7" s="175">
        <v>0</v>
      </c>
      <c r="D7" s="175">
        <v>0</v>
      </c>
      <c r="E7" s="176">
        <f t="shared" si="0"/>
        <v>0</v>
      </c>
      <c r="F7" s="175">
        <v>0</v>
      </c>
      <c r="G7" s="175">
        <v>0</v>
      </c>
      <c r="H7" s="177">
        <f t="shared" si="1"/>
        <v>0</v>
      </c>
    </row>
    <row r="8" spans="1:8" ht="15.75" x14ac:dyDescent="0.3">
      <c r="A8" s="119">
        <v>3</v>
      </c>
      <c r="B8" s="174" t="s">
        <v>197</v>
      </c>
      <c r="C8" s="175">
        <f>C9+C10</f>
        <v>368600</v>
      </c>
      <c r="D8" s="175">
        <f>D9+D10</f>
        <v>1051539420</v>
      </c>
      <c r="E8" s="176">
        <f t="shared" si="0"/>
        <v>1051908020</v>
      </c>
      <c r="F8" s="175">
        <v>117000</v>
      </c>
      <c r="G8" s="175">
        <v>53401080</v>
      </c>
      <c r="H8" s="177">
        <f t="shared" si="1"/>
        <v>53518080</v>
      </c>
    </row>
    <row r="9" spans="1:8" ht="15.75" x14ac:dyDescent="0.3">
      <c r="A9" s="119">
        <v>3.1</v>
      </c>
      <c r="B9" s="178" t="s">
        <v>198</v>
      </c>
      <c r="C9" s="175">
        <v>368600</v>
      </c>
      <c r="D9" s="175">
        <v>1051539420</v>
      </c>
      <c r="E9" s="176">
        <f t="shared" si="0"/>
        <v>1051908020</v>
      </c>
      <c r="F9" s="175">
        <v>117000</v>
      </c>
      <c r="G9" s="175">
        <v>53401080</v>
      </c>
      <c r="H9" s="177">
        <f t="shared" si="1"/>
        <v>53518080</v>
      </c>
    </row>
    <row r="10" spans="1:8" ht="15.75" x14ac:dyDescent="0.3">
      <c r="A10" s="119">
        <v>3.2</v>
      </c>
      <c r="B10" s="178" t="s">
        <v>199</v>
      </c>
      <c r="C10" s="175">
        <v>0</v>
      </c>
      <c r="D10" s="175">
        <v>0</v>
      </c>
      <c r="E10" s="176">
        <f t="shared" si="0"/>
        <v>0</v>
      </c>
      <c r="F10" s="175">
        <v>0</v>
      </c>
      <c r="G10" s="175">
        <v>0</v>
      </c>
      <c r="H10" s="177">
        <f t="shared" si="1"/>
        <v>0</v>
      </c>
    </row>
    <row r="11" spans="1:8" ht="27" x14ac:dyDescent="0.3">
      <c r="A11" s="119">
        <v>4</v>
      </c>
      <c r="B11" s="174" t="s">
        <v>200</v>
      </c>
      <c r="C11" s="175">
        <f>C12+C13</f>
        <v>0</v>
      </c>
      <c r="D11" s="175">
        <f>D12+D13</f>
        <v>0</v>
      </c>
      <c r="E11" s="176">
        <f t="shared" si="0"/>
        <v>0</v>
      </c>
      <c r="F11" s="175">
        <v>0</v>
      </c>
      <c r="G11" s="175">
        <v>0</v>
      </c>
      <c r="H11" s="177">
        <f t="shared" si="1"/>
        <v>0</v>
      </c>
    </row>
    <row r="12" spans="1:8" ht="15.75" x14ac:dyDescent="0.3">
      <c r="A12" s="119">
        <v>4.0999999999999996</v>
      </c>
      <c r="B12" s="178" t="s">
        <v>201</v>
      </c>
      <c r="C12" s="175">
        <v>0</v>
      </c>
      <c r="D12" s="175">
        <v>0</v>
      </c>
      <c r="E12" s="176">
        <f t="shared" si="0"/>
        <v>0</v>
      </c>
      <c r="F12" s="175">
        <v>0</v>
      </c>
      <c r="G12" s="175">
        <v>0</v>
      </c>
      <c r="H12" s="177">
        <f t="shared" si="1"/>
        <v>0</v>
      </c>
    </row>
    <row r="13" spans="1:8" ht="15.75" x14ac:dyDescent="0.3">
      <c r="A13" s="119">
        <v>4.2</v>
      </c>
      <c r="B13" s="178" t="s">
        <v>202</v>
      </c>
      <c r="C13" s="175">
        <v>0</v>
      </c>
      <c r="D13" s="175">
        <v>0</v>
      </c>
      <c r="E13" s="176">
        <f t="shared" si="0"/>
        <v>0</v>
      </c>
      <c r="F13" s="175">
        <v>0</v>
      </c>
      <c r="G13" s="175">
        <v>0</v>
      </c>
      <c r="H13" s="177">
        <f t="shared" si="1"/>
        <v>0</v>
      </c>
    </row>
    <row r="14" spans="1:8" ht="15.75" x14ac:dyDescent="0.3">
      <c r="A14" s="119">
        <v>5</v>
      </c>
      <c r="B14" s="179" t="s">
        <v>203</v>
      </c>
      <c r="C14" s="175">
        <f>C15+C16+C17+C23+C24+C25+C26</f>
        <v>776872</v>
      </c>
      <c r="D14" s="175">
        <f>D15+D16+D17+D23+D24+D25+D26</f>
        <v>133245032</v>
      </c>
      <c r="E14" s="176">
        <f t="shared" si="0"/>
        <v>134021904</v>
      </c>
      <c r="F14" s="175">
        <v>600000</v>
      </c>
      <c r="G14" s="175">
        <v>35381614.899999999</v>
      </c>
      <c r="H14" s="177">
        <f t="shared" si="1"/>
        <v>35981614.899999999</v>
      </c>
    </row>
    <row r="15" spans="1:8" ht="15.75" x14ac:dyDescent="0.3">
      <c r="A15" s="119">
        <v>5.0999999999999996</v>
      </c>
      <c r="B15" s="180" t="s">
        <v>204</v>
      </c>
      <c r="C15" s="175">
        <v>776872</v>
      </c>
      <c r="D15" s="175">
        <v>1849166</v>
      </c>
      <c r="E15" s="176">
        <f t="shared" si="0"/>
        <v>2626038</v>
      </c>
      <c r="F15" s="175">
        <v>585000</v>
      </c>
      <c r="G15" s="175">
        <v>31412.400000000001</v>
      </c>
      <c r="H15" s="177">
        <f t="shared" si="1"/>
        <v>616412.4</v>
      </c>
    </row>
    <row r="16" spans="1:8" ht="15.75" x14ac:dyDescent="0.3">
      <c r="A16" s="119">
        <v>5.2</v>
      </c>
      <c r="B16" s="180" t="s">
        <v>205</v>
      </c>
      <c r="C16" s="175">
        <v>0</v>
      </c>
      <c r="D16" s="175">
        <v>0</v>
      </c>
      <c r="E16" s="176">
        <f t="shared" si="0"/>
        <v>0</v>
      </c>
      <c r="F16" s="175">
        <v>0</v>
      </c>
      <c r="G16" s="175">
        <v>0</v>
      </c>
      <c r="H16" s="177">
        <f t="shared" si="1"/>
        <v>0</v>
      </c>
    </row>
    <row r="17" spans="1:10" ht="15.75" x14ac:dyDescent="0.3">
      <c r="A17" s="119">
        <v>5.3</v>
      </c>
      <c r="B17" s="180" t="s">
        <v>206</v>
      </c>
      <c r="C17" s="175">
        <f>C18+C19+C20+C21+C22</f>
        <v>0</v>
      </c>
      <c r="D17" s="175">
        <f>D18+D19+D20+D21+D22</f>
        <v>116075201</v>
      </c>
      <c r="E17" s="176">
        <f t="shared" si="0"/>
        <v>116075201</v>
      </c>
      <c r="F17" s="175">
        <v>0</v>
      </c>
      <c r="G17" s="175">
        <v>34942103.07</v>
      </c>
      <c r="H17" s="177">
        <f t="shared" si="1"/>
        <v>34942103.07</v>
      </c>
    </row>
    <row r="18" spans="1:10" ht="15.75" x14ac:dyDescent="0.3">
      <c r="A18" s="119" t="s">
        <v>207</v>
      </c>
      <c r="B18" s="181" t="s">
        <v>208</v>
      </c>
      <c r="C18" s="175">
        <v>0</v>
      </c>
      <c r="D18" s="175">
        <v>32746748</v>
      </c>
      <c r="E18" s="176">
        <f t="shared" si="0"/>
        <v>32746748</v>
      </c>
      <c r="F18" s="175">
        <v>0</v>
      </c>
      <c r="G18" s="175">
        <v>9038918.0999999996</v>
      </c>
      <c r="H18" s="177">
        <f t="shared" si="1"/>
        <v>9038918.0999999996</v>
      </c>
    </row>
    <row r="19" spans="1:10" ht="15.75" x14ac:dyDescent="0.3">
      <c r="A19" s="119" t="s">
        <v>209</v>
      </c>
      <c r="B19" s="182" t="s">
        <v>210</v>
      </c>
      <c r="C19" s="175">
        <v>0</v>
      </c>
      <c r="D19" s="175">
        <v>22207939</v>
      </c>
      <c r="E19" s="176">
        <f t="shared" si="0"/>
        <v>22207939</v>
      </c>
      <c r="F19" s="175">
        <v>0</v>
      </c>
      <c r="G19" s="175">
        <v>8439203.0299999993</v>
      </c>
      <c r="H19" s="177">
        <f t="shared" si="1"/>
        <v>8439203.0299999993</v>
      </c>
    </row>
    <row r="20" spans="1:10" ht="15.75" x14ac:dyDescent="0.3">
      <c r="A20" s="119" t="s">
        <v>211</v>
      </c>
      <c r="B20" s="182" t="s">
        <v>212</v>
      </c>
      <c r="C20" s="175">
        <v>0</v>
      </c>
      <c r="D20" s="175">
        <v>1916488</v>
      </c>
      <c r="E20" s="176">
        <f t="shared" si="0"/>
        <v>1916488</v>
      </c>
      <c r="F20" s="175">
        <v>0</v>
      </c>
      <c r="G20" s="175">
        <v>0</v>
      </c>
      <c r="H20" s="177">
        <f t="shared" si="1"/>
        <v>0</v>
      </c>
    </row>
    <row r="21" spans="1:10" ht="15.75" x14ac:dyDescent="0.3">
      <c r="A21" s="119" t="s">
        <v>213</v>
      </c>
      <c r="B21" s="182" t="s">
        <v>214</v>
      </c>
      <c r="C21" s="175">
        <v>0</v>
      </c>
      <c r="D21" s="175">
        <v>59204026</v>
      </c>
      <c r="E21" s="176">
        <f t="shared" si="0"/>
        <v>59204026</v>
      </c>
      <c r="F21" s="175">
        <v>0</v>
      </c>
      <c r="G21" s="175">
        <v>17463981.940000001</v>
      </c>
      <c r="H21" s="177">
        <f t="shared" si="1"/>
        <v>17463981.940000001</v>
      </c>
    </row>
    <row r="22" spans="1:10" ht="15.75" x14ac:dyDescent="0.3">
      <c r="A22" s="119" t="s">
        <v>215</v>
      </c>
      <c r="B22" s="183" t="s">
        <v>216</v>
      </c>
      <c r="C22" s="175">
        <v>0</v>
      </c>
      <c r="D22" s="175">
        <v>0</v>
      </c>
      <c r="E22" s="176">
        <f t="shared" si="0"/>
        <v>0</v>
      </c>
      <c r="F22" s="175">
        <v>0</v>
      </c>
      <c r="G22" s="175">
        <v>0</v>
      </c>
      <c r="H22" s="177">
        <f t="shared" si="1"/>
        <v>0</v>
      </c>
    </row>
    <row r="23" spans="1:10" ht="15.75" x14ac:dyDescent="0.3">
      <c r="A23" s="119">
        <v>5.4</v>
      </c>
      <c r="B23" s="180" t="s">
        <v>217</v>
      </c>
      <c r="C23" s="175">
        <v>0</v>
      </c>
      <c r="D23" s="175">
        <v>15320665</v>
      </c>
      <c r="E23" s="176">
        <f t="shared" si="0"/>
        <v>15320665</v>
      </c>
      <c r="F23" s="175">
        <v>15000</v>
      </c>
      <c r="G23" s="175">
        <v>408099.43</v>
      </c>
      <c r="H23" s="177">
        <f t="shared" si="1"/>
        <v>423099.43</v>
      </c>
    </row>
    <row r="24" spans="1:10" ht="15.75" x14ac:dyDescent="0.3">
      <c r="A24" s="119">
        <v>5.5</v>
      </c>
      <c r="B24" s="180" t="s">
        <v>218</v>
      </c>
      <c r="C24" s="175">
        <v>0</v>
      </c>
      <c r="D24" s="175">
        <v>0</v>
      </c>
      <c r="E24" s="176">
        <f t="shared" si="0"/>
        <v>0</v>
      </c>
      <c r="F24" s="175">
        <v>0</v>
      </c>
      <c r="G24" s="175">
        <v>0</v>
      </c>
      <c r="H24" s="177">
        <f t="shared" si="1"/>
        <v>0</v>
      </c>
    </row>
    <row r="25" spans="1:10" ht="15.75" x14ac:dyDescent="0.3">
      <c r="A25" s="119">
        <v>5.6</v>
      </c>
      <c r="B25" s="180" t="s">
        <v>219</v>
      </c>
      <c r="C25" s="175">
        <v>0</v>
      </c>
      <c r="D25" s="175">
        <v>0</v>
      </c>
      <c r="E25" s="176">
        <f t="shared" si="0"/>
        <v>0</v>
      </c>
      <c r="F25" s="175">
        <v>0</v>
      </c>
      <c r="G25" s="175">
        <v>0</v>
      </c>
      <c r="H25" s="177">
        <f t="shared" si="1"/>
        <v>0</v>
      </c>
    </row>
    <row r="26" spans="1:10" ht="15.75" x14ac:dyDescent="0.3">
      <c r="A26" s="119">
        <v>5.7</v>
      </c>
      <c r="B26" s="180" t="s">
        <v>216</v>
      </c>
      <c r="C26" s="175">
        <v>0</v>
      </c>
      <c r="D26" s="175">
        <v>0</v>
      </c>
      <c r="E26" s="176">
        <f t="shared" si="0"/>
        <v>0</v>
      </c>
      <c r="F26" s="175">
        <v>0</v>
      </c>
      <c r="G26" s="175">
        <v>0</v>
      </c>
      <c r="H26" s="177">
        <f t="shared" si="1"/>
        <v>0</v>
      </c>
    </row>
    <row r="27" spans="1:10" ht="15.75" x14ac:dyDescent="0.3">
      <c r="A27" s="119">
        <v>6</v>
      </c>
      <c r="B27" s="179" t="s">
        <v>220</v>
      </c>
      <c r="C27" s="175">
        <v>2536854</v>
      </c>
      <c r="D27" s="175">
        <v>1786096</v>
      </c>
      <c r="E27" s="176">
        <f t="shared" si="0"/>
        <v>4322950</v>
      </c>
      <c r="F27" s="175">
        <v>182054.58</v>
      </c>
      <c r="G27" s="175">
        <v>2094160</v>
      </c>
      <c r="H27" s="177">
        <f t="shared" si="1"/>
        <v>2276214.58</v>
      </c>
    </row>
    <row r="28" spans="1:10" ht="15.75" x14ac:dyDescent="0.3">
      <c r="A28" s="119">
        <v>7</v>
      </c>
      <c r="B28" s="179" t="s">
        <v>221</v>
      </c>
      <c r="C28" s="175">
        <v>3603196</v>
      </c>
      <c r="D28" s="175">
        <v>2189260</v>
      </c>
      <c r="E28" s="176">
        <f t="shared" si="0"/>
        <v>5792456</v>
      </c>
      <c r="F28" s="175">
        <v>739100</v>
      </c>
      <c r="G28" s="175">
        <v>26177</v>
      </c>
      <c r="H28" s="177">
        <f t="shared" si="1"/>
        <v>765277</v>
      </c>
    </row>
    <row r="29" spans="1:10" ht="15.75" x14ac:dyDescent="0.3">
      <c r="A29" s="119">
        <v>8</v>
      </c>
      <c r="B29" s="179" t="s">
        <v>222</v>
      </c>
      <c r="C29" s="175">
        <v>0</v>
      </c>
      <c r="D29" s="175">
        <v>0</v>
      </c>
      <c r="E29" s="176">
        <f t="shared" si="0"/>
        <v>0</v>
      </c>
      <c r="F29" s="175">
        <v>0</v>
      </c>
      <c r="G29" s="175">
        <v>0</v>
      </c>
      <c r="H29" s="177">
        <f t="shared" si="1"/>
        <v>0</v>
      </c>
    </row>
    <row r="30" spans="1:10" ht="15.75" x14ac:dyDescent="0.3">
      <c r="A30" s="119">
        <v>9</v>
      </c>
      <c r="B30" s="174" t="s">
        <v>223</v>
      </c>
      <c r="C30" s="175">
        <f>C31+C32+C33+C34+C35+C36+C37</f>
        <v>3679300</v>
      </c>
      <c r="D30" s="175">
        <f>D31+D32+D33+D34+D35+D36+D37</f>
        <v>33721200</v>
      </c>
      <c r="E30" s="176">
        <f t="shared" si="0"/>
        <v>37400500</v>
      </c>
      <c r="F30" s="175">
        <v>5496350</v>
      </c>
      <c r="G30" s="175">
        <v>5235400</v>
      </c>
      <c r="H30" s="177">
        <f t="shared" si="1"/>
        <v>10731750</v>
      </c>
    </row>
    <row r="31" spans="1:10" ht="27" x14ac:dyDescent="0.3">
      <c r="A31" s="119">
        <v>9.1</v>
      </c>
      <c r="B31" s="178" t="s">
        <v>224</v>
      </c>
      <c r="C31" s="175">
        <v>0</v>
      </c>
      <c r="D31" s="175">
        <v>0</v>
      </c>
      <c r="E31" s="176">
        <f>C31+D31</f>
        <v>0</v>
      </c>
      <c r="F31" s="175">
        <v>0</v>
      </c>
      <c r="G31" s="175">
        <v>0</v>
      </c>
      <c r="H31" s="177">
        <f t="shared" si="1"/>
        <v>0</v>
      </c>
      <c r="J31" s="44"/>
    </row>
    <row r="32" spans="1:10" ht="27" x14ac:dyDescent="0.3">
      <c r="A32" s="119">
        <v>9.1999999999999993</v>
      </c>
      <c r="B32" s="178" t="s">
        <v>225</v>
      </c>
      <c r="C32" s="175">
        <v>3679300</v>
      </c>
      <c r="D32" s="175">
        <v>33721200</v>
      </c>
      <c r="E32" s="176">
        <f t="shared" si="0"/>
        <v>37400500</v>
      </c>
      <c r="F32" s="175">
        <v>5496350</v>
      </c>
      <c r="G32" s="175">
        <v>5235400</v>
      </c>
      <c r="H32" s="177">
        <f t="shared" si="1"/>
        <v>10731750</v>
      </c>
    </row>
    <row r="33" spans="1:8" ht="27" x14ac:dyDescent="0.3">
      <c r="A33" s="119">
        <v>9.3000000000000007</v>
      </c>
      <c r="B33" s="178" t="s">
        <v>226</v>
      </c>
      <c r="C33" s="175">
        <v>0</v>
      </c>
      <c r="D33" s="175">
        <v>0</v>
      </c>
      <c r="E33" s="176">
        <f t="shared" si="0"/>
        <v>0</v>
      </c>
      <c r="F33" s="175">
        <v>0</v>
      </c>
      <c r="G33" s="175">
        <v>0</v>
      </c>
      <c r="H33" s="177">
        <f t="shared" si="1"/>
        <v>0</v>
      </c>
    </row>
    <row r="34" spans="1:8" ht="15.75" x14ac:dyDescent="0.3">
      <c r="A34" s="119">
        <v>9.4</v>
      </c>
      <c r="B34" s="178" t="s">
        <v>227</v>
      </c>
      <c r="C34" s="175">
        <v>0</v>
      </c>
      <c r="D34" s="175">
        <v>0</v>
      </c>
      <c r="E34" s="176">
        <f t="shared" si="0"/>
        <v>0</v>
      </c>
      <c r="F34" s="175">
        <v>0</v>
      </c>
      <c r="G34" s="175">
        <v>0</v>
      </c>
      <c r="H34" s="177">
        <f t="shared" si="1"/>
        <v>0</v>
      </c>
    </row>
    <row r="35" spans="1:8" ht="15.75" x14ac:dyDescent="0.3">
      <c r="A35" s="119">
        <v>9.5</v>
      </c>
      <c r="B35" s="178" t="s">
        <v>228</v>
      </c>
      <c r="C35" s="175">
        <v>0</v>
      </c>
      <c r="D35" s="175">
        <v>0</v>
      </c>
      <c r="E35" s="176">
        <f t="shared" si="0"/>
        <v>0</v>
      </c>
      <c r="F35" s="175">
        <v>0</v>
      </c>
      <c r="G35" s="175">
        <v>0</v>
      </c>
      <c r="H35" s="177">
        <f t="shared" si="1"/>
        <v>0</v>
      </c>
    </row>
    <row r="36" spans="1:8" ht="27" x14ac:dyDescent="0.3">
      <c r="A36" s="119">
        <v>9.6</v>
      </c>
      <c r="B36" s="178" t="s">
        <v>229</v>
      </c>
      <c r="C36" s="175">
        <v>0</v>
      </c>
      <c r="D36" s="175">
        <v>0</v>
      </c>
      <c r="E36" s="176">
        <f t="shared" si="0"/>
        <v>0</v>
      </c>
      <c r="F36" s="175">
        <v>0</v>
      </c>
      <c r="G36" s="175">
        <v>0</v>
      </c>
      <c r="H36" s="177">
        <f t="shared" si="1"/>
        <v>0</v>
      </c>
    </row>
    <row r="37" spans="1:8" ht="27" x14ac:dyDescent="0.3">
      <c r="A37" s="119">
        <v>9.6999999999999993</v>
      </c>
      <c r="B37" s="178" t="s">
        <v>230</v>
      </c>
      <c r="C37" s="175">
        <v>0</v>
      </c>
      <c r="D37" s="175">
        <v>0</v>
      </c>
      <c r="E37" s="176">
        <f t="shared" si="0"/>
        <v>0</v>
      </c>
      <c r="F37" s="175">
        <v>0</v>
      </c>
      <c r="G37" s="175">
        <v>0</v>
      </c>
      <c r="H37" s="177">
        <f t="shared" si="1"/>
        <v>0</v>
      </c>
    </row>
    <row r="38" spans="1:8" ht="15.75" x14ac:dyDescent="0.3">
      <c r="A38" s="119">
        <v>10</v>
      </c>
      <c r="B38" s="179" t="s">
        <v>231</v>
      </c>
      <c r="C38" s="175">
        <f>C39+C40+C41+C42</f>
        <v>3179127.9</v>
      </c>
      <c r="D38" s="175">
        <f>D39+D40+D41+D42</f>
        <v>3253041</v>
      </c>
      <c r="E38" s="176">
        <f t="shared" si="0"/>
        <v>6432168.9000000004</v>
      </c>
      <c r="F38" s="175">
        <v>1421994.72</v>
      </c>
      <c r="G38" s="175">
        <v>1601362</v>
      </c>
      <c r="H38" s="177">
        <f t="shared" si="1"/>
        <v>3023356.7199999997</v>
      </c>
    </row>
    <row r="39" spans="1:8" ht="15.75" x14ac:dyDescent="0.3">
      <c r="A39" s="119">
        <v>10.1</v>
      </c>
      <c r="B39" s="178" t="s">
        <v>232</v>
      </c>
      <c r="C39" s="175">
        <v>3925.9</v>
      </c>
      <c r="D39" s="175">
        <v>0</v>
      </c>
      <c r="E39" s="176">
        <f t="shared" si="0"/>
        <v>3925.9</v>
      </c>
      <c r="F39" s="175">
        <v>3054.86</v>
      </c>
      <c r="G39" s="175">
        <v>0</v>
      </c>
      <c r="H39" s="177">
        <f t="shared" si="1"/>
        <v>3054.86</v>
      </c>
    </row>
    <row r="40" spans="1:8" ht="27" x14ac:dyDescent="0.3">
      <c r="A40" s="119">
        <v>10.199999999999999</v>
      </c>
      <c r="B40" s="178" t="s">
        <v>233</v>
      </c>
      <c r="C40" s="175">
        <v>1562580</v>
      </c>
      <c r="D40" s="175">
        <v>2309932</v>
      </c>
      <c r="E40" s="176">
        <f t="shared" si="0"/>
        <v>3872512</v>
      </c>
      <c r="F40" s="175">
        <v>213481</v>
      </c>
      <c r="G40" s="175">
        <v>550019</v>
      </c>
      <c r="H40" s="177">
        <f t="shared" si="1"/>
        <v>763500</v>
      </c>
    </row>
    <row r="41" spans="1:8" ht="27" x14ac:dyDescent="0.3">
      <c r="A41" s="119">
        <v>10.3</v>
      </c>
      <c r="B41" s="178" t="s">
        <v>234</v>
      </c>
      <c r="C41" s="175">
        <f>281688+3926</f>
        <v>285614</v>
      </c>
      <c r="D41" s="175">
        <v>116899</v>
      </c>
      <c r="E41" s="176">
        <f t="shared" si="0"/>
        <v>402513</v>
      </c>
      <c r="F41" s="175">
        <v>697714.86</v>
      </c>
      <c r="G41" s="175">
        <v>423768</v>
      </c>
      <c r="H41" s="177">
        <f t="shared" si="1"/>
        <v>1121482.8599999999</v>
      </c>
    </row>
    <row r="42" spans="1:8" ht="27" x14ac:dyDescent="0.3">
      <c r="A42" s="119">
        <v>10.4</v>
      </c>
      <c r="B42" s="178" t="s">
        <v>235</v>
      </c>
      <c r="C42" s="175">
        <v>1327008</v>
      </c>
      <c r="D42" s="175">
        <v>826210</v>
      </c>
      <c r="E42" s="176">
        <f t="shared" si="0"/>
        <v>2153218</v>
      </c>
      <c r="F42" s="175">
        <v>507744</v>
      </c>
      <c r="G42" s="175">
        <v>627575</v>
      </c>
      <c r="H42" s="177">
        <f t="shared" si="1"/>
        <v>1135319</v>
      </c>
    </row>
    <row r="43" spans="1:8" ht="15.75" x14ac:dyDescent="0.3">
      <c r="A43" s="119">
        <v>11</v>
      </c>
      <c r="B43" s="184" t="s">
        <v>236</v>
      </c>
      <c r="C43" s="175">
        <v>0</v>
      </c>
      <c r="D43" s="175">
        <v>0</v>
      </c>
      <c r="E43" s="176">
        <f t="shared" si="0"/>
        <v>0</v>
      </c>
      <c r="F43" s="175">
        <v>0</v>
      </c>
      <c r="G43" s="175">
        <v>0</v>
      </c>
      <c r="H43" s="177">
        <f t="shared" si="1"/>
        <v>0</v>
      </c>
    </row>
    <row r="44" spans="1:8" ht="15.75" x14ac:dyDescent="0.3">
      <c r="C44" s="185"/>
      <c r="D44" s="185"/>
      <c r="E44" s="185"/>
      <c r="F44" s="185"/>
      <c r="G44" s="185"/>
      <c r="H44" s="185"/>
    </row>
    <row r="45" spans="1:8" ht="15.75" x14ac:dyDescent="0.3">
      <c r="C45" s="185"/>
      <c r="D45" s="185"/>
      <c r="E45" s="185"/>
      <c r="F45" s="185"/>
      <c r="G45" s="185"/>
      <c r="H45" s="185"/>
    </row>
    <row r="46" spans="1:8" ht="15.75" x14ac:dyDescent="0.3">
      <c r="C46" s="185"/>
      <c r="D46" s="185"/>
      <c r="E46" s="185"/>
      <c r="F46" s="185"/>
      <c r="G46" s="185"/>
      <c r="H46" s="185"/>
    </row>
    <row r="47" spans="1:8" ht="15.75" x14ac:dyDescent="0.3">
      <c r="C47" s="185"/>
      <c r="D47" s="185"/>
      <c r="E47" s="185"/>
      <c r="F47" s="185"/>
      <c r="G47" s="185"/>
      <c r="H47" s="185"/>
    </row>
    <row r="51" spans="5:6" x14ac:dyDescent="0.25">
      <c r="E51" s="44"/>
      <c r="F51" s="44"/>
    </row>
  </sheetData>
  <mergeCells count="4">
    <mergeCell ref="A4:A5"/>
    <mergeCell ref="B4:B5"/>
    <mergeCell ref="C4:E4"/>
    <mergeCell ref="F4:H4"/>
  </mergeCells>
  <pageMargins left="0.7" right="0.7" top="0.75" bottom="0.75" header="0.3" footer="0.3"/>
  <pageSetup paperSize="0" orientation="portrait" horizontalDpi="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A548-595B-4AC3-8E8F-F7CF6BE2A76B}">
  <dimension ref="A1:M35"/>
  <sheetViews>
    <sheetView zoomScale="115" zoomScaleNormal="115" workbookViewId="0">
      <pane xSplit="1" ySplit="4" topLeftCell="B5" activePane="bottomRight" state="frozen"/>
      <selection activeCell="I28" sqref="I28"/>
      <selection pane="topRight" activeCell="I28" sqref="I28"/>
      <selection pane="bottomLeft" activeCell="I28" sqref="I28"/>
      <selection pane="bottomRight" activeCell="C6" sqref="C6:G13"/>
    </sheetView>
  </sheetViews>
  <sheetFormatPr defaultColWidth="9.140625" defaultRowHeight="13.5" x14ac:dyDescent="0.25"/>
  <cols>
    <col min="1" max="1" width="9.5703125" style="20" bestFit="1" customWidth="1"/>
    <col min="2" max="2" width="93.5703125" style="20" customWidth="1"/>
    <col min="3" max="5" width="11.7109375" style="20" customWidth="1"/>
    <col min="6" max="6" width="11.7109375" style="186" customWidth="1"/>
    <col min="7" max="7" width="13.7109375" style="186" customWidth="1"/>
    <col min="8" max="8" width="9.7109375" style="186" customWidth="1"/>
    <col min="9" max="16384" width="9.140625" style="186"/>
  </cols>
  <sheetData>
    <row r="1" spans="1:13" ht="15" x14ac:dyDescent="0.3">
      <c r="A1" s="21" t="s">
        <v>41</v>
      </c>
      <c r="B1" s="23" t="str">
        <f>Info!C2</f>
        <v>სს სილქ ბანკი</v>
      </c>
      <c r="C1" s="23"/>
      <c r="D1" s="23"/>
    </row>
    <row r="2" spans="1:13" ht="15" x14ac:dyDescent="0.3">
      <c r="A2" s="21" t="s">
        <v>42</v>
      </c>
      <c r="B2" s="24">
        <f>'1. key ratios'!B2</f>
        <v>45473</v>
      </c>
      <c r="C2" s="23"/>
      <c r="D2" s="23"/>
    </row>
    <row r="3" spans="1:13" ht="15" x14ac:dyDescent="0.3">
      <c r="A3" s="21"/>
      <c r="B3" s="23"/>
      <c r="C3" s="23"/>
      <c r="D3" s="23"/>
    </row>
    <row r="4" spans="1:13" ht="40.5" customHeight="1" thickBot="1" x14ac:dyDescent="0.35">
      <c r="A4" s="187" t="s">
        <v>237</v>
      </c>
      <c r="B4" s="188" t="s">
        <v>16</v>
      </c>
      <c r="D4" s="189"/>
      <c r="G4" s="189" t="s">
        <v>238</v>
      </c>
    </row>
    <row r="5" spans="1:13" ht="15" customHeight="1" x14ac:dyDescent="0.2">
      <c r="A5" s="190" t="s">
        <v>46</v>
      </c>
      <c r="B5" s="191"/>
      <c r="C5" s="192" t="str">
        <f>INT((MONTH($B$2))/3)&amp;"Q"&amp;"-"&amp;YEAR($B$2)</f>
        <v>2Q-2024</v>
      </c>
      <c r="D5" s="192" t="str">
        <f>IF(INT(MONTH($B$2))=3, "4"&amp;"Q"&amp;"-"&amp;YEAR($B$2)-1, IF(INT(MONTH($B$2))=6, "1"&amp;"Q"&amp;"-"&amp;YEAR($B$2), IF(INT(MONTH($B$2))=9, "2"&amp;"Q"&amp;"-"&amp;YEAR($B$2),IF(INT(MONTH($B$2))=12, "3"&amp;"Q"&amp;"-"&amp;YEAR($B$2), 0))))</f>
        <v>1Q-2024</v>
      </c>
      <c r="E5" s="192" t="str">
        <f>IF(INT(MONTH($B$2))=3, "3"&amp;"Q"&amp;"-"&amp;YEAR($B$2)-1, IF(INT(MONTH($B$2))=6, "4"&amp;"Q"&amp;"-"&amp;YEAR($B$2)-1, IF(INT(MONTH($B$2))=9, "1"&amp;"Q"&amp;"-"&amp;YEAR($B$2),IF(INT(MONTH($B$2))=12, "2"&amp;"Q"&amp;"-"&amp;YEAR($B$2), 0))))</f>
        <v>4Q-2023</v>
      </c>
      <c r="F5" s="192" t="str">
        <f>IF(INT(MONTH($B$2))=3, "2"&amp;"Q"&amp;"-"&amp;YEAR($B$2)-1, IF(INT(MONTH($B$2))=6, "3"&amp;"Q"&amp;"-"&amp;YEAR($B$2)-1, IF(INT(MONTH($B$2))=9, "4"&amp;"Q"&amp;"-"&amp;YEAR($B$2)-1,IF(INT(MONTH($B$2))=12, "1"&amp;"Q"&amp;"-"&amp;YEAR($B$2), 0))))</f>
        <v>3Q-2023</v>
      </c>
      <c r="G5" s="192" t="str">
        <f>IF(INT(MONTH($B$2))=3, "1"&amp;"Q"&amp;"-"&amp;YEAR($B$2)-1, IF(INT(MONTH($B$2))=6, "2"&amp;"Q"&amp;"-"&amp;YEAR($B$2)-1, IF(INT(MONTH($B$2))=9, "3"&amp;"Q"&amp;"-"&amp;YEAR($B$2)-1,IF(INT(MONTH($B$2))=12, "4"&amp;"Q"&amp;"-"&amp;YEAR($B$2)-1, 0))))</f>
        <v>2Q-2023</v>
      </c>
    </row>
    <row r="6" spans="1:13" ht="15" customHeight="1" x14ac:dyDescent="0.2">
      <c r="A6" s="193">
        <v>1</v>
      </c>
      <c r="B6" s="194" t="s">
        <v>239</v>
      </c>
      <c r="C6" s="195">
        <f>C7+C9+C10</f>
        <v>146303205.7720727</v>
      </c>
      <c r="D6" s="195">
        <v>116957037.78093955</v>
      </c>
      <c r="E6" s="195">
        <v>110764522.38074145</v>
      </c>
      <c r="F6" s="195">
        <v>79633223.293629467</v>
      </c>
      <c r="G6" s="196">
        <v>61938851.293507352</v>
      </c>
    </row>
    <row r="7" spans="1:13" ht="15" customHeight="1" x14ac:dyDescent="0.2">
      <c r="A7" s="193">
        <v>1.1000000000000001</v>
      </c>
      <c r="B7" s="198" t="s">
        <v>240</v>
      </c>
      <c r="C7" s="199">
        <v>139767862.17821136</v>
      </c>
      <c r="D7" s="199">
        <v>112969832.30927244</v>
      </c>
      <c r="E7" s="200">
        <v>106221900.62103853</v>
      </c>
      <c r="F7" s="199">
        <v>75682512.27550739</v>
      </c>
      <c r="G7" s="201">
        <v>60964339.293507352</v>
      </c>
    </row>
    <row r="8" spans="1:13" ht="27" x14ac:dyDescent="0.2">
      <c r="A8" s="193" t="s">
        <v>241</v>
      </c>
      <c r="B8" s="202" t="s">
        <v>242</v>
      </c>
      <c r="C8" s="199"/>
      <c r="D8" s="199"/>
      <c r="E8" s="200"/>
      <c r="F8" s="199"/>
      <c r="G8" s="201"/>
    </row>
    <row r="9" spans="1:13" ht="15" customHeight="1" x14ac:dyDescent="0.2">
      <c r="A9" s="193">
        <v>1.2</v>
      </c>
      <c r="B9" s="198" t="s">
        <v>243</v>
      </c>
      <c r="C9" s="199">
        <v>5787333.593861334</v>
      </c>
      <c r="D9" s="199">
        <v>3637469.4716671063</v>
      </c>
      <c r="E9" s="200">
        <v>4279663.7597029284</v>
      </c>
      <c r="F9" s="199">
        <v>3817303.0181220695</v>
      </c>
      <c r="G9" s="201">
        <v>759877</v>
      </c>
      <c r="M9" s="203"/>
    </row>
    <row r="10" spans="1:13" ht="15" customHeight="1" x14ac:dyDescent="0.2">
      <c r="A10" s="193">
        <v>1.3</v>
      </c>
      <c r="B10" s="204" t="s">
        <v>28</v>
      </c>
      <c r="C10" s="199">
        <v>748010</v>
      </c>
      <c r="D10" s="199">
        <v>349736</v>
      </c>
      <c r="E10" s="200">
        <v>262958</v>
      </c>
      <c r="F10" s="199">
        <v>133408</v>
      </c>
      <c r="G10" s="201">
        <v>214635</v>
      </c>
    </row>
    <row r="11" spans="1:13" ht="15" customHeight="1" x14ac:dyDescent="0.2">
      <c r="A11" s="193">
        <v>2</v>
      </c>
      <c r="B11" s="194" t="s">
        <v>244</v>
      </c>
      <c r="C11" s="199">
        <v>834254.09875951475</v>
      </c>
      <c r="D11" s="199">
        <v>618164.27297467901</v>
      </c>
      <c r="E11" s="200">
        <v>749272.26096899912</v>
      </c>
      <c r="F11" s="199">
        <v>297313.52988999954</v>
      </c>
      <c r="G11" s="201">
        <v>229858.94887295188</v>
      </c>
      <c r="M11" s="203"/>
    </row>
    <row r="12" spans="1:13" ht="15" customHeight="1" x14ac:dyDescent="0.2">
      <c r="A12" s="193">
        <v>3</v>
      </c>
      <c r="B12" s="194" t="s">
        <v>245</v>
      </c>
      <c r="C12" s="199">
        <v>9176496.3328977302</v>
      </c>
      <c r="D12" s="199">
        <v>9168301.2517249286</v>
      </c>
      <c r="E12" s="200">
        <v>9168301.2517249286</v>
      </c>
      <c r="F12" s="199">
        <v>8764146.5926030725</v>
      </c>
      <c r="G12" s="201">
        <v>8764146.5926030725</v>
      </c>
    </row>
    <row r="13" spans="1:13" ht="15" customHeight="1" thickBot="1" x14ac:dyDescent="0.25">
      <c r="A13" s="205">
        <v>4</v>
      </c>
      <c r="B13" s="206" t="s">
        <v>246</v>
      </c>
      <c r="C13" s="207">
        <f>C6+C11+C12</f>
        <v>156313956.20372993</v>
      </c>
      <c r="D13" s="207">
        <v>126743503.30563916</v>
      </c>
      <c r="E13" s="207">
        <v>120682095.89343537</v>
      </c>
      <c r="F13" s="207">
        <v>88694683.416122541</v>
      </c>
      <c r="G13" s="208">
        <v>70932856.834983379</v>
      </c>
    </row>
    <row r="14" spans="1:13" x14ac:dyDescent="0.25">
      <c r="B14" s="109"/>
    </row>
    <row r="15" spans="1:13" ht="27" x14ac:dyDescent="0.25">
      <c r="B15" s="109" t="s">
        <v>247</v>
      </c>
    </row>
    <row r="16" spans="1:13" x14ac:dyDescent="0.25">
      <c r="B16" s="109"/>
    </row>
    <row r="17" spans="2:7" x14ac:dyDescent="0.25">
      <c r="B17" s="109"/>
    </row>
    <row r="18" spans="2:7" x14ac:dyDescent="0.25">
      <c r="B18" s="109"/>
      <c r="D18" s="209"/>
    </row>
    <row r="22" spans="2:7" x14ac:dyDescent="0.25">
      <c r="B22" s="210"/>
    </row>
    <row r="25" spans="2:7" x14ac:dyDescent="0.25">
      <c r="D25" s="209"/>
      <c r="E25" s="209"/>
      <c r="F25" s="209"/>
      <c r="G25" s="209"/>
    </row>
    <row r="26" spans="2:7" x14ac:dyDescent="0.25">
      <c r="D26" s="209"/>
      <c r="E26" s="209"/>
      <c r="F26" s="209"/>
      <c r="G26" s="209"/>
    </row>
    <row r="27" spans="2:7" x14ac:dyDescent="0.25">
      <c r="D27" s="209"/>
      <c r="E27" s="209"/>
      <c r="F27" s="209"/>
      <c r="G27" s="209"/>
    </row>
    <row r="28" spans="2:7" x14ac:dyDescent="0.25">
      <c r="D28" s="209"/>
      <c r="E28" s="209"/>
      <c r="F28" s="209"/>
      <c r="G28" s="209"/>
    </row>
    <row r="29" spans="2:7" x14ac:dyDescent="0.25">
      <c r="D29" s="209"/>
      <c r="E29" s="209"/>
      <c r="F29" s="209"/>
      <c r="G29" s="209"/>
    </row>
    <row r="30" spans="2:7" x14ac:dyDescent="0.25">
      <c r="D30" s="209"/>
      <c r="E30" s="209"/>
      <c r="F30" s="209"/>
      <c r="G30" s="209"/>
    </row>
    <row r="31" spans="2:7" x14ac:dyDescent="0.25">
      <c r="D31" s="209"/>
      <c r="E31" s="209"/>
      <c r="F31" s="209"/>
      <c r="G31" s="209"/>
    </row>
    <row r="32" spans="2:7" x14ac:dyDescent="0.25">
      <c r="D32" s="209"/>
      <c r="E32" s="209"/>
      <c r="F32" s="209"/>
      <c r="G32" s="209"/>
    </row>
    <row r="33" spans="4:7" x14ac:dyDescent="0.25">
      <c r="D33" s="209"/>
      <c r="E33" s="209"/>
      <c r="F33" s="209"/>
      <c r="G33" s="209"/>
    </row>
    <row r="34" spans="4:7" x14ac:dyDescent="0.25">
      <c r="D34" s="209"/>
      <c r="E34" s="209"/>
      <c r="F34" s="209"/>
      <c r="G34" s="209"/>
    </row>
    <row r="35" spans="4:7" x14ac:dyDescent="0.25">
      <c r="D35" s="209"/>
      <c r="E35" s="209"/>
      <c r="F35" s="209"/>
      <c r="G35" s="20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F8916-91CF-4E58-BA7A-AC634E367471}">
  <dimension ref="A1:E36"/>
  <sheetViews>
    <sheetView showGridLines="0" zoomScale="115" zoomScaleNormal="115" workbookViewId="0">
      <pane xSplit="1" ySplit="4" topLeftCell="B15" activePane="bottomRight" state="frozen"/>
      <selection activeCell="I28" sqref="I28"/>
      <selection pane="topRight" activeCell="I28" sqref="I28"/>
      <selection pane="bottomLeft" activeCell="I28" sqref="I28"/>
      <selection pane="bottomRight" activeCell="C24" sqref="B24:C36"/>
    </sheetView>
  </sheetViews>
  <sheetFormatPr defaultRowHeight="15" x14ac:dyDescent="0.25"/>
  <cols>
    <col min="1" max="1" width="9.5703125" style="20" bestFit="1" customWidth="1"/>
    <col min="2" max="2" width="53.7109375" style="20" customWidth="1"/>
    <col min="3" max="3" width="44.5703125" style="20" customWidth="1"/>
    <col min="4" max="4" width="31.7109375" bestFit="1" customWidth="1"/>
  </cols>
  <sheetData>
    <row r="1" spans="1:3" x14ac:dyDescent="0.25">
      <c r="A1" s="20" t="s">
        <v>41</v>
      </c>
      <c r="B1" s="20" t="str">
        <f>Info!C2</f>
        <v>სს სილქ ბანკი</v>
      </c>
    </row>
    <row r="2" spans="1:3" x14ac:dyDescent="0.25">
      <c r="A2" s="20" t="s">
        <v>42</v>
      </c>
      <c r="B2" s="24">
        <f>'1. key ratios'!B2</f>
        <v>45473</v>
      </c>
    </row>
    <row r="4" spans="1:3" ht="40.5" customHeight="1" thickBot="1" x14ac:dyDescent="0.35">
      <c r="A4" s="211" t="s">
        <v>248</v>
      </c>
      <c r="B4" s="808" t="s">
        <v>17</v>
      </c>
      <c r="C4" s="808"/>
    </row>
    <row r="5" spans="1:3" ht="15.75" x14ac:dyDescent="0.3">
      <c r="A5" s="212"/>
      <c r="B5" s="213" t="s">
        <v>249</v>
      </c>
      <c r="C5" s="172" t="s">
        <v>250</v>
      </c>
    </row>
    <row r="6" spans="1:3" x14ac:dyDescent="0.25">
      <c r="A6" s="214">
        <v>1</v>
      </c>
      <c r="B6" s="215" t="s">
        <v>251</v>
      </c>
      <c r="C6" s="216" t="s">
        <v>252</v>
      </c>
    </row>
    <row r="7" spans="1:3" x14ac:dyDescent="0.25">
      <c r="A7" s="214">
        <v>2</v>
      </c>
      <c r="B7" s="215" t="s">
        <v>253</v>
      </c>
      <c r="C7" s="216" t="s">
        <v>254</v>
      </c>
    </row>
    <row r="8" spans="1:3" x14ac:dyDescent="0.25">
      <c r="A8" s="214">
        <v>3</v>
      </c>
      <c r="B8" s="215" t="s">
        <v>255</v>
      </c>
      <c r="C8" s="216" t="s">
        <v>254</v>
      </c>
    </row>
    <row r="9" spans="1:3" x14ac:dyDescent="0.25">
      <c r="A9" s="214">
        <v>4</v>
      </c>
      <c r="B9" s="215" t="s">
        <v>256</v>
      </c>
      <c r="C9" s="216" t="s">
        <v>254</v>
      </c>
    </row>
    <row r="10" spans="1:3" x14ac:dyDescent="0.25">
      <c r="A10" s="214">
        <v>5</v>
      </c>
      <c r="B10" s="215" t="s">
        <v>257</v>
      </c>
      <c r="C10" s="216" t="s">
        <v>258</v>
      </c>
    </row>
    <row r="11" spans="1:3" x14ac:dyDescent="0.25">
      <c r="A11" s="214">
        <v>6</v>
      </c>
      <c r="B11" s="215" t="s">
        <v>259</v>
      </c>
      <c r="C11" s="216" t="s">
        <v>258</v>
      </c>
    </row>
    <row r="12" spans="1:3" x14ac:dyDescent="0.25">
      <c r="A12" s="214"/>
      <c r="B12" s="809"/>
      <c r="C12" s="810"/>
    </row>
    <row r="13" spans="1:3" ht="30" x14ac:dyDescent="0.25">
      <c r="A13" s="214"/>
      <c r="B13" s="217" t="s">
        <v>260</v>
      </c>
      <c r="C13" s="218" t="s">
        <v>261</v>
      </c>
    </row>
    <row r="14" spans="1:3" ht="15.75" x14ac:dyDescent="0.3">
      <c r="A14" s="214">
        <v>1</v>
      </c>
      <c r="B14" s="219" t="s">
        <v>262</v>
      </c>
      <c r="C14" s="220" t="s">
        <v>263</v>
      </c>
    </row>
    <row r="15" spans="1:3" ht="15.75" x14ac:dyDescent="0.3">
      <c r="A15" s="214">
        <v>2</v>
      </c>
      <c r="B15" s="221" t="s">
        <v>264</v>
      </c>
      <c r="C15" s="220" t="s">
        <v>265</v>
      </c>
    </row>
    <row r="16" spans="1:3" ht="15.75" x14ac:dyDescent="0.3">
      <c r="A16" s="214">
        <v>3</v>
      </c>
      <c r="B16" s="221" t="s">
        <v>266</v>
      </c>
      <c r="C16" s="220" t="s">
        <v>267</v>
      </c>
    </row>
    <row r="17" spans="1:5" ht="15.75" x14ac:dyDescent="0.3">
      <c r="A17" s="214">
        <v>4</v>
      </c>
      <c r="B17" s="219" t="s">
        <v>268</v>
      </c>
      <c r="C17" s="220" t="s">
        <v>269</v>
      </c>
    </row>
    <row r="18" spans="1:5" ht="15.75" x14ac:dyDescent="0.3">
      <c r="A18" s="214">
        <v>5</v>
      </c>
      <c r="B18" s="219" t="s">
        <v>270</v>
      </c>
      <c r="C18" s="220" t="s">
        <v>271</v>
      </c>
    </row>
    <row r="19" spans="1:5" ht="15.75" x14ac:dyDescent="0.3">
      <c r="A19" s="214">
        <v>6</v>
      </c>
      <c r="B19" s="219" t="s">
        <v>272</v>
      </c>
      <c r="C19" s="220" t="s">
        <v>273</v>
      </c>
    </row>
    <row r="20" spans="1:5" ht="15.75" x14ac:dyDescent="0.3">
      <c r="A20" s="214"/>
      <c r="B20" s="219"/>
      <c r="C20" s="220"/>
    </row>
    <row r="21" spans="1:5" ht="15.75" x14ac:dyDescent="0.3">
      <c r="A21" s="214"/>
      <c r="B21" s="219"/>
      <c r="C21" s="220"/>
    </row>
    <row r="22" spans="1:5" ht="15.75" x14ac:dyDescent="0.3">
      <c r="A22" s="214"/>
      <c r="B22" s="219"/>
      <c r="C22" s="222"/>
    </row>
    <row r="23" spans="1:5" ht="26.45" customHeight="1" x14ac:dyDescent="0.25">
      <c r="A23" s="214"/>
      <c r="B23" s="811" t="s">
        <v>274</v>
      </c>
      <c r="C23" s="812"/>
      <c r="D23" s="223"/>
    </row>
    <row r="24" spans="1:5" ht="30" customHeight="1" x14ac:dyDescent="0.25">
      <c r="A24" s="214">
        <v>1</v>
      </c>
      <c r="B24" s="215" t="s">
        <v>275</v>
      </c>
      <c r="C24" s="224">
        <v>0.60704020000000003</v>
      </c>
      <c r="D24" s="225"/>
      <c r="E24" s="43"/>
    </row>
    <row r="25" spans="1:5" ht="15" customHeight="1" x14ac:dyDescent="0.25">
      <c r="A25" s="214">
        <v>2</v>
      </c>
      <c r="B25" s="215" t="s">
        <v>276</v>
      </c>
      <c r="C25" s="224">
        <v>0.34760029999999997</v>
      </c>
      <c r="D25" s="225"/>
      <c r="E25" s="43"/>
    </row>
    <row r="26" spans="1:5" x14ac:dyDescent="0.25">
      <c r="A26" s="214">
        <v>3</v>
      </c>
      <c r="B26" s="215" t="s">
        <v>277</v>
      </c>
      <c r="C26" s="224">
        <v>4.5310999999999997E-2</v>
      </c>
      <c r="D26" s="225"/>
      <c r="E26" s="43"/>
    </row>
    <row r="27" spans="1:5" x14ac:dyDescent="0.25">
      <c r="A27" s="214"/>
      <c r="B27" s="215"/>
      <c r="C27" s="226"/>
    </row>
    <row r="28" spans="1:5" ht="32.450000000000003" customHeight="1" x14ac:dyDescent="0.25">
      <c r="A28" s="214"/>
      <c r="B28" s="811" t="s">
        <v>278</v>
      </c>
      <c r="C28" s="812"/>
      <c r="D28" s="225"/>
      <c r="E28" s="227"/>
    </row>
    <row r="29" spans="1:5" ht="29.25" customHeight="1" x14ac:dyDescent="0.25">
      <c r="A29" s="214">
        <v>1</v>
      </c>
      <c r="B29" s="215" t="s">
        <v>275</v>
      </c>
      <c r="C29" s="228">
        <v>0.60704020000000003</v>
      </c>
      <c r="D29" s="225"/>
      <c r="E29" s="43"/>
    </row>
    <row r="30" spans="1:5" ht="15" customHeight="1" x14ac:dyDescent="0.25">
      <c r="A30" s="229">
        <v>1.1000000000000001</v>
      </c>
      <c r="B30" s="230" t="s">
        <v>279</v>
      </c>
      <c r="C30" s="231">
        <v>0.37575999999999998</v>
      </c>
      <c r="D30" s="225"/>
      <c r="E30" s="43"/>
    </row>
    <row r="31" spans="1:5" x14ac:dyDescent="0.25">
      <c r="A31" s="229">
        <v>1.2</v>
      </c>
      <c r="B31" s="230" t="s">
        <v>280</v>
      </c>
      <c r="C31" s="231">
        <v>0.17349000000000001</v>
      </c>
      <c r="D31" s="225"/>
      <c r="E31" s="43"/>
    </row>
    <row r="32" spans="1:5" x14ac:dyDescent="0.25">
      <c r="A32" s="229">
        <v>1.3</v>
      </c>
      <c r="B32" s="230" t="s">
        <v>281</v>
      </c>
      <c r="C32" s="231">
        <v>5.7790000000000001E-2</v>
      </c>
      <c r="D32" s="225"/>
      <c r="E32" s="43"/>
    </row>
    <row r="33" spans="1:5" x14ac:dyDescent="0.25">
      <c r="A33" s="229">
        <v>2</v>
      </c>
      <c r="B33" s="230" t="s">
        <v>276</v>
      </c>
      <c r="C33" s="231">
        <v>0.34760000000000002</v>
      </c>
      <c r="D33" s="225"/>
      <c r="E33" s="43"/>
    </row>
    <row r="34" spans="1:5" ht="27" x14ac:dyDescent="0.25">
      <c r="A34" s="229">
        <v>2.1</v>
      </c>
      <c r="B34" s="230" t="s">
        <v>282</v>
      </c>
      <c r="C34" s="232">
        <v>0.34760000000000002</v>
      </c>
      <c r="D34" s="225"/>
      <c r="E34" s="43"/>
    </row>
    <row r="35" spans="1:5" x14ac:dyDescent="0.25">
      <c r="A35" s="233" t="s">
        <v>283</v>
      </c>
      <c r="B35" s="230" t="s">
        <v>284</v>
      </c>
      <c r="C35" s="231">
        <v>0.34760000000000002</v>
      </c>
      <c r="D35" s="225"/>
      <c r="E35" s="43"/>
    </row>
    <row r="36" spans="1:5" ht="16.5" thickBot="1" x14ac:dyDescent="0.35">
      <c r="A36" s="234"/>
      <c r="B36" s="235"/>
      <c r="C36" s="236"/>
    </row>
  </sheetData>
  <mergeCells count="4">
    <mergeCell ref="B4:C4"/>
    <mergeCell ref="B12:C12"/>
    <mergeCell ref="B23:C23"/>
    <mergeCell ref="B28:C28"/>
  </mergeCells>
  <dataValidations count="1">
    <dataValidation type="list" allowBlank="1" showInputMessage="1" showErrorMessage="1" sqref="C6:C11" xr:uid="{B0F03068-AEEC-46D0-8208-A5B199EE46D7}">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4F089-A223-4956-95FD-D7F1D41951B2}">
  <dimension ref="A1:G49"/>
  <sheetViews>
    <sheetView zoomScaleNormal="130" workbookViewId="0">
      <pane xSplit="1" ySplit="5" topLeftCell="B15" activePane="bottomRight" state="frozen"/>
      <selection activeCell="I28" sqref="I28"/>
      <selection pane="topRight" activeCell="I28" sqref="I28"/>
      <selection pane="bottomLeft" activeCell="I28" sqref="I28"/>
      <selection pane="bottomRight" activeCell="C8" sqref="C8:E37"/>
    </sheetView>
  </sheetViews>
  <sheetFormatPr defaultRowHeight="15" x14ac:dyDescent="0.25"/>
  <cols>
    <col min="1" max="1" width="9.5703125" style="20" bestFit="1" customWidth="1"/>
    <col min="2" max="2" width="47.5703125" style="20" customWidth="1"/>
    <col min="3" max="3" width="28" style="20" customWidth="1"/>
    <col min="4" max="4" width="25.5703125" style="20" customWidth="1"/>
    <col min="5" max="5" width="18.85546875" style="20" customWidth="1"/>
    <col min="6" max="6" width="12" style="237" bestFit="1" customWidth="1"/>
    <col min="7" max="7" width="62.140625" customWidth="1"/>
  </cols>
  <sheetData>
    <row r="1" spans="1:6" ht="15.75" x14ac:dyDescent="0.3">
      <c r="A1" s="21" t="s">
        <v>41</v>
      </c>
      <c r="B1" s="23" t="str">
        <f>Info!C2</f>
        <v>სს სილქ ბანკი</v>
      </c>
    </row>
    <row r="2" spans="1:6" s="21" customFormat="1" ht="15.75" customHeight="1" x14ac:dyDescent="0.3">
      <c r="A2" s="21" t="s">
        <v>42</v>
      </c>
      <c r="B2" s="24">
        <f>'1. key ratios'!B2</f>
        <v>45473</v>
      </c>
      <c r="F2" s="238"/>
    </row>
    <row r="3" spans="1:6" s="21" customFormat="1" ht="15.75" customHeight="1" x14ac:dyDescent="0.3">
      <c r="F3" s="238"/>
    </row>
    <row r="4" spans="1:6" s="21" customFormat="1" ht="40.5" customHeight="1" thickBot="1" x14ac:dyDescent="0.35">
      <c r="A4" s="239" t="s">
        <v>285</v>
      </c>
      <c r="B4" s="240" t="s">
        <v>18</v>
      </c>
      <c r="C4" s="241"/>
      <c r="D4" s="241"/>
      <c r="E4" s="242" t="s">
        <v>238</v>
      </c>
      <c r="F4" s="238"/>
    </row>
    <row r="5" spans="1:6" s="248" customFormat="1" ht="17.45" customHeight="1" x14ac:dyDescent="0.25">
      <c r="A5" s="243"/>
      <c r="B5" s="244"/>
      <c r="C5" s="245" t="s">
        <v>286</v>
      </c>
      <c r="D5" s="245" t="s">
        <v>287</v>
      </c>
      <c r="E5" s="246" t="s">
        <v>288</v>
      </c>
      <c r="F5" s="247"/>
    </row>
    <row r="6" spans="1:6" ht="14.45" customHeight="1" x14ac:dyDescent="0.25">
      <c r="A6" s="249"/>
      <c r="B6" s="813" t="s">
        <v>289</v>
      </c>
      <c r="C6" s="813" t="s">
        <v>290</v>
      </c>
      <c r="D6" s="814" t="s">
        <v>291</v>
      </c>
      <c r="E6" s="815"/>
    </row>
    <row r="7" spans="1:6" ht="99.6" customHeight="1" x14ac:dyDescent="0.25">
      <c r="A7" s="249"/>
      <c r="B7" s="813"/>
      <c r="C7" s="813"/>
      <c r="D7" s="251" t="s">
        <v>292</v>
      </c>
      <c r="E7" s="252" t="s">
        <v>293</v>
      </c>
    </row>
    <row r="8" spans="1:6" ht="22.5" customHeight="1" x14ac:dyDescent="0.25">
      <c r="A8" s="704">
        <v>1</v>
      </c>
      <c r="B8" s="120" t="s">
        <v>98</v>
      </c>
      <c r="C8" s="253">
        <f>SUM(C9:C11)</f>
        <v>60851566.14081157</v>
      </c>
      <c r="D8" s="253">
        <f>SUM(D9:D11)</f>
        <v>0</v>
      </c>
      <c r="E8" s="761">
        <f>SUM(E9:E11)</f>
        <v>60851566.14081157</v>
      </c>
      <c r="F8" s="254"/>
    </row>
    <row r="9" spans="1:6" x14ac:dyDescent="0.25">
      <c r="A9" s="704">
        <v>1.1000000000000001</v>
      </c>
      <c r="B9" s="123" t="s">
        <v>99</v>
      </c>
      <c r="C9" s="253">
        <f>'2. SOFP'!E8</f>
        <v>3446412.4000000027</v>
      </c>
      <c r="D9" s="253"/>
      <c r="E9" s="761">
        <f>C9-D9</f>
        <v>3446412.4000000027</v>
      </c>
    </row>
    <row r="10" spans="1:6" x14ac:dyDescent="0.25">
      <c r="A10" s="704">
        <v>1.2</v>
      </c>
      <c r="B10" s="123" t="s">
        <v>100</v>
      </c>
      <c r="C10" s="253">
        <f>'2. SOFP'!E9</f>
        <v>4064540.6100000027</v>
      </c>
      <c r="D10" s="253"/>
      <c r="E10" s="761">
        <f t="shared" ref="E10:E15" si="0">C10-D10</f>
        <v>4064540.6100000027</v>
      </c>
    </row>
    <row r="11" spans="1:6" x14ac:dyDescent="0.25">
      <c r="A11" s="704">
        <v>1.3</v>
      </c>
      <c r="B11" s="123" t="s">
        <v>101</v>
      </c>
      <c r="C11" s="253">
        <f>'2. SOFP'!E10</f>
        <v>53340613.130811565</v>
      </c>
      <c r="D11" s="253"/>
      <c r="E11" s="761">
        <f t="shared" si="0"/>
        <v>53340613.130811565</v>
      </c>
    </row>
    <row r="12" spans="1:6" x14ac:dyDescent="0.25">
      <c r="A12" s="704">
        <v>2</v>
      </c>
      <c r="B12" s="125" t="s">
        <v>102</v>
      </c>
      <c r="C12" s="253">
        <f>'2. SOFP'!E11</f>
        <v>130815.54650862557</v>
      </c>
      <c r="D12" s="253"/>
      <c r="E12" s="761">
        <f t="shared" si="0"/>
        <v>130815.54650862557</v>
      </c>
      <c r="F12" s="254"/>
    </row>
    <row r="13" spans="1:6" ht="21" x14ac:dyDescent="0.25">
      <c r="A13" s="704">
        <v>2.1</v>
      </c>
      <c r="B13" s="126" t="s">
        <v>103</v>
      </c>
      <c r="C13" s="253">
        <f>'2. SOFP'!E12</f>
        <v>130815.54650862557</v>
      </c>
      <c r="D13" s="253"/>
      <c r="E13" s="761">
        <f t="shared" si="0"/>
        <v>130815.54650862557</v>
      </c>
    </row>
    <row r="14" spans="1:6" ht="33.950000000000003" customHeight="1" x14ac:dyDescent="0.25">
      <c r="A14" s="704">
        <v>3</v>
      </c>
      <c r="B14" s="127" t="s">
        <v>104</v>
      </c>
      <c r="C14" s="253">
        <f>'2. SOFP'!E13</f>
        <v>0</v>
      </c>
      <c r="D14" s="253"/>
      <c r="E14" s="761">
        <f t="shared" si="0"/>
        <v>0</v>
      </c>
    </row>
    <row r="15" spans="1:6" ht="32.450000000000003" customHeight="1" x14ac:dyDescent="0.25">
      <c r="A15" s="704">
        <v>4</v>
      </c>
      <c r="B15" s="128" t="s">
        <v>105</v>
      </c>
      <c r="C15" s="253">
        <f>'2. SOFP'!E14</f>
        <v>0</v>
      </c>
      <c r="D15" s="253"/>
      <c r="E15" s="761">
        <f t="shared" si="0"/>
        <v>0</v>
      </c>
    </row>
    <row r="16" spans="1:6" ht="23.1" customHeight="1" x14ac:dyDescent="0.25">
      <c r="A16" s="704">
        <v>5</v>
      </c>
      <c r="B16" s="128" t="s">
        <v>106</v>
      </c>
      <c r="C16" s="253">
        <f>SUM(C17:C19)</f>
        <v>20000</v>
      </c>
      <c r="D16" s="253">
        <f>SUM(D17:D19)</f>
        <v>0</v>
      </c>
      <c r="E16" s="761">
        <f>SUM(E17:E19)</f>
        <v>20000</v>
      </c>
      <c r="F16" s="254"/>
    </row>
    <row r="17" spans="1:6" x14ac:dyDescent="0.25">
      <c r="A17" s="704">
        <v>5.0999999999999996</v>
      </c>
      <c r="B17" s="131" t="s">
        <v>107</v>
      </c>
      <c r="C17" s="253">
        <f>'2. SOFP'!E16</f>
        <v>20000</v>
      </c>
      <c r="D17" s="253"/>
      <c r="E17" s="761">
        <f>C17-D17</f>
        <v>20000</v>
      </c>
    </row>
    <row r="18" spans="1:6" x14ac:dyDescent="0.25">
      <c r="A18" s="704">
        <v>5.2</v>
      </c>
      <c r="B18" s="131" t="s">
        <v>108</v>
      </c>
      <c r="C18" s="253">
        <f>'2. SOFP'!E17</f>
        <v>0</v>
      </c>
      <c r="D18" s="253"/>
      <c r="E18" s="761">
        <f>C18-D18</f>
        <v>0</v>
      </c>
    </row>
    <row r="19" spans="1:6" x14ac:dyDescent="0.25">
      <c r="A19" s="704">
        <v>5.3</v>
      </c>
      <c r="B19" s="131" t="s">
        <v>109</v>
      </c>
      <c r="C19" s="253">
        <f>'2. SOFP'!E18</f>
        <v>0</v>
      </c>
      <c r="D19" s="253"/>
      <c r="E19" s="761">
        <f>C19-D19</f>
        <v>0</v>
      </c>
    </row>
    <row r="20" spans="1:6" ht="21" x14ac:dyDescent="0.25">
      <c r="A20" s="704">
        <v>6</v>
      </c>
      <c r="B20" s="127" t="s">
        <v>110</v>
      </c>
      <c r="C20" s="253">
        <f>SUM(C21:C22)</f>
        <v>112695397.55445398</v>
      </c>
      <c r="D20" s="253">
        <f>SUM(D21:D22)</f>
        <v>0</v>
      </c>
      <c r="E20" s="761">
        <f>SUM(E21:E22)</f>
        <v>112695397.55445398</v>
      </c>
      <c r="F20" s="254"/>
    </row>
    <row r="21" spans="1:6" x14ac:dyDescent="0.25">
      <c r="A21" s="704">
        <v>6.1</v>
      </c>
      <c r="B21" s="131" t="s">
        <v>108</v>
      </c>
      <c r="C21" s="255">
        <f>'2. SOFP'!E20</f>
        <v>26773268.061655898</v>
      </c>
      <c r="D21" s="255"/>
      <c r="E21" s="762">
        <f>C21-D21</f>
        <v>26773268.061655898</v>
      </c>
    </row>
    <row r="22" spans="1:6" x14ac:dyDescent="0.25">
      <c r="A22" s="704">
        <v>6.2</v>
      </c>
      <c r="B22" s="256" t="s">
        <v>109</v>
      </c>
      <c r="C22" s="255">
        <f>'2. SOFP'!E21</f>
        <v>85922129.49279809</v>
      </c>
      <c r="D22" s="255"/>
      <c r="E22" s="762">
        <f>C22-D22</f>
        <v>85922129.49279809</v>
      </c>
    </row>
    <row r="23" spans="1:6" ht="21" x14ac:dyDescent="0.25">
      <c r="A23" s="704">
        <v>7</v>
      </c>
      <c r="B23" s="143" t="s">
        <v>111</v>
      </c>
      <c r="C23" s="255">
        <f>'2. SOFP'!E22</f>
        <v>0</v>
      </c>
      <c r="D23" s="255"/>
      <c r="E23" s="762">
        <f>C23-D23</f>
        <v>0</v>
      </c>
    </row>
    <row r="24" spans="1:6" ht="21" x14ac:dyDescent="0.25">
      <c r="A24" s="704">
        <v>8</v>
      </c>
      <c r="B24" s="133" t="s">
        <v>112</v>
      </c>
      <c r="C24" s="255">
        <f>'2. SOFP'!E23</f>
        <v>3405446.1870027352</v>
      </c>
      <c r="D24" s="255"/>
      <c r="E24" s="762">
        <f>C24-D24</f>
        <v>3405446.1870027352</v>
      </c>
      <c r="F24" s="254"/>
    </row>
    <row r="25" spans="1:6" x14ac:dyDescent="0.25">
      <c r="A25" s="704">
        <v>9</v>
      </c>
      <c r="B25" s="128" t="s">
        <v>113</v>
      </c>
      <c r="C25" s="255">
        <f>SUM(C26:C27)</f>
        <v>16937598.419214901</v>
      </c>
      <c r="D25" s="255">
        <f>SUM(D26:D27)</f>
        <v>0</v>
      </c>
      <c r="E25" s="762">
        <f>SUM(E26:E27)</f>
        <v>16937598.419214901</v>
      </c>
      <c r="F25" s="254"/>
    </row>
    <row r="26" spans="1:6" x14ac:dyDescent="0.25">
      <c r="A26" s="704">
        <v>9.1</v>
      </c>
      <c r="B26" s="134" t="s">
        <v>114</v>
      </c>
      <c r="C26" s="255">
        <f>'2. SOFP'!E25</f>
        <v>16937598.419214901</v>
      </c>
      <c r="D26" s="255"/>
      <c r="E26" s="762">
        <f>C26-D26</f>
        <v>16937598.419214901</v>
      </c>
    </row>
    <row r="27" spans="1:6" x14ac:dyDescent="0.25">
      <c r="A27" s="704">
        <v>9.1999999999999993</v>
      </c>
      <c r="B27" s="134" t="s">
        <v>115</v>
      </c>
      <c r="C27" s="255">
        <f>'2. SOFP'!E26</f>
        <v>0</v>
      </c>
      <c r="D27" s="255"/>
      <c r="E27" s="762">
        <f>C27-D27</f>
        <v>0</v>
      </c>
    </row>
    <row r="28" spans="1:6" x14ac:dyDescent="0.25">
      <c r="A28" s="704">
        <v>10</v>
      </c>
      <c r="B28" s="128" t="s">
        <v>116</v>
      </c>
      <c r="C28" s="255">
        <f>SUM(C29:C30)</f>
        <v>1387773.6500000004</v>
      </c>
      <c r="D28" s="255">
        <f>SUM(D29:D30)</f>
        <v>1387773.6500000004</v>
      </c>
      <c r="E28" s="762">
        <f>SUM(E29:E30)</f>
        <v>0</v>
      </c>
      <c r="F28" s="254"/>
    </row>
    <row r="29" spans="1:6" x14ac:dyDescent="0.25">
      <c r="A29" s="704">
        <v>10.1</v>
      </c>
      <c r="B29" s="134" t="s">
        <v>117</v>
      </c>
      <c r="C29" s="255">
        <f>'2. SOFP'!E28</f>
        <v>0</v>
      </c>
      <c r="D29" s="255"/>
      <c r="E29" s="762">
        <f>C29-D29</f>
        <v>0</v>
      </c>
    </row>
    <row r="30" spans="1:6" x14ac:dyDescent="0.25">
      <c r="A30" s="704">
        <v>10.199999999999999</v>
      </c>
      <c r="B30" s="134" t="s">
        <v>118</v>
      </c>
      <c r="C30" s="255">
        <f>'2. SOFP'!E29</f>
        <v>1387773.6500000004</v>
      </c>
      <c r="D30" s="255">
        <f>C30</f>
        <v>1387773.6500000004</v>
      </c>
      <c r="E30" s="762">
        <f>C30-D30</f>
        <v>0</v>
      </c>
    </row>
    <row r="31" spans="1:6" x14ac:dyDescent="0.25">
      <c r="A31" s="704">
        <v>11</v>
      </c>
      <c r="B31" s="128" t="s">
        <v>119</v>
      </c>
      <c r="C31" s="255">
        <f>SUM(C32:C33)</f>
        <v>45248.5</v>
      </c>
      <c r="D31" s="255">
        <f>SUM(D32:D33)</f>
        <v>0</v>
      </c>
      <c r="E31" s="762">
        <f>SUM(E32:E33)</f>
        <v>45248.5</v>
      </c>
      <c r="F31" s="254"/>
    </row>
    <row r="32" spans="1:6" x14ac:dyDescent="0.25">
      <c r="A32" s="704">
        <v>11.1</v>
      </c>
      <c r="B32" s="134" t="s">
        <v>120</v>
      </c>
      <c r="C32" s="255">
        <f>'2. SOFP'!E31</f>
        <v>45248.5</v>
      </c>
      <c r="D32" s="255"/>
      <c r="E32" s="762">
        <f>C32-D32</f>
        <v>45248.5</v>
      </c>
    </row>
    <row r="33" spans="1:7" x14ac:dyDescent="0.25">
      <c r="A33" s="704">
        <v>11.2</v>
      </c>
      <c r="B33" s="134" t="s">
        <v>121</v>
      </c>
      <c r="C33" s="255">
        <f>'2. SOFP'!E32</f>
        <v>0</v>
      </c>
      <c r="D33" s="255"/>
      <c r="E33" s="762">
        <f>C33-D33</f>
        <v>0</v>
      </c>
    </row>
    <row r="34" spans="1:7" x14ac:dyDescent="0.25">
      <c r="A34" s="704">
        <v>13</v>
      </c>
      <c r="B34" s="128" t="s">
        <v>122</v>
      </c>
      <c r="C34" s="255">
        <f>'2. SOFP'!E33</f>
        <v>7854999.7100000009</v>
      </c>
      <c r="D34" s="255"/>
      <c r="E34" s="762">
        <f>C34-D34</f>
        <v>7854999.7100000009</v>
      </c>
      <c r="F34" s="254"/>
    </row>
    <row r="35" spans="1:7" x14ac:dyDescent="0.25">
      <c r="A35" s="704">
        <v>13.1</v>
      </c>
      <c r="B35" s="135" t="s">
        <v>123</v>
      </c>
      <c r="C35" s="255">
        <f>'2. SOFP'!E34</f>
        <v>0</v>
      </c>
      <c r="D35" s="255"/>
      <c r="E35" s="762">
        <f>C35-D35</f>
        <v>0</v>
      </c>
    </row>
    <row r="36" spans="1:7" x14ac:dyDescent="0.25">
      <c r="A36" s="704">
        <v>13.2</v>
      </c>
      <c r="B36" s="135" t="s">
        <v>124</v>
      </c>
      <c r="C36" s="255">
        <f>'2. SOFP'!E35</f>
        <v>0</v>
      </c>
      <c r="D36" s="255"/>
      <c r="E36" s="762">
        <f>C36-D36</f>
        <v>0</v>
      </c>
    </row>
    <row r="37" spans="1:7" ht="54.75" thickBot="1" x14ac:dyDescent="0.3">
      <c r="A37" s="257"/>
      <c r="B37" s="258" t="s">
        <v>294</v>
      </c>
      <c r="C37" s="771">
        <f>SUM(C8,C12,C14,C15,C16,C20,C23,C24,C25,C28,C31,C34)</f>
        <v>203328845.70799184</v>
      </c>
      <c r="D37" s="771">
        <f>SUM(D8,D12,D14,D15,D16,D20,D23,D24,D25,D28,D31,D34)</f>
        <v>1387773.6500000004</v>
      </c>
      <c r="E37" s="772">
        <f>SUM(E8,E12,E14,E15,E16,E20,E23,E24,E25,E28,E31,E34)</f>
        <v>201941072.05799183</v>
      </c>
    </row>
    <row r="38" spans="1:7" x14ac:dyDescent="0.25">
      <c r="A38"/>
      <c r="B38"/>
      <c r="C38"/>
      <c r="D38"/>
      <c r="E38"/>
    </row>
    <row r="39" spans="1:7" s="20" customFormat="1" x14ac:dyDescent="0.25">
      <c r="B39" s="259"/>
      <c r="F39" s="237"/>
      <c r="G39"/>
    </row>
    <row r="40" spans="1:7" s="20" customFormat="1" x14ac:dyDescent="0.25">
      <c r="B40" s="259"/>
      <c r="F40" s="237"/>
      <c r="G40"/>
    </row>
    <row r="41" spans="1:7" s="20" customFormat="1" x14ac:dyDescent="0.25">
      <c r="B41" s="259"/>
      <c r="F41" s="237"/>
      <c r="G41"/>
    </row>
    <row r="42" spans="1:7" s="20" customFormat="1" x14ac:dyDescent="0.25">
      <c r="B42" s="259"/>
      <c r="F42" s="237"/>
      <c r="G42"/>
    </row>
    <row r="43" spans="1:7" s="20" customFormat="1" x14ac:dyDescent="0.25">
      <c r="B43" s="259"/>
      <c r="F43" s="237"/>
      <c r="G43"/>
    </row>
    <row r="44" spans="1:7" s="20" customFormat="1" x14ac:dyDescent="0.25">
      <c r="B44" s="260"/>
      <c r="F44" s="237"/>
      <c r="G44"/>
    </row>
    <row r="45" spans="1:7" s="20" customFormat="1" x14ac:dyDescent="0.25">
      <c r="B45" s="260"/>
      <c r="F45" s="237"/>
      <c r="G45"/>
    </row>
    <row r="46" spans="1:7" s="20" customFormat="1" x14ac:dyDescent="0.25">
      <c r="B46" s="260"/>
      <c r="F46" s="237"/>
      <c r="G46"/>
    </row>
    <row r="47" spans="1:7" s="20" customFormat="1" x14ac:dyDescent="0.25">
      <c r="B47" s="260"/>
      <c r="F47" s="237"/>
      <c r="G47"/>
    </row>
    <row r="48" spans="1:7" s="20" customFormat="1" x14ac:dyDescent="0.25">
      <c r="B48" s="260"/>
      <c r="F48" s="237"/>
      <c r="G48"/>
    </row>
    <row r="49" spans="2:7" s="20" customFormat="1" x14ac:dyDescent="0.25">
      <c r="B49" s="260"/>
      <c r="F49" s="237"/>
      <c r="G49"/>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C65B6-B7D4-41F3-852A-8FC6A50D9240}">
  <dimension ref="A1:E33"/>
  <sheetViews>
    <sheetView zoomScaleNormal="100" workbookViewId="0">
      <pane xSplit="1" ySplit="4" topLeftCell="B5" activePane="bottomRight" state="frozen"/>
      <selection activeCell="I28" sqref="I28"/>
      <selection pane="topRight" activeCell="I28" sqref="I28"/>
      <selection pane="bottomLeft" activeCell="I28" sqref="I28"/>
      <selection pane="bottomRight" activeCell="C5" sqref="C5:C13"/>
    </sheetView>
  </sheetViews>
  <sheetFormatPr defaultRowHeight="15" outlineLevelRow="1" x14ac:dyDescent="0.25"/>
  <cols>
    <col min="1" max="1" width="9.5703125" style="20" bestFit="1" customWidth="1"/>
    <col min="2" max="2" width="114.28515625" style="20" customWidth="1"/>
    <col min="3" max="3" width="18.85546875" customWidth="1"/>
    <col min="4" max="4" width="12" bestFit="1" customWidth="1"/>
    <col min="5" max="5" width="12.5703125" bestFit="1" customWidth="1"/>
  </cols>
  <sheetData>
    <row r="1" spans="1:3" ht="15.75" x14ac:dyDescent="0.3">
      <c r="A1" s="21" t="s">
        <v>41</v>
      </c>
      <c r="B1" s="23" t="str">
        <f>Info!C2</f>
        <v>სს სილქ ბანკი</v>
      </c>
    </row>
    <row r="2" spans="1:3" s="21" customFormat="1" ht="15.75" customHeight="1" x14ac:dyDescent="0.3">
      <c r="A2" s="21" t="s">
        <v>42</v>
      </c>
      <c r="B2" s="24">
        <f>'1. key ratios'!B2</f>
        <v>45473</v>
      </c>
      <c r="C2"/>
    </row>
    <row r="3" spans="1:3" s="21" customFormat="1" ht="15.75" customHeight="1" x14ac:dyDescent="0.3">
      <c r="C3"/>
    </row>
    <row r="4" spans="1:3" s="21" customFormat="1" ht="40.5" customHeight="1" thickBot="1" x14ac:dyDescent="0.35">
      <c r="A4" s="21" t="s">
        <v>295</v>
      </c>
      <c r="B4" s="261" t="s">
        <v>19</v>
      </c>
      <c r="C4" s="242" t="s">
        <v>238</v>
      </c>
    </row>
    <row r="5" spans="1:3" ht="27" x14ac:dyDescent="0.25">
      <c r="A5" s="262">
        <v>1</v>
      </c>
      <c r="B5" s="263" t="s">
        <v>296</v>
      </c>
      <c r="C5" s="764">
        <f>'7. LI1'!E37</f>
        <v>201941072.05799183</v>
      </c>
    </row>
    <row r="6" spans="1:3" x14ac:dyDescent="0.25">
      <c r="A6" s="265">
        <v>2.1</v>
      </c>
      <c r="B6" s="266" t="s">
        <v>297</v>
      </c>
      <c r="C6" s="765">
        <v>10086764.184646253</v>
      </c>
    </row>
    <row r="7" spans="1:3" s="223" customFormat="1" ht="27" outlineLevel="1" x14ac:dyDescent="0.25">
      <c r="A7" s="267">
        <v>2.2000000000000002</v>
      </c>
      <c r="B7" s="268" t="s">
        <v>298</v>
      </c>
      <c r="C7" s="766">
        <f>'4. Off-balance'!E32+'4. Off-balance'!E31</f>
        <v>37400500</v>
      </c>
    </row>
    <row r="8" spans="1:3" s="223" customFormat="1" ht="27" x14ac:dyDescent="0.25">
      <c r="A8" s="267">
        <v>3</v>
      </c>
      <c r="B8" s="269" t="s">
        <v>299</v>
      </c>
      <c r="C8" s="767">
        <f>SUM(C5:C7)</f>
        <v>249428336.24263808</v>
      </c>
    </row>
    <row r="9" spans="1:3" x14ac:dyDescent="0.25">
      <c r="A9" s="265">
        <v>4</v>
      </c>
      <c r="B9" s="270" t="s">
        <v>300</v>
      </c>
      <c r="C9" s="765">
        <v>0</v>
      </c>
    </row>
    <row r="10" spans="1:3" s="223" customFormat="1" ht="27" outlineLevel="1" x14ac:dyDescent="0.25">
      <c r="A10" s="267">
        <v>5.0999999999999996</v>
      </c>
      <c r="B10" s="268" t="s">
        <v>301</v>
      </c>
      <c r="C10" s="766">
        <f>-C6+'5. RWA'!C9</f>
        <v>-4299430.5907849185</v>
      </c>
    </row>
    <row r="11" spans="1:3" s="223" customFormat="1" ht="27" outlineLevel="1" x14ac:dyDescent="0.25">
      <c r="A11" s="267">
        <v>5.2</v>
      </c>
      <c r="B11" s="268" t="s">
        <v>302</v>
      </c>
      <c r="C11" s="766">
        <f>-C7+'5. RWA'!C10</f>
        <v>-36652490</v>
      </c>
    </row>
    <row r="12" spans="1:3" s="223" customFormat="1" x14ac:dyDescent="0.25">
      <c r="A12" s="267">
        <v>6</v>
      </c>
      <c r="B12" s="271" t="s">
        <v>303</v>
      </c>
      <c r="C12" s="766"/>
    </row>
    <row r="13" spans="1:3" s="223" customFormat="1" ht="15.75" thickBot="1" x14ac:dyDescent="0.3">
      <c r="A13" s="272">
        <v>7</v>
      </c>
      <c r="B13" s="273" t="s">
        <v>304</v>
      </c>
      <c r="C13" s="768">
        <f>SUM(C8:C12)</f>
        <v>208476415.65185317</v>
      </c>
    </row>
    <row r="15" spans="1:3" ht="27" x14ac:dyDescent="0.25">
      <c r="B15" s="109" t="s">
        <v>305</v>
      </c>
      <c r="C15" s="274"/>
    </row>
    <row r="17" spans="2:5" s="20" customFormat="1" x14ac:dyDescent="0.25">
      <c r="B17" s="275"/>
      <c r="C17"/>
      <c r="D17"/>
      <c r="E17"/>
    </row>
    <row r="18" spans="2:5" s="20" customFormat="1" x14ac:dyDescent="0.25">
      <c r="B18" s="276"/>
      <c r="C18"/>
      <c r="D18"/>
      <c r="E18"/>
    </row>
    <row r="19" spans="2:5" s="20" customFormat="1" x14ac:dyDescent="0.25">
      <c r="B19" s="276"/>
      <c r="C19"/>
      <c r="D19"/>
      <c r="E19"/>
    </row>
    <row r="20" spans="2:5" s="20" customFormat="1" x14ac:dyDescent="0.25">
      <c r="B20" s="260"/>
      <c r="C20"/>
      <c r="D20"/>
      <c r="E20"/>
    </row>
    <row r="21" spans="2:5" s="20" customFormat="1" x14ac:dyDescent="0.25">
      <c r="B21" s="259"/>
      <c r="C21"/>
      <c r="D21"/>
      <c r="E21"/>
    </row>
    <row r="22" spans="2:5" s="20" customFormat="1" x14ac:dyDescent="0.25">
      <c r="B22" s="210"/>
      <c r="C22"/>
      <c r="D22"/>
      <c r="E22"/>
    </row>
    <row r="23" spans="2:5" s="20" customFormat="1" x14ac:dyDescent="0.25">
      <c r="B23" s="259"/>
      <c r="C23"/>
      <c r="D23"/>
      <c r="E23"/>
    </row>
    <row r="24" spans="2:5" s="20" customFormat="1" x14ac:dyDescent="0.25">
      <c r="B24" s="259"/>
      <c r="C24"/>
      <c r="D24"/>
      <c r="E24"/>
    </row>
    <row r="25" spans="2:5" s="20" customFormat="1" x14ac:dyDescent="0.25">
      <c r="B25" s="259"/>
      <c r="C25"/>
      <c r="D25"/>
      <c r="E25"/>
    </row>
    <row r="26" spans="2:5" s="20" customFormat="1" x14ac:dyDescent="0.25">
      <c r="B26" s="259"/>
      <c r="C26"/>
      <c r="D26"/>
      <c r="E26"/>
    </row>
    <row r="27" spans="2:5" s="20" customFormat="1" x14ac:dyDescent="0.25">
      <c r="B27" s="259"/>
      <c r="C27"/>
      <c r="D27"/>
      <c r="E27"/>
    </row>
    <row r="28" spans="2:5" s="20" customFormat="1" x14ac:dyDescent="0.25">
      <c r="B28" s="260"/>
      <c r="C28"/>
      <c r="D28"/>
      <c r="E28"/>
    </row>
    <row r="29" spans="2:5" s="20" customFormat="1" x14ac:dyDescent="0.25">
      <c r="B29" s="260"/>
      <c r="C29"/>
      <c r="D29"/>
      <c r="E29"/>
    </row>
    <row r="30" spans="2:5" s="20" customFormat="1" x14ac:dyDescent="0.25">
      <c r="B30" s="260"/>
      <c r="C30"/>
      <c r="D30"/>
      <c r="E30"/>
    </row>
    <row r="31" spans="2:5" s="20" customFormat="1" x14ac:dyDescent="0.25">
      <c r="B31" s="260"/>
      <c r="C31"/>
      <c r="D31"/>
      <c r="E31"/>
    </row>
    <row r="32" spans="2:5" s="20" customFormat="1" x14ac:dyDescent="0.25">
      <c r="B32" s="260"/>
      <c r="C32"/>
      <c r="D32"/>
      <c r="E32"/>
    </row>
    <row r="33" spans="2:5" s="20" customFormat="1" x14ac:dyDescent="0.25">
      <c r="B33" s="260"/>
      <c r="C33"/>
      <c r="D33"/>
      <c r="E33"/>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2024-07-30T11:01:30Z</dcterms:created>
  <dcterms:modified xsi:type="dcterms:W3CDTF">2024-07-30T15:31:10Z</dcterms:modified>
</cp:coreProperties>
</file>