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919" activeTab="3"/>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state="hidden"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3">'3. SOPL'!$A$1:$H$53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7" i="92" l="1"/>
  <c r="F22" i="92" l="1"/>
  <c r="F11" i="93" l="1"/>
  <c r="C11" i="93"/>
  <c r="R22" i="35" l="1"/>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S22" i="35" l="1"/>
  <c r="S25" i="35" s="1"/>
  <c r="H22" i="96" l="1"/>
  <c r="G9" i="80" l="1"/>
  <c r="C27" i="92" l="1"/>
  <c r="D23" i="6" l="1"/>
  <c r="D22" i="6"/>
  <c r="D21" i="6"/>
  <c r="D20" i="6"/>
  <c r="D19" i="6"/>
  <c r="D18" i="6"/>
  <c r="G19" i="104" l="1"/>
  <c r="F19" i="104"/>
  <c r="E19" i="104"/>
  <c r="D19" i="104"/>
  <c r="C19" i="104"/>
  <c r="F11" i="92" l="1"/>
  <c r="G11" i="92"/>
  <c r="G17" i="94" l="1"/>
  <c r="F17" i="94"/>
  <c r="F14" i="94" s="1"/>
  <c r="G8" i="94"/>
  <c r="F8" i="94"/>
  <c r="H17" i="94" l="1"/>
  <c r="F13" i="93" l="1"/>
  <c r="G13" i="93"/>
  <c r="C44" i="28" l="1"/>
  <c r="F15" i="92" l="1"/>
  <c r="F8" i="80" l="1"/>
  <c r="D33" i="102" l="1"/>
  <c r="H9" i="94" l="1"/>
  <c r="H10" i="94"/>
  <c r="H12" i="94"/>
  <c r="H13" i="94"/>
  <c r="H15" i="94"/>
  <c r="H16" i="94"/>
  <c r="H18" i="94"/>
  <c r="H19" i="94"/>
  <c r="H20" i="94"/>
  <c r="H21" i="94"/>
  <c r="H22" i="94"/>
  <c r="H23" i="94"/>
  <c r="H24" i="94"/>
  <c r="H25" i="94"/>
  <c r="H26" i="94"/>
  <c r="H27" i="94"/>
  <c r="H28" i="94"/>
  <c r="H29" i="94"/>
  <c r="H31" i="94"/>
  <c r="H32" i="94"/>
  <c r="H33" i="94"/>
  <c r="H34" i="94"/>
  <c r="H35" i="94"/>
  <c r="H36" i="94"/>
  <c r="H37" i="94"/>
  <c r="H39" i="94"/>
  <c r="H40" i="94"/>
  <c r="H41" i="94"/>
  <c r="H42" i="94"/>
  <c r="F38" i="94" l="1"/>
  <c r="G38" i="94"/>
  <c r="H38" i="94" l="1"/>
  <c r="C17" i="94"/>
  <c r="D17" i="94"/>
  <c r="F11" i="94" l="1"/>
  <c r="G11" i="94"/>
  <c r="G14" i="94"/>
  <c r="H14" i="94" s="1"/>
  <c r="F30" i="94"/>
  <c r="G30" i="94"/>
  <c r="H43" i="94"/>
  <c r="H30" i="94" l="1"/>
  <c r="H11" i="94"/>
  <c r="H8" i="94"/>
  <c r="K24" i="36" l="1"/>
  <c r="J24" i="36"/>
  <c r="I24" i="36"/>
  <c r="H24" i="36"/>
  <c r="G24" i="36"/>
  <c r="F24" i="36"/>
  <c r="K23" i="36"/>
  <c r="K25" i="36" s="1"/>
  <c r="J23" i="36"/>
  <c r="J25" i="36" s="1"/>
  <c r="I23" i="36"/>
  <c r="I25" i="36" s="1"/>
  <c r="H23" i="36"/>
  <c r="H25" i="36" s="1"/>
  <c r="G23" i="36"/>
  <c r="F23" i="36"/>
  <c r="F25" i="36" l="1"/>
  <c r="G25" i="36"/>
  <c r="D24" i="80"/>
  <c r="D11" i="92" l="1"/>
  <c r="O13" i="104" l="1"/>
  <c r="O19" i="104" s="1"/>
  <c r="K13" i="104"/>
  <c r="K19" i="104" s="1"/>
  <c r="N13" i="104"/>
  <c r="N19" i="104" s="1"/>
  <c r="M13" i="104"/>
  <c r="M19" i="104" s="1"/>
  <c r="Q19" i="104"/>
  <c r="I13" i="104"/>
  <c r="J13" i="104"/>
  <c r="R13" i="104"/>
  <c r="R19" i="104" s="1"/>
  <c r="L19" i="104"/>
  <c r="H13" i="104"/>
  <c r="H19" i="104" s="1"/>
  <c r="P13" i="104"/>
  <c r="J19" i="104" l="1"/>
  <c r="P19" i="104"/>
  <c r="I19" i="104"/>
  <c r="C10" i="99" l="1"/>
  <c r="C18" i="99" s="1"/>
  <c r="L15" i="100"/>
  <c r="R15" i="100"/>
  <c r="Y15" i="100"/>
  <c r="F15" i="100"/>
  <c r="I15" i="100"/>
  <c r="K15" i="100"/>
  <c r="N15" i="100"/>
  <c r="X15" i="100"/>
  <c r="H15" i="100"/>
  <c r="P15" i="100"/>
  <c r="W15" i="100"/>
  <c r="V15" i="100"/>
  <c r="G15" i="100"/>
  <c r="J15" i="100"/>
  <c r="M15" i="100"/>
  <c r="O15" i="100"/>
  <c r="Q15" i="100"/>
  <c r="U15" i="100"/>
  <c r="E15" i="100"/>
  <c r="T15" i="100"/>
  <c r="AA15" i="100"/>
  <c r="C9" i="100"/>
  <c r="S15" i="100"/>
  <c r="Z15" i="100"/>
  <c r="B54" i="69" l="1"/>
  <c r="B53" i="69"/>
  <c r="C38" i="79" l="1"/>
  <c r="D30" i="92" l="1"/>
  <c r="C43" i="6" l="1"/>
  <c r="C42" i="6"/>
  <c r="C44" i="6" l="1"/>
  <c r="C14" i="94" l="1"/>
  <c r="D7" i="92" l="1"/>
  <c r="G63" i="92"/>
  <c r="G59" i="92"/>
  <c r="F59" i="92"/>
  <c r="F38" i="92"/>
  <c r="F30" i="92"/>
  <c r="F63" i="92" l="1"/>
  <c r="F27" i="92"/>
  <c r="C6" i="93" l="1"/>
  <c r="C34" i="93"/>
  <c r="C25" i="100" l="1"/>
  <c r="C23" i="100"/>
  <c r="C21" i="100"/>
  <c r="C10" i="100" l="1"/>
  <c r="C11" i="100"/>
  <c r="C22" i="102" l="1"/>
  <c r="C30" i="102"/>
  <c r="H13" i="102"/>
  <c r="E33" i="102"/>
  <c r="C14" i="102"/>
  <c r="C9" i="102"/>
  <c r="C11" i="102"/>
  <c r="C15" i="102"/>
  <c r="C19" i="102"/>
  <c r="C23" i="102"/>
  <c r="C25" i="102"/>
  <c r="C27" i="102"/>
  <c r="G33" i="102"/>
  <c r="C8" i="102"/>
  <c r="C10" i="102"/>
  <c r="C12" i="102"/>
  <c r="C16" i="102"/>
  <c r="C18" i="102"/>
  <c r="C20" i="102"/>
  <c r="C24" i="102"/>
  <c r="C26" i="102"/>
  <c r="C28" i="102"/>
  <c r="C32" i="102"/>
  <c r="C13" i="102"/>
  <c r="C21" i="102"/>
  <c r="C29" i="102"/>
  <c r="C7" i="102"/>
  <c r="C17" i="102"/>
  <c r="C31" i="102"/>
  <c r="H29" i="102"/>
  <c r="H20" i="102"/>
  <c r="H9" i="102"/>
  <c r="H12" i="102"/>
  <c r="F33" i="102"/>
  <c r="H21" i="102"/>
  <c r="H28" i="102"/>
  <c r="H17" i="102"/>
  <c r="H25" i="102"/>
  <c r="H11" i="102"/>
  <c r="H19" i="102"/>
  <c r="H27" i="102"/>
  <c r="H16" i="102"/>
  <c r="H24" i="102"/>
  <c r="H15" i="102"/>
  <c r="H31" i="102"/>
  <c r="H22" i="102"/>
  <c r="H8" i="102"/>
  <c r="H32" i="102"/>
  <c r="H23" i="102"/>
  <c r="H10" i="102"/>
  <c r="H14" i="102"/>
  <c r="H18" i="102"/>
  <c r="H26" i="102"/>
  <c r="H30" i="102"/>
  <c r="L33" i="102"/>
  <c r="J33" i="102"/>
  <c r="K33" i="102"/>
  <c r="C33" i="102" l="1"/>
  <c r="H7" i="102"/>
  <c r="H33" i="102" s="1"/>
  <c r="I33" i="102"/>
  <c r="E22" i="74" l="1"/>
  <c r="C22" i="74" l="1"/>
  <c r="D22" i="74"/>
  <c r="C20" i="101" l="1"/>
  <c r="C21" i="101"/>
  <c r="C9" i="101"/>
  <c r="C12" i="101"/>
  <c r="C17" i="101"/>
  <c r="C11" i="101"/>
  <c r="C19" i="101"/>
  <c r="C22" i="101"/>
  <c r="C10" i="101"/>
  <c r="C8" i="101"/>
  <c r="C14" i="101"/>
  <c r="C13" i="101"/>
  <c r="C15" i="101"/>
  <c r="C18" i="101"/>
  <c r="C21" i="96" l="1"/>
  <c r="G16" i="96"/>
  <c r="H10" i="96"/>
  <c r="H7" i="96"/>
  <c r="H8" i="96"/>
  <c r="H9" i="96"/>
  <c r="H11" i="96"/>
  <c r="H18" i="96"/>
  <c r="H19" i="96"/>
  <c r="H15" i="96" l="1"/>
  <c r="H14" i="96"/>
  <c r="H17" i="96"/>
  <c r="H16" i="96"/>
  <c r="C22" i="95" l="1"/>
  <c r="C54" i="69" l="1"/>
  <c r="C53" i="69"/>
  <c r="C23" i="69"/>
  <c r="D17" i="72" l="1"/>
  <c r="C16" i="69"/>
  <c r="D38" i="92" l="1"/>
  <c r="C38" i="92" l="1"/>
  <c r="D41" i="92" l="1"/>
  <c r="C41" i="92"/>
  <c r="D47" i="92" l="1"/>
  <c r="C47" i="92"/>
  <c r="C53" i="92" s="1"/>
  <c r="D24" i="92"/>
  <c r="C24" i="92"/>
  <c r="C19" i="92"/>
  <c r="D15" i="92"/>
  <c r="C15" i="92"/>
  <c r="C7" i="92"/>
  <c r="D27" i="92" l="1"/>
  <c r="D19" i="92"/>
  <c r="C11" i="92"/>
  <c r="D36" i="92" l="1"/>
  <c r="H21" i="95"/>
  <c r="B1" i="94" l="1"/>
  <c r="B1" i="93"/>
  <c r="B1" i="92"/>
  <c r="B1" i="104" l="1"/>
  <c r="B1" i="103"/>
  <c r="B1" i="102"/>
  <c r="B1" i="101"/>
  <c r="B1" i="100"/>
  <c r="B1" i="99"/>
  <c r="B1" i="98"/>
  <c r="B1" i="97"/>
  <c r="B1" i="96"/>
  <c r="B1" i="95"/>
  <c r="F21" i="96" l="1"/>
  <c r="H23" i="96"/>
  <c r="H8" i="95"/>
  <c r="H9" i="95"/>
  <c r="H10" i="95"/>
  <c r="H11" i="95"/>
  <c r="H12" i="95"/>
  <c r="H13" i="95"/>
  <c r="H15" i="95"/>
  <c r="H16" i="95"/>
  <c r="H17" i="95"/>
  <c r="H18" i="95"/>
  <c r="H19" i="95"/>
  <c r="H20" i="95"/>
  <c r="E22" i="95"/>
  <c r="F22" i="95"/>
  <c r="G22" i="95"/>
  <c r="D12" i="96" l="1"/>
  <c r="H12" i="96" s="1"/>
  <c r="D8" i="72" l="1"/>
  <c r="D16" i="72"/>
  <c r="D20" i="72"/>
  <c r="D31" i="72"/>
  <c r="E43" i="94" l="1"/>
  <c r="E42" i="94"/>
  <c r="E41" i="94"/>
  <c r="E40" i="94"/>
  <c r="E39" i="94"/>
  <c r="D38" i="94"/>
  <c r="C38" i="94"/>
  <c r="E37" i="94"/>
  <c r="E36" i="94"/>
  <c r="E35" i="94"/>
  <c r="E34" i="94"/>
  <c r="E33" i="94"/>
  <c r="E32" i="94"/>
  <c r="E31" i="94"/>
  <c r="D30" i="94"/>
  <c r="C30" i="94"/>
  <c r="E29" i="94"/>
  <c r="E28" i="94"/>
  <c r="E27" i="94"/>
  <c r="E26" i="94"/>
  <c r="E25" i="94"/>
  <c r="E24" i="94"/>
  <c r="E23" i="94"/>
  <c r="E22" i="94"/>
  <c r="E21" i="94"/>
  <c r="E20" i="94"/>
  <c r="E19" i="94"/>
  <c r="E18" i="94"/>
  <c r="E16" i="94"/>
  <c r="E15" i="94"/>
  <c r="D14" i="94"/>
  <c r="E13" i="94"/>
  <c r="E12" i="94"/>
  <c r="D11" i="94"/>
  <c r="C11" i="94"/>
  <c r="E10" i="94"/>
  <c r="E9" i="94"/>
  <c r="D8" i="94"/>
  <c r="C8" i="94"/>
  <c r="H7" i="94"/>
  <c r="E7" i="94"/>
  <c r="H6" i="94"/>
  <c r="E6" i="94"/>
  <c r="E44" i="93"/>
  <c r="H42" i="93"/>
  <c r="E42" i="93"/>
  <c r="E41" i="93"/>
  <c r="H40" i="93"/>
  <c r="E40" i="93"/>
  <c r="H39" i="93"/>
  <c r="E39" i="93"/>
  <c r="H38" i="93"/>
  <c r="E38" i="93"/>
  <c r="D37" i="93"/>
  <c r="C37" i="93"/>
  <c r="H36" i="93"/>
  <c r="E36" i="93"/>
  <c r="H35" i="93"/>
  <c r="E35" i="93"/>
  <c r="D34" i="93"/>
  <c r="E34" i="93" s="1"/>
  <c r="H33" i="93"/>
  <c r="E33" i="93"/>
  <c r="E32" i="93"/>
  <c r="E31" i="93"/>
  <c r="H30" i="93"/>
  <c r="E30" i="93"/>
  <c r="D29" i="93"/>
  <c r="C29" i="93"/>
  <c r="H28" i="93"/>
  <c r="E28" i="93"/>
  <c r="H27" i="93"/>
  <c r="E27" i="93"/>
  <c r="H26" i="93"/>
  <c r="E26" i="93"/>
  <c r="E25" i="93"/>
  <c r="H24" i="93"/>
  <c r="E24" i="93"/>
  <c r="H23" i="93"/>
  <c r="E23" i="93"/>
  <c r="H22" i="93"/>
  <c r="E22" i="93"/>
  <c r="H21" i="93"/>
  <c r="E21" i="93"/>
  <c r="E20" i="93"/>
  <c r="E19" i="93"/>
  <c r="H18" i="93"/>
  <c r="E18" i="93"/>
  <c r="E17" i="93"/>
  <c r="E16" i="93"/>
  <c r="E15" i="93"/>
  <c r="H14" i="93"/>
  <c r="E14" i="93"/>
  <c r="E12" i="93"/>
  <c r="E10" i="93"/>
  <c r="H9" i="93"/>
  <c r="E9" i="93"/>
  <c r="H8" i="93"/>
  <c r="E8" i="93"/>
  <c r="H7" i="93"/>
  <c r="E7" i="93"/>
  <c r="G68" i="92"/>
  <c r="E67" i="92"/>
  <c r="H66" i="92"/>
  <c r="E66" i="92"/>
  <c r="H65" i="92"/>
  <c r="E65" i="92"/>
  <c r="H64" i="92"/>
  <c r="E64" i="92"/>
  <c r="H63" i="92"/>
  <c r="D63" i="92"/>
  <c r="C63" i="92"/>
  <c r="H62" i="92"/>
  <c r="E62" i="92"/>
  <c r="H61" i="92"/>
  <c r="E61" i="92"/>
  <c r="H60" i="92"/>
  <c r="E60" i="92"/>
  <c r="H59" i="92"/>
  <c r="D59" i="92"/>
  <c r="C59" i="92"/>
  <c r="E58" i="92"/>
  <c r="H57" i="92"/>
  <c r="E57" i="92"/>
  <c r="H56" i="92"/>
  <c r="E56" i="92"/>
  <c r="E55" i="92"/>
  <c r="H52" i="92"/>
  <c r="E52" i="92"/>
  <c r="C56" i="69" s="1"/>
  <c r="E51" i="92"/>
  <c r="E50" i="92"/>
  <c r="H49" i="92"/>
  <c r="E49" i="92"/>
  <c r="E48" i="92"/>
  <c r="E47" i="92"/>
  <c r="E46" i="92"/>
  <c r="E45" i="92"/>
  <c r="E44" i="92"/>
  <c r="E43" i="92"/>
  <c r="E42" i="92"/>
  <c r="D53" i="92"/>
  <c r="E41" i="92"/>
  <c r="H40" i="92"/>
  <c r="E40" i="92"/>
  <c r="E39" i="92"/>
  <c r="E38" i="92"/>
  <c r="H35" i="92"/>
  <c r="E35" i="92"/>
  <c r="H34" i="92"/>
  <c r="E34" i="92"/>
  <c r="E33" i="92"/>
  <c r="E32" i="92"/>
  <c r="E31" i="92"/>
  <c r="E30" i="92"/>
  <c r="E29" i="92"/>
  <c r="H28" i="92"/>
  <c r="E28" i="92"/>
  <c r="E27" i="92"/>
  <c r="E26" i="92"/>
  <c r="E25" i="92"/>
  <c r="E24" i="92"/>
  <c r="E23" i="92"/>
  <c r="E22" i="92"/>
  <c r="E21" i="92"/>
  <c r="E20" i="92"/>
  <c r="E19" i="92"/>
  <c r="H18" i="92"/>
  <c r="E18" i="92"/>
  <c r="E17" i="92"/>
  <c r="E16" i="92"/>
  <c r="E15" i="92"/>
  <c r="H14" i="92"/>
  <c r="E14" i="92"/>
  <c r="H13" i="92"/>
  <c r="E13" i="92"/>
  <c r="E12" i="92"/>
  <c r="H11" i="92"/>
  <c r="E11" i="92"/>
  <c r="C10" i="69" s="1"/>
  <c r="E10" i="92"/>
  <c r="E9" i="92"/>
  <c r="E8" i="92"/>
  <c r="C36" i="92"/>
  <c r="C35" i="69" l="1"/>
  <c r="C43" i="93"/>
  <c r="C45" i="93" s="1"/>
  <c r="E36" i="92"/>
  <c r="C60" i="69"/>
  <c r="C65" i="69"/>
  <c r="C64" i="69"/>
  <c r="C69" i="69"/>
  <c r="C15" i="72"/>
  <c r="E15" i="72" s="1"/>
  <c r="C66" i="69"/>
  <c r="C14" i="72"/>
  <c r="E14" i="72" s="1"/>
  <c r="C55" i="69"/>
  <c r="C52" i="69"/>
  <c r="C40" i="69"/>
  <c r="C70" i="69"/>
  <c r="C68" i="69"/>
  <c r="D26" i="72"/>
  <c r="D25" i="72" s="1"/>
  <c r="C12" i="72"/>
  <c r="E12" i="72" s="1"/>
  <c r="C46" i="69"/>
  <c r="C62" i="69"/>
  <c r="D6" i="93"/>
  <c r="D43" i="93" s="1"/>
  <c r="D45" i="93" s="1"/>
  <c r="C47" i="69"/>
  <c r="C51" i="69"/>
  <c r="C59" i="69"/>
  <c r="C41" i="69"/>
  <c r="C71" i="69"/>
  <c r="C34" i="72"/>
  <c r="E34" i="72" s="1"/>
  <c r="C44" i="69"/>
  <c r="C48" i="69"/>
  <c r="C50" i="69"/>
  <c r="C45" i="69"/>
  <c r="C61" i="69"/>
  <c r="D68" i="92"/>
  <c r="D69" i="92" s="1"/>
  <c r="H34" i="93"/>
  <c r="H37" i="93"/>
  <c r="E59" i="92"/>
  <c r="E38" i="94"/>
  <c r="E37" i="93"/>
  <c r="E29" i="93"/>
  <c r="C19" i="72"/>
  <c r="E19" i="72" s="1"/>
  <c r="C18" i="69"/>
  <c r="C36" i="72"/>
  <c r="E36" i="72" s="1"/>
  <c r="C37" i="69"/>
  <c r="E13" i="93"/>
  <c r="C9" i="72"/>
  <c r="E9" i="72" s="1"/>
  <c r="C7" i="69"/>
  <c r="C33" i="72"/>
  <c r="E33" i="72" s="1"/>
  <c r="C34" i="69"/>
  <c r="C27" i="72"/>
  <c r="E27" i="72" s="1"/>
  <c r="C28" i="69"/>
  <c r="C30" i="72"/>
  <c r="C31" i="69"/>
  <c r="C26" i="72"/>
  <c r="C27" i="69"/>
  <c r="C13" i="72"/>
  <c r="E13" i="72" s="1"/>
  <c r="C11" i="69"/>
  <c r="C23" i="72"/>
  <c r="E23" i="72" s="1"/>
  <c r="C22" i="69"/>
  <c r="C10" i="72"/>
  <c r="E10" i="72" s="1"/>
  <c r="C8" i="69"/>
  <c r="C24" i="72"/>
  <c r="E24" i="72" s="1"/>
  <c r="C25" i="69"/>
  <c r="C35" i="72"/>
  <c r="E35" i="72" s="1"/>
  <c r="C36" i="69"/>
  <c r="C18" i="72"/>
  <c r="E18" i="72" s="1"/>
  <c r="C17" i="69"/>
  <c r="C29" i="72"/>
  <c r="C30" i="69"/>
  <c r="C17" i="72"/>
  <c r="E17" i="72" s="1"/>
  <c r="C15" i="69"/>
  <c r="C11" i="72"/>
  <c r="E11" i="72" s="1"/>
  <c r="C9" i="69"/>
  <c r="C21" i="72"/>
  <c r="E21" i="72" s="1"/>
  <c r="C20" i="69"/>
  <c r="C22" i="72"/>
  <c r="E22" i="72" s="1"/>
  <c r="C21" i="69"/>
  <c r="C32" i="72"/>
  <c r="E32" i="72" s="1"/>
  <c r="C33" i="69"/>
  <c r="E63" i="92"/>
  <c r="C68" i="92"/>
  <c r="E53" i="92"/>
  <c r="E8" i="94"/>
  <c r="E14" i="94"/>
  <c r="E30" i="94"/>
  <c r="E11" i="94"/>
  <c r="E17" i="94"/>
  <c r="E7" i="92"/>
  <c r="F6" i="93" l="1"/>
  <c r="C63" i="69"/>
  <c r="C67" i="69"/>
  <c r="C14" i="69"/>
  <c r="C29" i="69"/>
  <c r="C49" i="69"/>
  <c r="E16" i="72"/>
  <c r="C43" i="69"/>
  <c r="E26" i="72"/>
  <c r="E25" i="72" s="1"/>
  <c r="E11" i="93"/>
  <c r="E31" i="72"/>
  <c r="D30" i="72"/>
  <c r="E30" i="72" s="1"/>
  <c r="D29" i="72"/>
  <c r="E29" i="72" s="1"/>
  <c r="E20" i="72"/>
  <c r="E8" i="72"/>
  <c r="E68" i="92"/>
  <c r="E6" i="93"/>
  <c r="C8" i="72"/>
  <c r="C25" i="72"/>
  <c r="C19" i="69"/>
  <c r="C31" i="72"/>
  <c r="C20" i="72"/>
  <c r="C28" i="72"/>
  <c r="C32" i="69"/>
  <c r="C26" i="69"/>
  <c r="C6" i="69"/>
  <c r="C16" i="72"/>
  <c r="E45" i="93"/>
  <c r="E43" i="93"/>
  <c r="C69" i="92"/>
  <c r="E69" i="92" s="1"/>
  <c r="E70" i="92" l="1"/>
  <c r="C72" i="69"/>
  <c r="C57" i="69"/>
  <c r="D28" i="72"/>
  <c r="D37" i="72" s="1"/>
  <c r="E28" i="72"/>
  <c r="E37" i="72" s="1"/>
  <c r="C38" i="69"/>
  <c r="C37" i="72"/>
  <c r="B1" i="80"/>
  <c r="G33" i="80"/>
  <c r="F33" i="80"/>
  <c r="E33" i="80"/>
  <c r="D33" i="80"/>
  <c r="C33" i="80"/>
  <c r="G24" i="80"/>
  <c r="F24" i="80"/>
  <c r="E24" i="80"/>
  <c r="C24" i="80"/>
  <c r="G18" i="80"/>
  <c r="F18" i="80"/>
  <c r="E18" i="80"/>
  <c r="D18" i="80"/>
  <c r="C18" i="80"/>
  <c r="G14" i="80"/>
  <c r="F14" i="80"/>
  <c r="E14" i="80"/>
  <c r="D14" i="80"/>
  <c r="C14" i="80"/>
  <c r="G11" i="80"/>
  <c r="F11" i="80"/>
  <c r="E11" i="80"/>
  <c r="D11" i="80"/>
  <c r="C11" i="80"/>
  <c r="G8" i="80"/>
  <c r="E8" i="80"/>
  <c r="D8" i="80"/>
  <c r="C8" i="80"/>
  <c r="G21" i="80" l="1"/>
  <c r="I21" i="80" s="1"/>
  <c r="G6" i="93"/>
  <c r="F37" i="80"/>
  <c r="E37" i="80"/>
  <c r="D21" i="80"/>
  <c r="E21" i="80"/>
  <c r="D37" i="80"/>
  <c r="F21" i="80"/>
  <c r="C21" i="80"/>
  <c r="C37" i="80"/>
  <c r="C73" i="69"/>
  <c r="C75" i="69" s="1"/>
  <c r="G37" i="80"/>
  <c r="I37" i="80" s="1"/>
  <c r="C6" i="71"/>
  <c r="C13" i="71" s="1"/>
  <c r="G39" i="80"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M21" i="37" l="1"/>
  <c r="L21" i="37"/>
  <c r="F21" i="37"/>
  <c r="H21" i="37"/>
  <c r="G21" i="37"/>
  <c r="I21" i="37"/>
  <c r="J21" i="37"/>
  <c r="N14" i="37"/>
  <c r="E14" i="37"/>
  <c r="E7" i="37"/>
  <c r="C21" i="37"/>
  <c r="N8" i="37"/>
  <c r="E21" i="37" l="1"/>
  <c r="N7" i="37"/>
  <c r="N21" i="37" s="1"/>
  <c r="K7" i="37"/>
  <c r="K21" i="37" s="1"/>
  <c r="C5" i="73" l="1"/>
  <c r="F17" i="74" l="1"/>
  <c r="F16" i="74"/>
  <c r="F15" i="74"/>
  <c r="F9" i="74"/>
  <c r="F18" i="74"/>
  <c r="F11" i="74"/>
  <c r="F8" i="74"/>
  <c r="F10" i="74"/>
  <c r="F19" i="74"/>
  <c r="F12" i="74"/>
  <c r="F20" i="74"/>
  <c r="F14" i="74"/>
  <c r="F13" i="74"/>
  <c r="F22" i="74" l="1"/>
  <c r="V7" i="64" l="1"/>
  <c r="G8" i="74" l="1"/>
  <c r="H8" i="74" s="1"/>
  <c r="T21" i="64"/>
  <c r="U21" i="64"/>
  <c r="V9" i="64"/>
  <c r="G10" i="74" s="1"/>
  <c r="H10" i="74" s="1"/>
  <c r="C8" i="73" l="1"/>
  <c r="C13" i="73" s="1"/>
  <c r="C32" i="28" l="1"/>
  <c r="C31" i="28" s="1"/>
  <c r="C21" i="64" l="1"/>
  <c r="D21" i="64"/>
  <c r="E21" i="64"/>
  <c r="F21" i="64"/>
  <c r="G21" i="64"/>
  <c r="H21" i="64"/>
  <c r="I21" i="64"/>
  <c r="J21" i="64"/>
  <c r="K21" i="64"/>
  <c r="L21" i="64"/>
  <c r="M21" i="64"/>
  <c r="N21" i="64"/>
  <c r="O21" i="64"/>
  <c r="P21" i="64"/>
  <c r="Q21" i="64"/>
  <c r="R21" i="64"/>
  <c r="S21" i="64"/>
  <c r="V8" i="64" l="1"/>
  <c r="G9" i="74" s="1"/>
  <c r="H9" i="74" s="1"/>
  <c r="V10" i="64"/>
  <c r="G11" i="74" s="1"/>
  <c r="H11" i="74" s="1"/>
  <c r="V11" i="64"/>
  <c r="G12" i="74" s="1"/>
  <c r="H12" i="74" s="1"/>
  <c r="V12" i="64"/>
  <c r="G13" i="74" s="1"/>
  <c r="H13" i="74" s="1"/>
  <c r="V13" i="64"/>
  <c r="G14" i="74" s="1"/>
  <c r="H14" i="74" s="1"/>
  <c r="V14" i="64"/>
  <c r="G15" i="74" s="1"/>
  <c r="H15" i="74" s="1"/>
  <c r="V15" i="64"/>
  <c r="G16" i="74" s="1"/>
  <c r="H16" i="74" s="1"/>
  <c r="V16" i="64"/>
  <c r="G17" i="74" s="1"/>
  <c r="V17" i="64"/>
  <c r="G18" i="74" s="1"/>
  <c r="H18" i="74" s="1"/>
  <c r="V18" i="64"/>
  <c r="G19" i="74" s="1"/>
  <c r="H19" i="74" s="1"/>
  <c r="V19" i="64"/>
  <c r="G20" i="74" s="1"/>
  <c r="H20" i="74" s="1"/>
  <c r="V20" i="64"/>
  <c r="G21" i="74" s="1"/>
  <c r="H21" i="74" s="1"/>
  <c r="G22" i="74" l="1"/>
  <c r="H17" i="74"/>
  <c r="V21" i="64"/>
  <c r="H22" i="74" l="1"/>
  <c r="C48" i="28"/>
  <c r="C53" i="28" s="1"/>
  <c r="C36" i="28"/>
  <c r="C42" i="28" s="1"/>
  <c r="C12" i="28"/>
  <c r="C6" i="28" l="1"/>
  <c r="C29" i="28" l="1"/>
  <c r="B2" i="93"/>
  <c r="B2" i="97"/>
  <c r="B2" i="37"/>
  <c r="B2" i="69"/>
  <c r="B2" i="92"/>
  <c r="B2" i="36"/>
  <c r="B2" i="74"/>
  <c r="B2" i="95"/>
  <c r="B2" i="94"/>
  <c r="B2" i="103"/>
  <c r="B2" i="73"/>
  <c r="B2" i="77"/>
  <c r="B2" i="102"/>
  <c r="C5" i="6"/>
  <c r="B2" i="80"/>
  <c r="B2" i="101"/>
  <c r="B2" i="64"/>
  <c r="B2" i="99"/>
  <c r="B2" i="35"/>
  <c r="B2" i="104"/>
  <c r="B2" i="100"/>
  <c r="B2" i="72"/>
  <c r="B2" i="96"/>
  <c r="B2" i="98"/>
  <c r="B2" i="52"/>
  <c r="B2" i="79"/>
  <c r="B2" i="28"/>
  <c r="F5" i="6"/>
  <c r="B2" i="71"/>
  <c r="G5" i="71" s="1"/>
  <c r="E5" i="6"/>
  <c r="D5" i="6"/>
  <c r="G5" i="6"/>
  <c r="C5" i="71" l="1"/>
  <c r="E5" i="71"/>
  <c r="F5" i="71"/>
  <c r="D5" i="71"/>
  <c r="C20" i="100" l="1"/>
  <c r="C17" i="100"/>
  <c r="C19" i="100"/>
  <c r="C18" i="100"/>
  <c r="K7" i="103" l="1"/>
  <c r="D15" i="100"/>
  <c r="C16" i="100"/>
  <c r="C15" i="100" l="1"/>
  <c r="E21" i="96" l="1"/>
  <c r="D21" i="96"/>
  <c r="H20" i="96"/>
  <c r="H13" i="96" l="1"/>
  <c r="H14" i="95"/>
  <c r="D22" i="95"/>
  <c r="H22" i="95" l="1"/>
  <c r="H21" i="96"/>
  <c r="G20" i="96" l="1"/>
  <c r="G21" i="96" s="1"/>
  <c r="G22" i="96" l="1"/>
  <c r="H33" i="97"/>
  <c r="C27" i="100" l="1"/>
  <c r="C28" i="100" l="1"/>
  <c r="L22" i="100" l="1"/>
  <c r="C24" i="100"/>
  <c r="D22" i="100"/>
  <c r="C26" i="100"/>
  <c r="H22" i="100" l="1"/>
  <c r="C22" i="100"/>
  <c r="C12" i="100" l="1"/>
  <c r="G34" i="97" l="1"/>
  <c r="H8" i="97" l="1"/>
  <c r="H26" i="97"/>
  <c r="H7" i="97"/>
  <c r="E34" i="97"/>
  <c r="H30" i="97"/>
  <c r="H12" i="97"/>
  <c r="H14" i="97"/>
  <c r="H31" i="97"/>
  <c r="H18" i="97"/>
  <c r="H20" i="97"/>
  <c r="H32" i="97"/>
  <c r="H10" i="97"/>
  <c r="D34" i="97"/>
  <c r="H16" i="97"/>
  <c r="H19" i="97"/>
  <c r="H28" i="97"/>
  <c r="H21" i="97"/>
  <c r="H25" i="97"/>
  <c r="H22" i="97"/>
  <c r="H24" i="97"/>
  <c r="H27" i="97"/>
  <c r="H17" i="97"/>
  <c r="H13" i="97"/>
  <c r="H9" i="97"/>
  <c r="H11" i="97"/>
  <c r="H23" i="97"/>
  <c r="H15" i="97"/>
  <c r="H29" i="97"/>
  <c r="F34" i="97"/>
  <c r="C34" i="97" l="1"/>
  <c r="H34" i="97" l="1"/>
  <c r="H25" i="93" l="1"/>
  <c r="H17" i="93" l="1"/>
  <c r="H20" i="92" l="1"/>
  <c r="F19" i="92"/>
  <c r="F24" i="92"/>
  <c r="H12" i="93" l="1"/>
  <c r="H41" i="93" l="1"/>
  <c r="H10" i="93" l="1"/>
  <c r="H32" i="93"/>
  <c r="H20" i="93"/>
  <c r="H19" i="93"/>
  <c r="H29" i="93" l="1"/>
  <c r="H31" i="93"/>
  <c r="H44" i="93"/>
  <c r="G15" i="92" l="1"/>
  <c r="H16" i="92"/>
  <c r="H67" i="92" l="1"/>
  <c r="H58" i="92"/>
  <c r="H33" i="92"/>
  <c r="H15" i="92" l="1"/>
  <c r="H17" i="92"/>
  <c r="H55" i="92"/>
  <c r="F68" i="92"/>
  <c r="H13" i="93"/>
  <c r="H9" i="92"/>
  <c r="H50" i="92"/>
  <c r="H32" i="92"/>
  <c r="H12" i="92"/>
  <c r="H44" i="92"/>
  <c r="H43" i="92"/>
  <c r="H46" i="92"/>
  <c r="H51" i="92"/>
  <c r="H45" i="92"/>
  <c r="H23" i="92"/>
  <c r="H68" i="92" l="1"/>
  <c r="G47" i="92"/>
  <c r="F47" i="92"/>
  <c r="H47" i="92" s="1"/>
  <c r="H48" i="92"/>
  <c r="F7" i="92"/>
  <c r="F36" i="92" s="1"/>
  <c r="H8" i="92"/>
  <c r="H22" i="92"/>
  <c r="G38" i="92"/>
  <c r="H39" i="92"/>
  <c r="G30" i="92"/>
  <c r="H30" i="92" s="1"/>
  <c r="H31" i="92"/>
  <c r="H21" i="92"/>
  <c r="G19" i="92"/>
  <c r="H19" i="92" s="1"/>
  <c r="H25" i="92"/>
  <c r="H26" i="92"/>
  <c r="H38" i="92" l="1"/>
  <c r="G24" i="92"/>
  <c r="H24" i="92" s="1"/>
  <c r="G27" i="92"/>
  <c r="H29" i="92"/>
  <c r="H10" i="92" l="1"/>
  <c r="G7" i="92"/>
  <c r="H7" i="92" s="1"/>
  <c r="G36" i="92"/>
  <c r="H36" i="92" s="1"/>
  <c r="H27" i="92"/>
  <c r="F41" i="92" l="1"/>
  <c r="F53" i="92" l="1"/>
  <c r="F69" i="92" s="1"/>
  <c r="G41" i="92" l="1"/>
  <c r="H42" i="92"/>
  <c r="G53" i="92" l="1"/>
  <c r="H41" i="92"/>
  <c r="G69" i="92" l="1"/>
  <c r="H53" i="92"/>
  <c r="F8" i="100"/>
  <c r="S8" i="100"/>
  <c r="E8" i="100"/>
  <c r="J8" i="100"/>
  <c r="I8" i="100"/>
  <c r="N8" i="100"/>
  <c r="Y8" i="100"/>
  <c r="O8" i="100"/>
  <c r="D8" i="100"/>
  <c r="R8" i="100"/>
  <c r="X8" i="100"/>
  <c r="L8" i="100"/>
  <c r="C14" i="100"/>
  <c r="W8" i="100"/>
  <c r="G8" i="100"/>
  <c r="H69" i="92" l="1"/>
  <c r="H70" i="92" s="1"/>
  <c r="V8" i="100"/>
  <c r="Z8" i="100"/>
  <c r="AA8" i="100"/>
  <c r="H8" i="100"/>
  <c r="C13" i="100"/>
  <c r="C8" i="100" s="1"/>
  <c r="T8" i="100"/>
  <c r="M8" i="100"/>
  <c r="Q8" i="100"/>
  <c r="U8" i="100"/>
  <c r="K8" i="100"/>
  <c r="P8" i="100"/>
  <c r="H11" i="93" l="1"/>
  <c r="H16" i="93"/>
  <c r="H15" i="93"/>
  <c r="H45" i="93" l="1"/>
  <c r="H43" i="93"/>
  <c r="H6" i="93"/>
</calcChain>
</file>

<file path=xl/comments1.xml><?xml version="1.0" encoding="utf-8"?>
<comments xmlns="http://schemas.openxmlformats.org/spreadsheetml/2006/main">
  <authors>
    <author>Author</author>
  </authors>
  <commentList>
    <comment ref="C18" authorId="0" shapeId="0">
      <text>
        <r>
          <rPr>
            <b/>
            <sz val="9"/>
            <color indexed="81"/>
            <rFont val="Tahoma"/>
            <family val="2"/>
          </rPr>
          <t>Author:</t>
        </r>
        <r>
          <rPr>
            <sz val="9"/>
            <color indexed="81"/>
            <rFont val="Tahoma"/>
            <family val="2"/>
          </rPr>
          <t xml:space="preserve">
loans +FLT</t>
        </r>
      </text>
    </comment>
  </commentList>
</comments>
</file>

<file path=xl/comments2.xml><?xml version="1.0" encoding="utf-8"?>
<comments xmlns="http://schemas.openxmlformats.org/spreadsheetml/2006/main">
  <authors>
    <author>Author</author>
  </authors>
  <commentList>
    <comment ref="C5" authorId="0" shapeId="0">
      <text>
        <r>
          <rPr>
            <b/>
            <sz val="9"/>
            <color indexed="81"/>
            <rFont val="Tahoma"/>
            <family val="2"/>
          </rPr>
          <t>Author:</t>
        </r>
        <r>
          <rPr>
            <sz val="9"/>
            <color indexed="81"/>
            <rFont val="Tahoma"/>
            <family val="2"/>
          </rPr>
          <t xml:space="preserve">
net value</t>
        </r>
      </text>
    </comment>
  </commentList>
</comments>
</file>

<file path=xl/sharedStrings.xml><?xml version="1.0" encoding="utf-8"?>
<sst xmlns="http://schemas.openxmlformats.org/spreadsheetml/2006/main" count="1611" uniqueCount="1008">
  <si>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</si>
  <si>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</si>
  <si>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</si>
  <si>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</si>
  <si>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</si>
  <si>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</si>
  <si>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</si>
  <si>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</si>
  <si>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</si>
  <si>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</si>
  <si>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</si>
  <si>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</si>
  <si>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</si>
  <si>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</si>
  <si>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</si>
  <si>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</si>
  <si>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</si>
  <si>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</si>
  <si>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</si>
  <si>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</si>
  <si>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</si>
  <si>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</si>
  <si>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</si>
  <si>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</si>
  <si>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</si>
  <si>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</si>
  <si>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</si>
  <si>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</si>
  <si>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</si>
  <si>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</si>
  <si>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</si>
  <si>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</si>
  <si>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</si>
  <si>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</si>
  <si>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</si>
  <si>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</si>
  <si>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</si>
  <si>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</si>
  <si>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</si>
  <si>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</si>
  <si>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</si>
  <si>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</si>
  <si>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</si>
  <si>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</si>
  <si>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</si>
  <si>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</si>
  <si>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</si>
  <si>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</si>
  <si>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</si>
  <si>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</si>
  <si>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</si>
  <si>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</si>
  <si>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</si>
  <si>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</si>
  <si>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</si>
  <si>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</si>
  <si>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</si>
  <si>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</si>
  <si>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</si>
  <si>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</si>
  <si>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</si>
  <si>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</si>
  <si>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</si>
  <si>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</si>
  <si>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</si>
  <si>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</si>
  <si>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</si>
  <si>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</si>
  <si>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</si>
  <si>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</si>
  <si>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</si>
  <si>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</si>
  <si>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</si>
  <si>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</si>
  <si>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</si>
  <si>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</si>
  <si>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</si>
  <si>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</si>
  <si>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</si>
  <si>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</si>
  <si>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</si>
  <si>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</si>
  <si>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</si>
  <si>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</si>
  <si>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</si>
  <si>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</si>
  <si>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</si>
  <si>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</si>
  <si>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</si>
  <si>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</si>
  <si>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</si>
  <si>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</si>
  <si>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</si>
  <si>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</si>
  <si>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</si>
  <si>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</si>
  <si>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</si>
  <si>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</si>
  <si>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</si>
  <si>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</si>
  <si>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</si>
  <si>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</si>
  <si>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</si>
  <si>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</si>
  <si>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</si>
  <si>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</si>
  <si>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</si>
  <si>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</si>
  <si>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</si>
  <si>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</si>
  <si>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</si>
  <si>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</si>
  <si>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</si>
  <si>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</si>
  <si>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</si>
  <si>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</si>
  <si>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</si>
  <si>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</si>
  <si>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</si>
  <si>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</si>
  <si>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</si>
  <si>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</si>
  <si>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</si>
  <si>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</si>
  <si>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</si>
  <si>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</si>
  <si>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</si>
  <si>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</si>
  <si>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</si>
  <si>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</si>
  <si>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</si>
  <si>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</si>
  <si>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</si>
  <si>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</si>
  <si>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</si>
  <si>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</si>
  <si>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</si>
  <si>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</si>
  <si>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</si>
  <si>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</si>
  <si>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</si>
  <si>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</si>
  <si>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</si>
  <si>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</si>
  <si>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</si>
  <si>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</si>
  <si>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</si>
  <si>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</si>
  <si>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</si>
  <si>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</si>
  <si>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</si>
  <si>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</si>
  <si>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</si>
  <si>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</si>
  <si>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</si>
  <si>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</si>
  <si>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</si>
  <si>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</si>
  <si>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</si>
  <si>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</si>
  <si>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</si>
  <si>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</si>
  <si>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</si>
  <si>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</si>
  <si>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</si>
  <si>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</si>
  <si>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</si>
  <si>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</si>
  <si>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</si>
  <si>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</si>
  <si>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</si>
  <si>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</si>
  <si>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</si>
  <si>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</si>
  <si>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</si>
  <si>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</si>
  <si>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</si>
  <si>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</si>
  <si>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</si>
  <si>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</si>
  <si>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</si>
  <si>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</si>
  <si>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</si>
  <si>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</si>
  <si>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</si>
  <si>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</si>
  <si>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</si>
  <si>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</si>
  <si>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</si>
  <si>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</si>
  <si>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</si>
  <si>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</si>
  <si>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</si>
  <si>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</si>
  <si>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</si>
  <si>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</si>
  <si>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</si>
  <si>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</si>
  <si>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</si>
  <si>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</si>
  <si>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</si>
  <si>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</si>
  <si>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</si>
  <si>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</si>
  <si>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</si>
  <si>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</si>
  <si>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</si>
  <si>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</si>
  <si>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</si>
  <si>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</si>
  <si>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</si>
  <si>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</si>
  <si>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</si>
  <si>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</si>
  <si>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</si>
  <si>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</si>
  <si>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</si>
  <si>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</si>
  <si>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</si>
  <si>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</si>
  <si>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</si>
  <si>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</si>
  <si>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</si>
  <si>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</si>
  <si>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</si>
  <si>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</si>
  <si>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</si>
  <si>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</si>
  <si>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</si>
  <si>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</si>
  <si>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</si>
  <si>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</si>
  <si>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</si>
  <si>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</si>
  <si>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</si>
  <si>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</si>
  <si>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</si>
  <si>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</si>
  <si>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</si>
  <si>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</si>
  <si>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</si>
  <si>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</si>
  <si>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</si>
  <si>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</si>
  <si>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</si>
  <si>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</si>
  <si>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</si>
  <si>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</si>
  <si>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</si>
  <si>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</si>
  <si>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</si>
  <si>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</si>
  <si>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</si>
  <si>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</si>
  <si>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</si>
  <si>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</si>
  <si>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</si>
  <si>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</si>
  <si>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</si>
  <si>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</si>
  <si>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</si>
  <si>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</si>
  <si>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</si>
  <si>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</si>
  <si>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</si>
  <si>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</si>
  <si>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</si>
  <si>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</si>
  <si>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</si>
  <si>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</si>
  <si>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</si>
  <si>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</si>
  <si>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</si>
  <si>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</si>
  <si>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</si>
  <si>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</si>
  <si>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</si>
  <si>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</si>
  <si>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</si>
  <si>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</si>
  <si>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</si>
  <si>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</si>
  <si>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</si>
  <si>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</si>
  <si>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</si>
  <si>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</si>
  <si>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</si>
  <si>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</si>
  <si>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</si>
  <si>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</si>
  <si>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</si>
  <si>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</si>
  <si>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</si>
  <si>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</si>
  <si>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</si>
  <si>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</si>
  <si>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</si>
  <si>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</si>
  <si>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</si>
  <si>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</si>
  <si>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</si>
  <si>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</si>
  <si>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</si>
  <si>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</si>
  <si>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</si>
  <si>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</si>
  <si>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</si>
  <si>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</si>
  <si>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</si>
  <si>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</si>
  <si>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</si>
  <si>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</si>
  <si>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</si>
  <si>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</si>
  <si>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</si>
  <si>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</si>
  <si>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</si>
  <si>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</si>
  <si>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</si>
  <si>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</si>
  <si>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</si>
  <si>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</si>
  <si>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</si>
  <si>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</si>
  <si>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</si>
  <si>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</si>
  <si>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</si>
  <si>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</si>
  <si>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</si>
  <si>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</si>
  <si>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</si>
  <si>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</si>
  <si>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</si>
  <si>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</si>
  <si>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</si>
  <si>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</si>
  <si>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</si>
  <si>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</si>
  <si>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</si>
  <si>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</si>
  <si>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</si>
  <si>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</si>
  <si>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</si>
  <si>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</si>
  <si>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</si>
  <si>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</si>
  <si>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</si>
  <si>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</si>
  <si>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</si>
  <si>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</si>
  <si>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</si>
  <si>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</si>
  <si>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</si>
  <si>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</si>
  <si>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</si>
  <si>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</si>
  <si>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</si>
  <si>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</si>
  <si>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</si>
  <si>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</si>
  <si>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</si>
  <si>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</si>
  <si>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</si>
  <si>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</si>
  <si>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</si>
  <si>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</si>
  <si>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</si>
  <si>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</si>
  <si>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</si>
  <si>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</si>
  <si>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</si>
  <si>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</si>
  <si>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</si>
  <si>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</si>
  <si>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</si>
  <si>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</si>
  <si>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</si>
  <si>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</si>
  <si>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</si>
  <si>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</si>
  <si>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</si>
  <si>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</si>
  <si>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</si>
  <si>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</si>
  <si>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</si>
  <si>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</si>
  <si>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</si>
  <si>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</si>
  <si>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</si>
  <si>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</si>
  <si>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</si>
  <si>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</si>
  <si>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</si>
  <si>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</si>
  <si>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</si>
  <si>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</si>
  <si>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</si>
  <si>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</si>
  <si>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</si>
  <si>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</si>
  <si>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</si>
  <si>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</si>
  <si>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</si>
  <si>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</si>
  <si>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</si>
  <si>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</si>
  <si>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</si>
  <si>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</si>
  <si>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</si>
  <si>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</si>
  <si>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</si>
  <si>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</si>
  <si>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</si>
  <si>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</si>
  <si>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</si>
  <si>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</si>
  <si>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</si>
  <si>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</si>
  <si>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</si>
  <si>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</si>
  <si>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</si>
  <si>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</si>
  <si>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</si>
  <si>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</si>
  <si>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</si>
  <si>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</si>
  <si>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</si>
  <si>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</si>
  <si>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</si>
  <si>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</si>
  <si>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</si>
  <si>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</si>
  <si>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</si>
  <si>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</si>
  <si>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</si>
  <si>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</si>
  <si>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</si>
  <si>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</si>
  <si>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</si>
  <si>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</si>
  <si>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</si>
  <si>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</si>
  <si>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</si>
  <si>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</si>
  <si>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</si>
  <si>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</si>
  <si>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</si>
  <si>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</si>
  <si>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</si>
  <si>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</si>
  <si>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</si>
  <si>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</si>
  <si>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</si>
  <si>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</si>
  <si>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</si>
  <si>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</si>
  <si>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</si>
  <si>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</si>
  <si>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</si>
  <si>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</si>
  <si>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</si>
  <si>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</si>
  <si>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</si>
  <si>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</si>
  <si>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</si>
  <si>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</si>
  <si>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</si>
  <si>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</si>
  <si>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</si>
  <si>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</si>
  <si>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</si>
  <si>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</si>
  <si>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</si>
  <si>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</si>
  <si>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</si>
  <si>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</si>
  <si>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</si>
  <si>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</si>
  <si>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</si>
  <si>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</si>
  <si>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</si>
  <si>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</si>
  <si>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</si>
  <si>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</si>
  <si>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</si>
  <si>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</si>
  <si>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</si>
  <si>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</si>
  <si>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</si>
  <si>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</si>
  <si>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</si>
  <si>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</si>
  <si>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</si>
  <si>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</si>
  <si>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</si>
  <si>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</si>
  <si>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</si>
  <si>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</si>
  <si>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</si>
  <si>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</si>
  <si>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</si>
  <si>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</si>
  <si>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</si>
  <si>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</si>
  <si>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</si>
  <si>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</si>
  <si>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</si>
  <si>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</si>
  <si>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</si>
  <si>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</si>
  <si>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</si>
  <si>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</si>
  <si>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</si>
  <si>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</si>
  <si>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</si>
  <si>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</si>
  <si>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</si>
  <si>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</si>
  <si>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</si>
  <si>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</si>
  <si>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</si>
  <si>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</si>
  <si>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</si>
  <si>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</si>
  <si>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</si>
  <si>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</si>
  <si>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</si>
  <si>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</si>
  <si>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</si>
  <si>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</si>
  <si>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</si>
  <si>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</si>
  <si>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</si>
  <si>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</si>
  <si>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</si>
  <si>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</si>
  <si>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</si>
  <si>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</si>
  <si>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</si>
  <si>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</si>
  <si>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</si>
  <si>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</si>
  <si>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</si>
  <si>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</si>
  <si>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</si>
  <si>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</si>
  <si>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</si>
  <si>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</si>
  <si>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</si>
  <si>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</si>
  <si>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</si>
  <si>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</si>
  <si>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</si>
  <si>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</si>
  <si>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</si>
  <si>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</si>
  <si>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</si>
  <si>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</si>
  <si>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</si>
  <si>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</si>
  <si>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</si>
  <si>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</si>
  <si>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</si>
  <si>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</si>
  <si>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</si>
  <si>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</si>
  <si>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</si>
  <si>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</si>
  <si>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</si>
  <si>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</si>
  <si>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</si>
  <si>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</si>
  <si>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</si>
  <si>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</si>
  <si>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</si>
  <si>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</si>
  <si>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</si>
  <si>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</si>
  <si>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</si>
  <si>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</si>
  <si>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</si>
  <si>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</si>
  <si>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</si>
  <si>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</si>
  <si>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</si>
  <si>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</si>
  <si>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</si>
  <si>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</si>
  <si>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</si>
  <si>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</si>
  <si>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</si>
  <si>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</si>
  <si>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</si>
  <si>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</si>
  <si>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</si>
  <si>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</si>
  <si>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</si>
  <si>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</si>
  <si>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</si>
  <si>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</si>
  <si>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</si>
  <si>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</si>
  <si>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</si>
  <si>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</si>
  <si>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</si>
  <si>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</si>
  <si>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</si>
  <si>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</si>
  <si>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</si>
  <si>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</si>
  <si>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</si>
  <si>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</si>
  <si>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</si>
  <si>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</si>
  <si>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</si>
  <si>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</si>
  <si>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</si>
  <si>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</si>
  <si>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</si>
  <si>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</si>
  <si>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</si>
  <si>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</si>
  <si>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</si>
  <si>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</si>
  <si>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</si>
  <si>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</si>
  <si>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</si>
  <si>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</si>
  <si>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</si>
  <si>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</si>
  <si>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</si>
  <si>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</si>
  <si>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</si>
  <si>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</si>
  <si>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</si>
  <si>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</si>
  <si>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</si>
  <si>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</si>
  <si>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</si>
  <si>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</si>
  <si>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</si>
  <si>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</si>
  <si>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</si>
  <si>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</si>
  <si>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</si>
  <si>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</si>
  <si>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</si>
  <si>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</si>
  <si>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</si>
  <si>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</si>
  <si>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</si>
  <si>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</si>
  <si>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</si>
  <si>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</si>
  <si>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</si>
  <si>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</si>
  <si>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</si>
  <si>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</si>
  <si>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</si>
  <si>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</si>
  <si>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</si>
  <si>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</si>
  <si>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</si>
  <si>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</si>
  <si>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</si>
  <si>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</si>
  <si>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</si>
  <si>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</si>
  <si>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</si>
  <si>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</si>
  <si>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</si>
  <si>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</si>
  <si>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</si>
  <si>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</si>
  <si>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</si>
  <si>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</si>
  <si>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</si>
  <si>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</si>
  <si>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</si>
  <si>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</si>
  <si>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</si>
  <si>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</si>
  <si>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</si>
  <si>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</si>
  <si>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</si>
  <si>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</si>
  <si>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</si>
  <si>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</si>
  <si>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</si>
  <si>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</si>
  <si>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</si>
  <si>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</si>
  <si>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</si>
  <si>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</si>
  <si>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</si>
  <si>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</si>
  <si>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</si>
  <si>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</si>
  <si>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</si>
  <si>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</si>
  <si>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</si>
  <si>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</si>
  <si>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</si>
  <si>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</si>
  <si>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</si>
  <si>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</si>
  <si>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</si>
  <si>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</si>
  <si>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</si>
  <si>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</si>
  <si>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</si>
  <si>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</si>
  <si>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</si>
  <si>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</si>
  <si>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</si>
  <si>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</si>
  <si>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</si>
  <si>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</si>
  <si>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</si>
  <si>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</si>
  <si>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</si>
  <si>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</si>
  <si>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</si>
  <si>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</si>
  <si>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</si>
  <si>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</si>
  <si>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</si>
  <si>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</si>
  <si>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</si>
  <si>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</si>
  <si>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</si>
  <si>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</si>
  <si>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</si>
  <si>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</si>
  <si>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</si>
  <si>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</si>
  <si>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</si>
  <si>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</si>
  <si>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</si>
  <si>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</si>
  <si>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</si>
  <si>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</si>
  <si>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</si>
  <si>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</si>
  <si>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</si>
  <si>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</si>
  <si>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</si>
  <si>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</si>
  <si>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</si>
  <si>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</si>
  <si>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</si>
  <si>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</si>
  <si>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</si>
  <si>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</si>
  <si>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</si>
  <si>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</si>
  <si>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</si>
  <si>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</si>
  <si>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</si>
  <si>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</si>
  <si>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</si>
  <si>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</si>
  <si>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</si>
  <si>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</si>
  <si>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</si>
  <si>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</si>
  <si>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</si>
  <si>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</si>
  <si>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</si>
  <si>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</si>
  <si>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</si>
  <si>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</si>
  <si>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</si>
  <si>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</si>
  <si>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</si>
  <si>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</si>
  <si>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</si>
  <si>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</si>
  <si>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</si>
  <si>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</si>
  <si>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</si>
  <si>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</si>
  <si>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</si>
  <si>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</si>
  <si>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</si>
  <si>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</si>
  <si>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</si>
  <si>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</si>
  <si>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</si>
  <si>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</si>
  <si>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</si>
  <si>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</si>
  <si>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</si>
  <si>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</si>
  <si>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</si>
  <si>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</si>
  <si>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</si>
  <si>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</si>
  <si>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</si>
  <si>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</si>
  <si>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</si>
  <si>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</si>
  <si>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</si>
  <si>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</si>
  <si>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</si>
  <si>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</si>
  <si>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</si>
  <si>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</si>
  <si>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</si>
  <si>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</si>
  <si>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</si>
  <si>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</si>
  <si>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</si>
  <si>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</si>
  <si>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</si>
  <si>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</si>
  <si>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</si>
  <si>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</si>
  <si>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</si>
  <si>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</si>
  <si>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</si>
  <si>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</si>
  <si>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</si>
  <si>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</si>
  <si>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</si>
  <si>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</si>
  <si>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</si>
  <si>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</si>
  <si>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</si>
  <si>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</si>
  <si>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</si>
  <si>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</si>
  <si>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</si>
  <si>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</si>
  <si>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</si>
  <si>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</si>
  <si>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</si>
  <si>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</si>
  <si>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</si>
  <si>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</si>
  <si>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</si>
  <si>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</si>
  <si>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</si>
  <si>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</si>
  <si>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</si>
  <si>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</si>
  <si>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</si>
  <si>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</si>
  <si>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</si>
  <si>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</si>
  <si>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</si>
  <si>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</si>
  <si>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</si>
  <si>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</si>
  <si>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</si>
  <si>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</si>
  <si>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</si>
  <si>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</si>
  <si>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</si>
  <si>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</si>
  <si>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</si>
  <si>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</si>
  <si>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</si>
  <si>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</si>
  <si>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</si>
  <si>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</si>
  <si>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</si>
  <si>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</si>
  <si>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</si>
  <si>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</si>
  <si>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</si>
  <si>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</si>
  <si>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</si>
  <si>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</si>
  <si>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</si>
  <si>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</si>
  <si>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</si>
  <si>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</si>
  <si>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</si>
  <si>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</si>
  <si>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</si>
  <si>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</si>
  <si>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</si>
  <si>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</si>
  <si>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</si>
  <si>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</si>
  <si>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</si>
  <si>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</si>
  <si>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</si>
  <si>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</si>
  <si>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</si>
  <si>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</si>
  <si>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</si>
  <si>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</si>
  <si>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</si>
  <si>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</si>
  <si>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</si>
  <si>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</si>
  <si>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</si>
  <si>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</si>
  <si>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</si>
  <si>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</si>
  <si>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</si>
  <si>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</si>
  <si>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</si>
  <si>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</si>
  <si>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</si>
  <si>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</si>
  <si>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</si>
  <si>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</si>
  <si>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</si>
  <si>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</si>
  <si>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</si>
  <si>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</si>
  <si>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</si>
  <si>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</si>
  <si>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</si>
  <si>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</si>
  <si>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</si>
  <si>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</si>
  <si>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</si>
  <si>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</si>
  <si>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</si>
  <si>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</si>
  <si>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</si>
  <si>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</si>
  <si>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</si>
  <si>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</si>
  <si>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</si>
  <si>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</si>
  <si>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</si>
  <si>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</si>
  <si>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</si>
  <si>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</si>
  <si>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</si>
  <si>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</si>
  <si>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</si>
  <si>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</si>
  <si>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</si>
  <si>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</si>
  <si>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</si>
  <si>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</si>
  <si>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</si>
  <si>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</si>
  <si>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</si>
  <si>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</si>
  <si>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</si>
  <si>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</si>
  <si>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</si>
  <si>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</si>
  <si>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</si>
  <si>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</si>
  <si>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</si>
  <si>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</si>
  <si>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</si>
  <si>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</si>
  <si>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V</t>
  </si>
  <si>
    <t>X</t>
  </si>
  <si>
    <t>AA</t>
  </si>
  <si>
    <t>მელ ჯერარდ კარვილი</t>
  </si>
  <si>
    <t>დამოუკიდებელი თავმჯდომარე</t>
  </si>
  <si>
    <t>თამაზ გეორგაძე</t>
  </si>
  <si>
    <t>არადამოუკიდებელი წევრი</t>
  </si>
  <si>
    <t>ალასდაირ ბრიჩი</t>
  </si>
  <si>
    <t>ჰანნა ლოიკანენი</t>
  </si>
  <si>
    <t>სესილ ქუილენი</t>
  </si>
  <si>
    <t>დამოუკიდებელი წევრი</t>
  </si>
  <si>
    <t>ვერონიკ მკ კაროლი</t>
  </si>
  <si>
    <t>ჯონათან მუირი</t>
  </si>
  <si>
    <t>მარიამ მეღვინეთუხუცესი</t>
  </si>
  <si>
    <t>არჩილ გაჩეჩილაძე</t>
  </si>
  <si>
    <t>გენერალური დირექტორი</t>
  </si>
  <si>
    <t>მიხეილ გომართელი</t>
  </si>
  <si>
    <t>გენერალური დირექტორის მოადგილე</t>
  </si>
  <si>
    <t>სულხან გვალია</t>
  </si>
  <si>
    <t>ეთერ ირემაძე</t>
  </si>
  <si>
    <t>გენერალური დირექტორის მოადგილე / SOLO - პრემიალური საცალო საბანკო საქმიანობა, დაგროვილი ქონების მარვა</t>
  </si>
  <si>
    <t>ზურაბ ქოქოსაძე</t>
  </si>
  <si>
    <t>გენერალური დირექტორის მოადგილე / კორპორაციული საბანკო მომსახურების მიმართულება</t>
  </si>
  <si>
    <t>დავით დავითაშვილი</t>
  </si>
  <si>
    <t>გენერალური დირექტორიე მოადგილე/ ინფორმაციული ტექნოლოგიები და მონაცემთა ანალიტიკა</t>
  </si>
  <si>
    <t>დავით ჭყონია</t>
  </si>
  <si>
    <t>გენერალური დირექტორიე მოადგილე</t>
  </si>
  <si>
    <t>Bank of Georgia Group Plc</t>
  </si>
  <si>
    <t>JSC BGEO Group</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</si>
  <si>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</si>
  <si>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</si>
  <si>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ცხრილი 9 (Capital), N17</t>
  </si>
  <si>
    <t>სს ”საქართველოს ბანკი”</t>
  </si>
  <si>
    <t>არჩილ  გაჩეჩილაძე</t>
  </si>
  <si>
    <t>www.bog.ge</t>
  </si>
  <si>
    <t>ცხრილი 9 (Capital),13</t>
  </si>
  <si>
    <t>`</t>
  </si>
  <si>
    <t>ცხრილი 9 (Capital),10</t>
  </si>
  <si>
    <t>მათ შორის: 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</si>
  <si>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მათ შორის აქციების ფლობა და სხვა სახით 10%–ზე მეტი წილის ფლობა კომერციული დაწესებულებების სააქციო კაპიტალში</t>
  </si>
  <si>
    <t>ცხრილი 9 (Capital),29</t>
  </si>
  <si>
    <t>ცხრილი 9 (Capital),38</t>
  </si>
  <si>
    <t>ცხრილი 9 (Capital), 2</t>
  </si>
  <si>
    <t>ცხრილი 9 (Capital), 12</t>
  </si>
  <si>
    <t>ცხრილი 9 (Capital), 3</t>
  </si>
  <si>
    <t>ცხრილი 9 (Capital), 6</t>
  </si>
  <si>
    <t>ცხრილი 9 (Capital), 4,8</t>
  </si>
  <si>
    <t>თვის შიგნით გაცემები</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</si>
  <si>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</si>
  <si>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დარჩენილი ვადის მიხედვით (თვეებში)</t>
  </si>
  <si>
    <t>4Q-2022</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</si>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</sst>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000"/>
    <numFmt numFmtId="196" formatCode="#,##0.00000000000000_);\(#,##0.00000000000000\)"/>
  </numFmts>
  <fonts count="15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sz val="10"/>
      <name val="Times New Roman"/>
      <family val="1"/>
    </font>
    <font>
      <sz val="10"/>
      <color rgb="FF000000"/>
      <name val="Calibri"/>
      <family val="2"/>
      <scheme val="minor"/>
    </font>
    <font>
      <b/>
      <sz val="10"/>
      <color theme="1"/>
      <name val="Times New Roman"/>
      <family val="1"/>
    </font>
    <font>
      <sz val="11"/>
      <name val="Sylfaen"/>
      <family val="1"/>
    </font>
    <font>
      <i/>
      <sz val="10"/>
      <name val="Times New Roman"/>
      <family val="1"/>
    </font>
    <font>
      <b/>
      <sz val="10"/>
      <name val="Times New Roman"/>
      <family val="1"/>
    </font>
    <font>
      <b/>
      <sz val="8"/>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8"/>
      <color rgb="FF000000"/>
      <name val="Calibri"/>
      <family val="2"/>
      <scheme val="minor"/>
    </font>
    <font>
      <sz val="9"/>
      <color indexed="81"/>
      <name val="Tahoma"/>
      <family val="2"/>
    </font>
    <font>
      <b/>
      <sz val="9"/>
      <color indexed="81"/>
      <name val="Tahoma"/>
      <family val="2"/>
    </font>
    <font>
      <b/>
      <sz val="9"/>
      <color theme="1"/>
      <name val="Calibri"/>
      <family val="2"/>
      <scheme val="minor"/>
    </font>
  </fonts>
  <fills count="8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FF"/>
        <bgColor rgb="FF000000"/>
      </patternFill>
    </fill>
    <fill>
      <patternFill patternType="lightGray">
        <fgColor rgb="FFC0C0C0"/>
      </patternFill>
    </fill>
  </fills>
  <borders count="15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medium">
        <color indexed="64"/>
      </bottom>
      <diagonal/>
    </border>
  </borders>
  <cellStyleXfs count="223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8" fontId="39"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8" fontId="39"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9" fontId="39"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0" fontId="37" fillId="64" borderId="30" applyNumberFormat="0" applyAlignment="0" applyProtection="0"/>
    <xf numFmtId="0" fontId="40" fillId="65" borderId="31" applyNumberFormat="0" applyAlignment="0" applyProtection="0"/>
    <xf numFmtId="0" fontId="41" fillId="10" borderId="26"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0" fontId="40"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0" fontId="41" fillId="10" borderId="26"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0" fontId="40" fillId="65" borderId="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2" applyNumberFormat="0" applyAlignment="0" applyProtection="0">
      <alignment horizontal="left" vertical="center"/>
    </xf>
    <xf numFmtId="0" fontId="53" fillId="0" borderId="22" applyNumberFormat="0" applyAlignment="0" applyProtection="0">
      <alignment horizontal="left" vertical="center"/>
    </xf>
    <xf numFmtId="168" fontId="53" fillId="0" borderId="22" applyNumberFormat="0" applyAlignment="0" applyProtection="0">
      <alignment horizontal="left" vertical="center"/>
    </xf>
    <xf numFmtId="0" fontId="53" fillId="0" borderId="6">
      <alignment horizontal="left" vertical="center"/>
    </xf>
    <xf numFmtId="0" fontId="53" fillId="0" borderId="6">
      <alignment horizontal="left" vertical="center"/>
    </xf>
    <xf numFmtId="168" fontId="53" fillId="0" borderId="6">
      <alignment horizontal="left" vertical="center"/>
    </xf>
    <xf numFmtId="0" fontId="54" fillId="0" borderId="33" applyNumberFormat="0" applyFill="0" applyAlignment="0" applyProtection="0"/>
    <xf numFmtId="169" fontId="54" fillId="0" borderId="33" applyNumberFormat="0" applyFill="0" applyAlignment="0" applyProtection="0"/>
    <xf numFmtId="0"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169" fontId="55" fillId="0" borderId="34" applyNumberFormat="0" applyFill="0" applyAlignment="0" applyProtection="0"/>
    <xf numFmtId="0"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0" fontId="55" fillId="0" borderId="34" applyNumberFormat="0" applyFill="0" applyAlignment="0" applyProtection="0"/>
    <xf numFmtId="0" fontId="56" fillId="0" borderId="35" applyNumberFormat="0" applyFill="0" applyAlignment="0" applyProtection="0"/>
    <xf numFmtId="169" fontId="56" fillId="0" borderId="35" applyNumberFormat="0" applyFill="0" applyAlignment="0" applyProtection="0"/>
    <xf numFmtId="0" fontId="56" fillId="0" borderId="35" applyNumberFormat="0" applyFill="0" applyAlignment="0" applyProtection="0"/>
    <xf numFmtId="168" fontId="56" fillId="0" borderId="35" applyNumberFormat="0" applyFill="0" applyAlignment="0" applyProtection="0"/>
    <xf numFmtId="0" fontId="56" fillId="0" borderId="35" applyNumberFormat="0" applyFill="0" applyAlignment="0" applyProtection="0"/>
    <xf numFmtId="168"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0" fontId="56" fillId="0" borderId="35"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5"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8" fontId="67"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8" fontId="67"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9" fontId="67"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0" fontId="65" fillId="43" borderId="30"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36" applyNumberFormat="0" applyFill="0" applyAlignment="0" applyProtection="0"/>
    <xf numFmtId="0" fontId="69" fillId="0" borderId="25"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0" fontId="68" fillId="0" borderId="36"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0" fontId="68" fillId="0" borderId="3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37"/>
    <xf numFmtId="169" fontId="25" fillId="0" borderId="37"/>
    <xf numFmtId="168" fontId="25" fillId="0" borderId="3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5" fillId="0" borderId="0"/>
    <xf numFmtId="0" fontId="7"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7"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7"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68" fontId="7" fillId="0" borderId="0"/>
    <xf numFmtId="0" fontId="75" fillId="0" borderId="0"/>
    <xf numFmtId="168"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5"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168" fontId="2" fillId="0" borderId="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6" fillId="74" borderId="38" applyNumberFormat="0" applyFont="0" applyAlignment="0" applyProtection="0"/>
    <xf numFmtId="168" fontId="2" fillId="0" borderId="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169" fontId="2" fillId="0" borderId="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 fillId="0" borderId="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169"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0" fontId="2" fillId="74" borderId="38" applyNumberFormat="0" applyFont="0" applyAlignment="0" applyProtection="0"/>
    <xf numFmtId="169" fontId="2" fillId="0" borderId="0"/>
    <xf numFmtId="168"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0" fontId="2" fillId="74" borderId="38" applyNumberFormat="0" applyFont="0" applyAlignment="0" applyProtection="0"/>
    <xf numFmtId="169"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0" fontId="2" fillId="74" borderId="38" applyNumberFormat="0" applyFont="0" applyAlignment="0" applyProtection="0"/>
    <xf numFmtId="169" fontId="2" fillId="0" borderId="0"/>
    <xf numFmtId="168" fontId="2" fillId="0" borderId="0"/>
    <xf numFmtId="168" fontId="2" fillId="0" borderId="0"/>
    <xf numFmtId="0" fontId="2"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8" fontId="84"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8" fontId="84"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9" fontId="84"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0" fontId="82" fillId="64" borderId="39"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8" fontId="93"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8" fontId="93"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9" fontId="93"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0" fontId="46" fillId="0" borderId="40" applyNumberFormat="0" applyFill="0" applyAlignment="0" applyProtection="0"/>
    <xf numFmtId="0" fontId="24" fillId="0" borderId="41"/>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69"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68"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68"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88" fontId="2" fillId="70" borderId="85" applyFont="0">
      <alignment horizontal="right" vertical="center"/>
    </xf>
    <xf numFmtId="3" fontId="2" fillId="70" borderId="85" applyFont="0">
      <alignment horizontal="right" vertical="center"/>
    </xf>
    <xf numFmtId="0" fontId="82"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169"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168"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168"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3" fontId="2" fillId="75" borderId="85" applyFont="0">
      <alignment horizontal="right" vertical="center"/>
      <protection locked="0"/>
    </xf>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3" fontId="2" fillId="72" borderId="85" applyFont="0">
      <alignment horizontal="right" vertical="center"/>
      <protection locked="0"/>
    </xf>
    <xf numFmtId="0" fontId="65"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169"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168"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168"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1" fillId="70" borderId="86" applyFont="0" applyBorder="0">
      <alignment horizontal="center" wrapText="1"/>
    </xf>
    <xf numFmtId="168" fontId="53" fillId="0" borderId="83">
      <alignment horizontal="left" vertical="center"/>
    </xf>
    <xf numFmtId="0" fontId="53" fillId="0" borderId="83">
      <alignment horizontal="left" vertical="center"/>
    </xf>
    <xf numFmtId="0" fontId="53" fillId="0" borderId="83">
      <alignment horizontal="left" vertical="center"/>
    </xf>
    <xf numFmtId="0" fontId="2" fillId="69" borderId="85" applyNumberFormat="0" applyFont="0" applyBorder="0" applyProtection="0">
      <alignment horizontal="center" vertical="center"/>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7"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169"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168"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168"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xf numFmtId="0" fontId="1" fillId="0" borderId="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168" fontId="39"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168" fontId="39"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169" fontId="39"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0" fontId="37" fillId="64" borderId="143" applyNumberFormat="0" applyAlignment="0" applyProtection="0"/>
    <xf numFmtId="168" fontId="39" fillId="64" borderId="143" applyNumberFormat="0" applyAlignment="0" applyProtection="0"/>
    <xf numFmtId="169" fontId="39" fillId="64" borderId="143" applyNumberFormat="0" applyAlignment="0" applyProtection="0"/>
    <xf numFmtId="168" fontId="39" fillId="64" borderId="143" applyNumberFormat="0" applyAlignment="0" applyProtection="0"/>
    <xf numFmtId="168" fontId="39" fillId="64" borderId="143" applyNumberFormat="0" applyAlignment="0" applyProtection="0"/>
    <xf numFmtId="169" fontId="39" fillId="64" borderId="143" applyNumberFormat="0" applyAlignment="0" applyProtection="0"/>
    <xf numFmtId="168" fontId="39" fillId="64" borderId="143" applyNumberFormat="0" applyAlignment="0" applyProtection="0"/>
    <xf numFmtId="168" fontId="39" fillId="64" borderId="143" applyNumberFormat="0" applyAlignment="0" applyProtection="0"/>
    <xf numFmtId="169" fontId="39" fillId="64" borderId="143" applyNumberFormat="0" applyAlignment="0" applyProtection="0"/>
    <xf numFmtId="168" fontId="39" fillId="64" borderId="143" applyNumberFormat="0" applyAlignment="0" applyProtection="0"/>
    <xf numFmtId="168" fontId="39" fillId="64" borderId="143" applyNumberFormat="0" applyAlignment="0" applyProtection="0"/>
    <xf numFmtId="169" fontId="39" fillId="64" borderId="143" applyNumberFormat="0" applyAlignment="0" applyProtection="0"/>
    <xf numFmtId="168" fontId="39" fillId="64" borderId="143" applyNumberFormat="0" applyAlignment="0" applyProtection="0"/>
    <xf numFmtId="0" fontId="37" fillId="64" borderId="143" applyNumberFormat="0" applyAlignment="0" applyProtection="0"/>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2" fillId="69" borderId="127" applyNumberFormat="0" applyFont="0" applyBorder="0" applyProtection="0">
      <alignment horizontal="center" vertical="center"/>
    </xf>
    <xf numFmtId="0" fontId="53" fillId="0" borderId="132">
      <alignment horizontal="left" vertical="center"/>
    </xf>
    <xf numFmtId="0" fontId="53" fillId="0" borderId="132">
      <alignment horizontal="left" vertical="center"/>
    </xf>
    <xf numFmtId="168" fontId="53" fillId="0" borderId="132">
      <alignment horizontal="left" vertical="center"/>
    </xf>
    <xf numFmtId="0" fontId="61" fillId="70" borderId="130" applyFont="0" applyBorder="0">
      <alignment horizontal="center" wrapText="1"/>
    </xf>
    <xf numFmtId="3" fontId="2" fillId="71" borderId="127" applyFont="0" applyProtection="0">
      <alignment horizontal="right" vertical="center"/>
    </xf>
    <xf numFmtId="9" fontId="2" fillId="71" borderId="127" applyFont="0" applyProtection="0">
      <alignment horizontal="right" vertical="center"/>
    </xf>
    <xf numFmtId="0" fontId="2" fillId="71" borderId="130" applyNumberFormat="0" applyFont="0" applyBorder="0" applyProtection="0">
      <alignment horizontal="left" vertical="center"/>
    </xf>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168" fontId="67"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168" fontId="67"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169" fontId="67"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0" fontId="65" fillId="43" borderId="143" applyNumberFormat="0" applyAlignment="0" applyProtection="0"/>
    <xf numFmtId="168" fontId="67" fillId="43" borderId="143" applyNumberFormat="0" applyAlignment="0" applyProtection="0"/>
    <xf numFmtId="169" fontId="67" fillId="43" borderId="143" applyNumberFormat="0" applyAlignment="0" applyProtection="0"/>
    <xf numFmtId="168" fontId="67" fillId="43" borderId="143" applyNumberFormat="0" applyAlignment="0" applyProtection="0"/>
    <xf numFmtId="168" fontId="67" fillId="43" borderId="143" applyNumberFormat="0" applyAlignment="0" applyProtection="0"/>
    <xf numFmtId="169" fontId="67" fillId="43" borderId="143" applyNumberFormat="0" applyAlignment="0" applyProtection="0"/>
    <xf numFmtId="168" fontId="67" fillId="43" borderId="143" applyNumberFormat="0" applyAlignment="0" applyProtection="0"/>
    <xf numFmtId="168" fontId="67" fillId="43" borderId="143" applyNumberFormat="0" applyAlignment="0" applyProtection="0"/>
    <xf numFmtId="169" fontId="67" fillId="43" borderId="143" applyNumberFormat="0" applyAlignment="0" applyProtection="0"/>
    <xf numFmtId="168" fontId="67" fillId="43" borderId="143" applyNumberFormat="0" applyAlignment="0" applyProtection="0"/>
    <xf numFmtId="168" fontId="67" fillId="43" borderId="143" applyNumberFormat="0" applyAlignment="0" applyProtection="0"/>
    <xf numFmtId="169" fontId="67" fillId="43" borderId="143" applyNumberFormat="0" applyAlignment="0" applyProtection="0"/>
    <xf numFmtId="168" fontId="67" fillId="43" borderId="143" applyNumberFormat="0" applyAlignment="0" applyProtection="0"/>
    <xf numFmtId="0" fontId="65" fillId="43" borderId="143" applyNumberFormat="0" applyAlignment="0" applyProtection="0"/>
    <xf numFmtId="3" fontId="2" fillId="72" borderId="127" applyFont="0">
      <alignment horizontal="right" vertical="center"/>
      <protection locked="0"/>
    </xf>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6" fillId="74" borderId="144" applyNumberFormat="0" applyFont="0" applyAlignment="0" applyProtection="0"/>
    <xf numFmtId="0" fontId="2"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6"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3" fontId="2" fillId="75" borderId="127" applyFont="0">
      <alignment horizontal="right" vertical="center"/>
      <protection locked="0"/>
    </xf>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168" fontId="84"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168" fontId="84"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169" fontId="84"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0" fontId="82" fillId="64" borderId="145" applyNumberFormat="0" applyAlignment="0" applyProtection="0"/>
    <xf numFmtId="168" fontId="84" fillId="64" borderId="145" applyNumberFormat="0" applyAlignment="0" applyProtection="0"/>
    <xf numFmtId="169" fontId="84" fillId="64" borderId="145" applyNumberFormat="0" applyAlignment="0" applyProtection="0"/>
    <xf numFmtId="168" fontId="84" fillId="64" borderId="145" applyNumberFormat="0" applyAlignment="0" applyProtection="0"/>
    <xf numFmtId="168" fontId="84" fillId="64" borderId="145" applyNumberFormat="0" applyAlignment="0" applyProtection="0"/>
    <xf numFmtId="169" fontId="84" fillId="64" borderId="145" applyNumberFormat="0" applyAlignment="0" applyProtection="0"/>
    <xf numFmtId="168" fontId="84" fillId="64" borderId="145" applyNumberFormat="0" applyAlignment="0" applyProtection="0"/>
    <xf numFmtId="168" fontId="84" fillId="64" borderId="145" applyNumberFormat="0" applyAlignment="0" applyProtection="0"/>
    <xf numFmtId="169" fontId="84" fillId="64" borderId="145" applyNumberFormat="0" applyAlignment="0" applyProtection="0"/>
    <xf numFmtId="168" fontId="84" fillId="64" borderId="145" applyNumberFormat="0" applyAlignment="0" applyProtection="0"/>
    <xf numFmtId="168" fontId="84" fillId="64" borderId="145" applyNumberFormat="0" applyAlignment="0" applyProtection="0"/>
    <xf numFmtId="169" fontId="84" fillId="64" borderId="145" applyNumberFormat="0" applyAlignment="0" applyProtection="0"/>
    <xf numFmtId="168" fontId="84" fillId="64" borderId="145" applyNumberFormat="0" applyAlignment="0" applyProtection="0"/>
    <xf numFmtId="0" fontId="82" fillId="64" borderId="145" applyNumberFormat="0" applyAlignment="0" applyProtection="0"/>
    <xf numFmtId="3" fontId="2" fillId="70" borderId="127" applyFont="0">
      <alignment horizontal="right" vertical="center"/>
    </xf>
    <xf numFmtId="188" fontId="2" fillId="70" borderId="127" applyFont="0">
      <alignment horizontal="right" vertical="center"/>
    </xf>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168" fontId="93"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168" fontId="93"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169" fontId="93"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0" fontId="46" fillId="0" borderId="146" applyNumberFormat="0" applyFill="0" applyAlignment="0" applyProtection="0"/>
    <xf numFmtId="168" fontId="93" fillId="0" borderId="146" applyNumberFormat="0" applyFill="0" applyAlignment="0" applyProtection="0"/>
    <xf numFmtId="169" fontId="93" fillId="0" borderId="146" applyNumberFormat="0" applyFill="0" applyAlignment="0" applyProtection="0"/>
    <xf numFmtId="168" fontId="93" fillId="0" borderId="146" applyNumberFormat="0" applyFill="0" applyAlignment="0" applyProtection="0"/>
    <xf numFmtId="168" fontId="93" fillId="0" borderId="146" applyNumberFormat="0" applyFill="0" applyAlignment="0" applyProtection="0"/>
    <xf numFmtId="169" fontId="93" fillId="0" borderId="146" applyNumberFormat="0" applyFill="0" applyAlignment="0" applyProtection="0"/>
    <xf numFmtId="168" fontId="93" fillId="0" borderId="146" applyNumberFormat="0" applyFill="0" applyAlignment="0" applyProtection="0"/>
    <xf numFmtId="168" fontId="93" fillId="0" borderId="146" applyNumberFormat="0" applyFill="0" applyAlignment="0" applyProtection="0"/>
    <xf numFmtId="169" fontId="93" fillId="0" borderId="146" applyNumberFormat="0" applyFill="0" applyAlignment="0" applyProtection="0"/>
    <xf numFmtId="168" fontId="93" fillId="0" borderId="146" applyNumberFormat="0" applyFill="0" applyAlignment="0" applyProtection="0"/>
    <xf numFmtId="168" fontId="93" fillId="0" borderId="146" applyNumberFormat="0" applyFill="0" applyAlignment="0" applyProtection="0"/>
    <xf numFmtId="169" fontId="93" fillId="0" borderId="146" applyNumberFormat="0" applyFill="0" applyAlignment="0" applyProtection="0"/>
    <xf numFmtId="168" fontId="93" fillId="0" borderId="146" applyNumberFormat="0" applyFill="0" applyAlignment="0" applyProtection="0"/>
    <xf numFmtId="0" fontId="46" fillId="0" borderId="146" applyNumberFormat="0" applyFill="0" applyAlignment="0" applyProtection="0"/>
    <xf numFmtId="0" fontId="46" fillId="0" borderId="150" applyNumberFormat="0" applyFill="0" applyAlignment="0" applyProtection="0"/>
    <xf numFmtId="168" fontId="93" fillId="0" borderId="150" applyNumberFormat="0" applyFill="0" applyAlignment="0" applyProtection="0"/>
    <xf numFmtId="169" fontId="93" fillId="0" borderId="150" applyNumberFormat="0" applyFill="0" applyAlignment="0" applyProtection="0"/>
    <xf numFmtId="168" fontId="93" fillId="0" borderId="150" applyNumberFormat="0" applyFill="0" applyAlignment="0" applyProtection="0"/>
    <xf numFmtId="168" fontId="93" fillId="0" borderId="150" applyNumberFormat="0" applyFill="0" applyAlignment="0" applyProtection="0"/>
    <xf numFmtId="169" fontId="93" fillId="0" borderId="150" applyNumberFormat="0" applyFill="0" applyAlignment="0" applyProtection="0"/>
    <xf numFmtId="168" fontId="93" fillId="0" borderId="150" applyNumberFormat="0" applyFill="0" applyAlignment="0" applyProtection="0"/>
    <xf numFmtId="168" fontId="93" fillId="0" borderId="150" applyNumberFormat="0" applyFill="0" applyAlignment="0" applyProtection="0"/>
    <xf numFmtId="169" fontId="93" fillId="0" borderId="150" applyNumberFormat="0" applyFill="0" applyAlignment="0" applyProtection="0"/>
    <xf numFmtId="168" fontId="93" fillId="0" borderId="150" applyNumberFormat="0" applyFill="0" applyAlignment="0" applyProtection="0"/>
    <xf numFmtId="168" fontId="93" fillId="0" borderId="150" applyNumberFormat="0" applyFill="0" applyAlignment="0" applyProtection="0"/>
    <xf numFmtId="169" fontId="93" fillId="0" borderId="150" applyNumberFormat="0" applyFill="0" applyAlignment="0" applyProtection="0"/>
    <xf numFmtId="168" fontId="93"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169" fontId="93"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168" fontId="93"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168" fontId="93"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0" fontId="46" fillId="0" borderId="150" applyNumberFormat="0" applyFill="0" applyAlignment="0" applyProtection="0"/>
    <xf numFmtId="188" fontId="2" fillId="70" borderId="127" applyFont="0">
      <alignment horizontal="right" vertical="center"/>
    </xf>
    <xf numFmtId="3" fontId="2" fillId="70" borderId="127" applyFont="0">
      <alignment horizontal="right" vertical="center"/>
    </xf>
    <xf numFmtId="0" fontId="82" fillId="64" borderId="149" applyNumberFormat="0" applyAlignment="0" applyProtection="0"/>
    <xf numFmtId="168" fontId="84" fillId="64" borderId="149" applyNumberFormat="0" applyAlignment="0" applyProtection="0"/>
    <xf numFmtId="169" fontId="84" fillId="64" borderId="149" applyNumberFormat="0" applyAlignment="0" applyProtection="0"/>
    <xf numFmtId="168" fontId="84" fillId="64" borderId="149" applyNumberFormat="0" applyAlignment="0" applyProtection="0"/>
    <xf numFmtId="168" fontId="84" fillId="64" borderId="149" applyNumberFormat="0" applyAlignment="0" applyProtection="0"/>
    <xf numFmtId="169" fontId="84" fillId="64" borderId="149" applyNumberFormat="0" applyAlignment="0" applyProtection="0"/>
    <xf numFmtId="168" fontId="84" fillId="64" borderId="149" applyNumberFormat="0" applyAlignment="0" applyProtection="0"/>
    <xf numFmtId="168" fontId="84" fillId="64" borderId="149" applyNumberFormat="0" applyAlignment="0" applyProtection="0"/>
    <xf numFmtId="169" fontId="84" fillId="64" borderId="149" applyNumberFormat="0" applyAlignment="0" applyProtection="0"/>
    <xf numFmtId="168" fontId="84" fillId="64" borderId="149" applyNumberFormat="0" applyAlignment="0" applyProtection="0"/>
    <xf numFmtId="168" fontId="84" fillId="64" borderId="149" applyNumberFormat="0" applyAlignment="0" applyProtection="0"/>
    <xf numFmtId="169" fontId="84" fillId="64" borderId="149" applyNumberFormat="0" applyAlignment="0" applyProtection="0"/>
    <xf numFmtId="168" fontId="84"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169" fontId="84"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168" fontId="84"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168" fontId="84"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0" fontId="82" fillId="64" borderId="149" applyNumberFormat="0" applyAlignment="0" applyProtection="0"/>
    <xf numFmtId="3" fontId="2" fillId="75" borderId="127" applyFont="0">
      <alignment horizontal="right" vertical="center"/>
      <protection locked="0"/>
    </xf>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 fillId="74" borderId="148" applyNumberFormat="0" applyFont="0" applyAlignment="0" applyProtection="0"/>
    <xf numFmtId="0" fontId="26"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0" fontId="26" fillId="74" borderId="148" applyNumberFormat="0" applyFont="0" applyAlignment="0" applyProtection="0"/>
    <xf numFmtId="3" fontId="2" fillId="72" borderId="127" applyFont="0">
      <alignment horizontal="right" vertical="center"/>
      <protection locked="0"/>
    </xf>
    <xf numFmtId="0" fontId="65" fillId="43" borderId="147" applyNumberFormat="0" applyAlignment="0" applyProtection="0"/>
    <xf numFmtId="168" fontId="67" fillId="43" borderId="147" applyNumberFormat="0" applyAlignment="0" applyProtection="0"/>
    <xf numFmtId="169" fontId="67" fillId="43" borderId="147" applyNumberFormat="0" applyAlignment="0" applyProtection="0"/>
    <xf numFmtId="168" fontId="67" fillId="43" borderId="147" applyNumberFormat="0" applyAlignment="0" applyProtection="0"/>
    <xf numFmtId="168" fontId="67" fillId="43" borderId="147" applyNumberFormat="0" applyAlignment="0" applyProtection="0"/>
    <xf numFmtId="169" fontId="67" fillId="43" borderId="147" applyNumberFormat="0" applyAlignment="0" applyProtection="0"/>
    <xf numFmtId="168" fontId="67" fillId="43" borderId="147" applyNumberFormat="0" applyAlignment="0" applyProtection="0"/>
    <xf numFmtId="168" fontId="67" fillId="43" borderId="147" applyNumberFormat="0" applyAlignment="0" applyProtection="0"/>
    <xf numFmtId="169" fontId="67" fillId="43" borderId="147" applyNumberFormat="0" applyAlignment="0" applyProtection="0"/>
    <xf numFmtId="168" fontId="67" fillId="43" borderId="147" applyNumberFormat="0" applyAlignment="0" applyProtection="0"/>
    <xf numFmtId="168" fontId="67" fillId="43" borderId="147" applyNumberFormat="0" applyAlignment="0" applyProtection="0"/>
    <xf numFmtId="169" fontId="67" fillId="43" borderId="147" applyNumberFormat="0" applyAlignment="0" applyProtection="0"/>
    <xf numFmtId="168" fontId="67"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169" fontId="67"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168" fontId="67"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168" fontId="67"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65" fillId="43" borderId="147" applyNumberFormat="0" applyAlignment="0" applyProtection="0"/>
    <xf numFmtId="0" fontId="2" fillId="71" borderId="130" applyNumberFormat="0" applyFont="0" applyBorder="0" applyProtection="0">
      <alignment horizontal="left" vertical="center"/>
    </xf>
    <xf numFmtId="9" fontId="2" fillId="71" borderId="127" applyFont="0" applyProtection="0">
      <alignment horizontal="right" vertical="center"/>
    </xf>
    <xf numFmtId="3" fontId="2" fillId="71" borderId="127" applyFont="0" applyProtection="0">
      <alignment horizontal="right" vertical="center"/>
    </xf>
    <xf numFmtId="0" fontId="61" fillId="70" borderId="130" applyFont="0" applyBorder="0">
      <alignment horizontal="center" wrapText="1"/>
    </xf>
    <xf numFmtId="168" fontId="53" fillId="0" borderId="132">
      <alignment horizontal="left" vertical="center"/>
    </xf>
    <xf numFmtId="0" fontId="53" fillId="0" borderId="132">
      <alignment horizontal="left" vertical="center"/>
    </xf>
    <xf numFmtId="0" fontId="53" fillId="0" borderId="132">
      <alignment horizontal="left" vertical="center"/>
    </xf>
    <xf numFmtId="0" fontId="2" fillId="69" borderId="127" applyNumberFormat="0" applyFont="0" applyBorder="0" applyProtection="0">
      <alignment horizontal="center" vertical="center"/>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5" fillId="0" borderId="127" applyNumberFormat="0" applyAlignment="0">
      <alignment horizontal="right"/>
      <protection locked="0"/>
    </xf>
    <xf numFmtId="0" fontId="37" fillId="64" borderId="147" applyNumberFormat="0" applyAlignment="0" applyProtection="0"/>
    <xf numFmtId="168" fontId="39" fillId="64" borderId="147" applyNumberFormat="0" applyAlignment="0" applyProtection="0"/>
    <xf numFmtId="169" fontId="39" fillId="64" borderId="147" applyNumberFormat="0" applyAlignment="0" applyProtection="0"/>
    <xf numFmtId="168" fontId="39" fillId="64" borderId="147" applyNumberFormat="0" applyAlignment="0" applyProtection="0"/>
    <xf numFmtId="168" fontId="39" fillId="64" borderId="147" applyNumberFormat="0" applyAlignment="0" applyProtection="0"/>
    <xf numFmtId="169" fontId="39" fillId="64" borderId="147" applyNumberFormat="0" applyAlignment="0" applyProtection="0"/>
    <xf numFmtId="168" fontId="39" fillId="64" borderId="147" applyNumberFormat="0" applyAlignment="0" applyProtection="0"/>
    <xf numFmtId="168" fontId="39" fillId="64" borderId="147" applyNumberFormat="0" applyAlignment="0" applyProtection="0"/>
    <xf numFmtId="169" fontId="39" fillId="64" borderId="147" applyNumberFormat="0" applyAlignment="0" applyProtection="0"/>
    <xf numFmtId="168" fontId="39" fillId="64" borderId="147" applyNumberFormat="0" applyAlignment="0" applyProtection="0"/>
    <xf numFmtId="168" fontId="39" fillId="64" borderId="147" applyNumberFormat="0" applyAlignment="0" applyProtection="0"/>
    <xf numFmtId="169" fontId="39" fillId="64" borderId="147" applyNumberFormat="0" applyAlignment="0" applyProtection="0"/>
    <xf numFmtId="168" fontId="39"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169" fontId="39"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168" fontId="39"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168" fontId="39"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37" fillId="64" borderId="147" applyNumberFormat="0" applyAlignment="0" applyProtection="0"/>
    <xf numFmtId="0" fontId="2" fillId="0" borderId="0"/>
  </cellStyleXfs>
  <cellXfs count="98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0" fontId="4" fillId="0" borderId="3" xfId="0" applyFont="1" applyBorder="1"/>
    <xf numFmtId="0" fontId="8" fillId="0" borderId="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4"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6" fillId="0" borderId="0" xfId="0" applyFont="1" applyBorder="1"/>
    <xf numFmtId="0" fontId="5" fillId="0" borderId="0" xfId="0" applyFont="1" applyAlignment="1">
      <alignment horizontal="center"/>
    </xf>
    <xf numFmtId="0" fontId="9" fillId="0" borderId="0" xfId="0" applyFont="1" applyFill="1" applyBorder="1" applyAlignment="1">
      <alignment horizontal="center"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4" fillId="0" borderId="0" xfId="0" applyFont="1" applyBorder="1" applyAlignment="1">
      <alignment horizontal="center" vertical="center" wrapText="1"/>
    </xf>
    <xf numFmtId="0" fontId="6" fillId="3" borderId="3" xfId="9" applyFont="1" applyFill="1" applyBorder="1" applyAlignment="1" applyProtection="1">
      <alignment horizontal="left" vertical="center" wrapText="1"/>
      <protection locked="0"/>
    </xf>
    <xf numFmtId="0" fontId="4" fillId="0" borderId="12" xfId="0" applyFont="1" applyBorder="1"/>
    <xf numFmtId="0" fontId="22" fillId="0" borderId="3" xfId="0" applyFont="1" applyBorder="1"/>
    <xf numFmtId="0" fontId="21"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12" xfId="1" applyNumberFormat="1" applyFont="1" applyFill="1" applyBorder="1" applyAlignment="1" applyProtection="1">
      <alignment horizontal="center" vertical="center" wrapText="1"/>
      <protection locked="0"/>
    </xf>
    <xf numFmtId="164" fontId="6" fillId="3" borderId="13" xfId="1" applyNumberFormat="1" applyFont="1" applyFill="1" applyBorder="1" applyAlignment="1" applyProtection="1">
      <alignment horizontal="center" vertical="center" wrapText="1"/>
      <protection locked="0"/>
    </xf>
    <xf numFmtId="0" fontId="4" fillId="0" borderId="9" xfId="0" applyFont="1" applyBorder="1"/>
    <xf numFmtId="0" fontId="4" fillId="0" borderId="11" xfId="0" applyFont="1" applyBorder="1"/>
    <xf numFmtId="0" fontId="6" fillId="3" borderId="15" xfId="9" applyFont="1" applyFill="1" applyBorder="1" applyAlignment="1" applyProtection="1">
      <alignment horizontal="left" vertical="center"/>
      <protection locked="0"/>
    </xf>
    <xf numFmtId="0" fontId="14" fillId="3" borderId="1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0" xfId="11" applyFont="1" applyFill="1" applyBorder="1" applyAlignment="1" applyProtection="1">
      <alignment vertical="center"/>
    </xf>
    <xf numFmtId="0" fontId="4" fillId="0" borderId="12" xfId="0" applyFont="1" applyBorder="1" applyAlignment="1">
      <alignment vertical="center"/>
    </xf>
    <xf numFmtId="0" fontId="4" fillId="0" borderId="46" xfId="0" applyFont="1" applyBorder="1"/>
    <xf numFmtId="0" fontId="19" fillId="0" borderId="15" xfId="0" applyFont="1" applyBorder="1" applyAlignment="1">
      <alignment horizontal="center" vertical="center" wrapText="1"/>
    </xf>
    <xf numFmtId="0" fontId="4" fillId="0" borderId="47" xfId="0" applyFont="1" applyBorder="1"/>
    <xf numFmtId="0" fontId="6" fillId="0" borderId="9" xfId="9" applyFont="1" applyFill="1" applyBorder="1" applyAlignment="1" applyProtection="1">
      <alignment horizontal="center" vertical="center"/>
      <protection locked="0"/>
    </xf>
    <xf numFmtId="164" fontId="6" fillId="3" borderId="11" xfId="2" applyNumberFormat="1" applyFont="1" applyFill="1" applyBorder="1" applyAlignment="1" applyProtection="1">
      <alignment horizontal="center" vertical="center"/>
      <protection locked="0"/>
    </xf>
    <xf numFmtId="0" fontId="0" fillId="0" borderId="0" xfId="0" applyFont="1" applyFill="1"/>
    <xf numFmtId="0" fontId="4" fillId="0" borderId="50" xfId="0" applyFont="1" applyBorder="1"/>
    <xf numFmtId="0" fontId="4" fillId="0" borderId="10" xfId="0" applyFont="1" applyBorder="1"/>
    <xf numFmtId="0" fontId="4" fillId="0" borderId="15" xfId="0" applyFont="1" applyBorder="1"/>
    <xf numFmtId="0" fontId="11" fillId="0" borderId="0" xfId="0" applyFont="1" applyAlignment="1"/>
    <xf numFmtId="0" fontId="6" fillId="3" borderId="12" xfId="5" applyFont="1" applyFill="1" applyBorder="1" applyAlignment="1" applyProtection="1">
      <alignment horizontal="right" vertical="center"/>
      <protection locked="0"/>
    </xf>
    <xf numFmtId="0" fontId="14" fillId="3" borderId="16" xfId="16" applyFont="1" applyFill="1" applyBorder="1" applyAlignment="1" applyProtection="1">
      <protection locked="0"/>
    </xf>
    <xf numFmtId="0" fontId="4" fillId="0" borderId="10" xfId="0" applyFont="1" applyBorder="1" applyAlignment="1">
      <alignment wrapText="1"/>
    </xf>
    <xf numFmtId="0" fontId="4" fillId="0" borderId="11" xfId="0" applyFont="1" applyBorder="1" applyAlignment="1">
      <alignment wrapText="1"/>
    </xf>
    <xf numFmtId="0" fontId="5" fillId="0" borderId="16" xfId="0" applyFont="1" applyBorder="1"/>
    <xf numFmtId="0" fontId="8" fillId="3" borderId="12" xfId="5" applyFont="1" applyFill="1" applyBorder="1" applyAlignment="1" applyProtection="1">
      <alignment horizontal="left" vertical="center"/>
      <protection locked="0"/>
    </xf>
    <xf numFmtId="0" fontId="8" fillId="3" borderId="13" xfId="13" applyFont="1" applyFill="1" applyBorder="1" applyAlignment="1" applyProtection="1">
      <alignment horizontal="center" vertical="center" wrapText="1"/>
      <protection locked="0"/>
    </xf>
    <xf numFmtId="0" fontId="8" fillId="3" borderId="12" xfId="5" applyFont="1" applyFill="1" applyBorder="1" applyAlignment="1" applyProtection="1">
      <alignment horizontal="right" vertical="center"/>
      <protection locked="0"/>
    </xf>
    <xf numFmtId="3" fontId="8" fillId="36" borderId="13" xfId="5" applyNumberFormat="1" applyFont="1" applyFill="1" applyBorder="1" applyProtection="1">
      <protection locked="0"/>
    </xf>
    <xf numFmtId="0" fontId="8" fillId="3" borderId="15" xfId="9" applyFont="1" applyFill="1" applyBorder="1" applyAlignment="1" applyProtection="1">
      <alignment horizontal="right" vertical="center"/>
      <protection locked="0"/>
    </xf>
    <xf numFmtId="0" fontId="9" fillId="3" borderId="16" xfId="16" applyFont="1" applyFill="1" applyBorder="1" applyAlignment="1" applyProtection="1">
      <protection locked="0"/>
    </xf>
    <xf numFmtId="3" fontId="9" fillId="36" borderId="16" xfId="16" applyNumberFormat="1" applyFont="1" applyFill="1" applyBorder="1" applyAlignment="1" applyProtection="1">
      <protection locked="0"/>
    </xf>
    <xf numFmtId="164" fontId="9" fillId="36" borderId="17" xfId="1" applyNumberFormat="1" applyFont="1" applyFill="1" applyBorder="1" applyAlignment="1" applyProtection="1">
      <protection locked="0"/>
    </xf>
    <xf numFmtId="0" fontId="4" fillId="0" borderId="46" xfId="0" applyFont="1" applyBorder="1" applyAlignment="1">
      <alignment horizontal="center"/>
    </xf>
    <xf numFmtId="0" fontId="4" fillId="0" borderId="47"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6" fillId="3" borderId="3" xfId="13" applyFont="1" applyFill="1" applyBorder="1" applyAlignment="1" applyProtection="1">
      <alignment horizontal="left" vertical="center"/>
      <protection locked="0"/>
    </xf>
    <xf numFmtId="0" fontId="4" fillId="0" borderId="1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8" fillId="0" borderId="2" xfId="20960" applyFont="1" applyFill="1" applyBorder="1" applyAlignment="1" applyProtection="1">
      <alignment horizontal="left" wrapText="1" indent="1"/>
    </xf>
    <xf numFmtId="0" fontId="17" fillId="0" borderId="0" xfId="11" applyFont="1" applyFill="1" applyBorder="1" applyAlignment="1" applyProtection="1">
      <alignment horizontal="right"/>
    </xf>
    <xf numFmtId="0" fontId="0" fillId="0" borderId="9" xfId="0" applyBorder="1" applyAlignment="1">
      <alignment horizontal="center" vertical="center"/>
    </xf>
    <xf numFmtId="0" fontId="5" fillId="36" borderId="20" xfId="0" applyFont="1" applyFill="1" applyBorder="1" applyAlignment="1">
      <alignment wrapText="1"/>
    </xf>
    <xf numFmtId="0" fontId="4" fillId="0" borderId="6" xfId="0" applyFont="1" applyFill="1" applyBorder="1" applyAlignment="1">
      <alignment vertical="center" wrapText="1"/>
    </xf>
    <xf numFmtId="0" fontId="5" fillId="36" borderId="6" xfId="0" applyFont="1" applyFill="1" applyBorder="1" applyAlignment="1">
      <alignment wrapText="1"/>
    </xf>
    <xf numFmtId="0" fontId="5" fillId="36" borderId="5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12" xfId="0" applyFont="1" applyBorder="1" applyAlignment="1">
      <alignment horizontal="center" vertical="center" wrapText="1"/>
    </xf>
    <xf numFmtId="0" fontId="4" fillId="0" borderId="6" xfId="0" applyFont="1" applyFill="1" applyBorder="1" applyAlignment="1"/>
    <xf numFmtId="0" fontId="4" fillId="0" borderId="6" xfId="0" applyFont="1" applyBorder="1" applyAlignment="1">
      <alignment wrapText="1"/>
    </xf>
    <xf numFmtId="0" fontId="4" fillId="0" borderId="15" xfId="0" applyFont="1" applyBorder="1" applyAlignment="1">
      <alignment horizontal="center" vertical="center" wrapText="1"/>
    </xf>
    <xf numFmtId="0" fontId="4" fillId="0" borderId="6" xfId="0" applyFont="1" applyFill="1" applyBorder="1" applyAlignment="1">
      <alignment vertical="center"/>
    </xf>
    <xf numFmtId="0" fontId="9" fillId="0" borderId="0" xfId="11" applyFont="1" applyFill="1" applyBorder="1" applyAlignment="1" applyProtection="1">
      <alignment horizontal="center"/>
    </xf>
    <xf numFmtId="0" fontId="17" fillId="0" borderId="0" xfId="0" applyFont="1" applyFill="1" applyBorder="1" applyAlignment="1" applyProtection="1">
      <alignment horizontal="right"/>
      <protection locked="0"/>
    </xf>
    <xf numFmtId="0" fontId="4" fillId="0" borderId="56" xfId="0" applyFont="1" applyBorder="1" applyAlignment="1">
      <alignment vertical="center" wrapText="1"/>
    </xf>
    <xf numFmtId="0" fontId="5" fillId="0" borderId="4"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15" xfId="0" applyFont="1" applyFill="1" applyBorder="1" applyAlignment="1">
      <alignment horizontal="center" vertical="center"/>
    </xf>
    <xf numFmtId="0" fontId="105" fillId="0" borderId="0" xfId="0" applyFont="1" applyFill="1" applyBorder="1" applyAlignment="1"/>
    <xf numFmtId="49" fontId="105" fillId="0" borderId="4" xfId="0" applyNumberFormat="1" applyFont="1" applyFill="1" applyBorder="1" applyAlignment="1">
      <alignment horizontal="right" vertical="center"/>
    </xf>
    <xf numFmtId="49" fontId="105" fillId="0" borderId="63" xfId="0" applyNumberFormat="1" applyFont="1" applyFill="1" applyBorder="1" applyAlignment="1">
      <alignment horizontal="right" vertical="center"/>
    </xf>
    <xf numFmtId="49" fontId="105" fillId="0" borderId="66" xfId="0" applyNumberFormat="1" applyFont="1" applyFill="1" applyBorder="1" applyAlignment="1">
      <alignment horizontal="right" vertical="center"/>
    </xf>
    <xf numFmtId="49" fontId="105" fillId="0" borderId="71"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71"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8" fillId="0" borderId="0" xfId="0" applyFont="1" applyBorder="1" applyAlignment="1">
      <alignment horizontal="left" wrapText="1"/>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3" fontId="20" fillId="36" borderId="16" xfId="0" applyNumberFormat="1" applyFont="1" applyFill="1" applyBorder="1" applyAlignment="1">
      <alignment vertical="center" wrapText="1"/>
    </xf>
    <xf numFmtId="3" fontId="20" fillId="36" borderId="17" xfId="0" applyNumberFormat="1" applyFont="1" applyFill="1" applyBorder="1" applyAlignment="1">
      <alignment vertical="center" wrapText="1"/>
    </xf>
    <xf numFmtId="193" fontId="0" fillId="36" borderId="11" xfId="0" applyNumberFormat="1" applyFill="1" applyBorder="1" applyAlignment="1">
      <alignment horizontal="center" vertical="center"/>
    </xf>
    <xf numFmtId="193" fontId="0" fillId="36" borderId="13" xfId="0" applyNumberFormat="1" applyFill="1" applyBorder="1" applyAlignment="1">
      <alignment horizontal="center" vertical="center" wrapText="1"/>
    </xf>
    <xf numFmtId="193" fontId="0" fillId="36" borderId="17" xfId="0" applyNumberFormat="1" applyFill="1" applyBorder="1" applyAlignment="1">
      <alignment horizontal="center" vertical="center" wrapText="1"/>
    </xf>
    <xf numFmtId="193" fontId="4" fillId="36" borderId="16" xfId="0" applyNumberFormat="1" applyFont="1" applyFill="1" applyBorder="1"/>
    <xf numFmtId="193" fontId="4" fillId="0" borderId="12" xfId="0" applyNumberFormat="1" applyFont="1" applyBorder="1" applyAlignment="1"/>
    <xf numFmtId="193" fontId="4" fillId="36" borderId="43" xfId="0" applyNumberFormat="1" applyFont="1" applyFill="1" applyBorder="1" applyAlignment="1"/>
    <xf numFmtId="193" fontId="4" fillId="36" borderId="15" xfId="0" applyNumberFormat="1" applyFont="1" applyFill="1" applyBorder="1"/>
    <xf numFmtId="193" fontId="4" fillId="36" borderId="17" xfId="0" applyNumberFormat="1" applyFont="1" applyFill="1" applyBorder="1"/>
    <xf numFmtId="193" fontId="4" fillId="36" borderId="44" xfId="0" applyNumberFormat="1" applyFont="1" applyFill="1" applyBorder="1"/>
    <xf numFmtId="193" fontId="4" fillId="0" borderId="3" xfId="0" applyNumberFormat="1" applyFont="1" applyBorder="1"/>
    <xf numFmtId="193" fontId="4" fillId="0" borderId="3"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16"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16" xfId="1" applyNumberFormat="1" applyFont="1" applyFill="1" applyBorder="1" applyAlignment="1" applyProtection="1">
      <protection locked="0"/>
    </xf>
    <xf numFmtId="193" fontId="8" fillId="3" borderId="16" xfId="5" applyNumberFormat="1" applyFont="1" applyFill="1" applyBorder="1" applyProtection="1">
      <protection locked="0"/>
    </xf>
    <xf numFmtId="193" fontId="22" fillId="0" borderId="0" xfId="0" applyNumberFormat="1" applyFont="1"/>
    <xf numFmtId="0" fontId="4" fillId="0" borderId="19" xfId="0" applyFont="1" applyBorder="1" applyAlignment="1">
      <alignment horizontal="center" vertical="center"/>
    </xf>
    <xf numFmtId="0" fontId="4" fillId="0" borderId="19" xfId="0" applyFont="1" applyBorder="1" applyAlignment="1">
      <alignment wrapText="1"/>
    </xf>
    <xf numFmtId="193" fontId="4" fillId="0" borderId="5" xfId="0" applyNumberFormat="1" applyFont="1" applyBorder="1"/>
    <xf numFmtId="193" fontId="4" fillId="0" borderId="14" xfId="0" applyNumberFormat="1" applyFont="1" applyBorder="1" applyAlignment="1"/>
    <xf numFmtId="193" fontId="4" fillId="0" borderId="1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6"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13" xfId="20961" applyFont="1" applyBorder="1"/>
    <xf numFmtId="9" fontId="4" fillId="36" borderId="17" xfId="20961" applyFont="1" applyFill="1" applyBorder="1"/>
    <xf numFmtId="0" fontId="8" fillId="0" borderId="9" xfId="0" applyFont="1" applyFill="1" applyBorder="1" applyAlignment="1">
      <alignment horizontal="right" vertical="center" wrapText="1"/>
    </xf>
    <xf numFmtId="0" fontId="6" fillId="0" borderId="10" xfId="0" applyFont="1" applyFill="1" applyBorder="1" applyAlignment="1">
      <alignment vertical="center" wrapText="1"/>
    </xf>
    <xf numFmtId="0" fontId="4" fillId="0" borderId="4" xfId="0" applyFont="1" applyFill="1" applyBorder="1" applyAlignment="1">
      <alignment vertical="center"/>
    </xf>
    <xf numFmtId="0" fontId="4" fillId="0" borderId="85" xfId="0" applyFont="1" applyFill="1" applyBorder="1" applyAlignment="1">
      <alignment vertical="center"/>
    </xf>
    <xf numFmtId="0" fontId="5" fillId="0" borderId="85" xfId="0" applyFont="1" applyFill="1" applyBorder="1" applyAlignment="1">
      <alignment vertical="center"/>
    </xf>
    <xf numFmtId="0" fontId="4" fillId="0" borderId="1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0" borderId="9"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169" fontId="25" fillId="37" borderId="22" xfId="20" applyBorder="1"/>
    <xf numFmtId="169" fontId="25" fillId="37" borderId="95" xfId="20" applyBorder="1"/>
    <xf numFmtId="169" fontId="25" fillId="37" borderId="87" xfId="20" applyBorder="1"/>
    <xf numFmtId="169" fontId="25" fillId="37" borderId="47" xfId="20" applyBorder="1"/>
    <xf numFmtId="0" fontId="4" fillId="3" borderId="50" xfId="0" applyFont="1" applyFill="1" applyBorder="1" applyAlignment="1">
      <alignment horizontal="center" vertical="center"/>
    </xf>
    <xf numFmtId="0" fontId="4" fillId="3" borderId="0" xfId="0" applyFont="1" applyFill="1" applyBorder="1" applyAlignment="1">
      <alignment vertical="center"/>
    </xf>
    <xf numFmtId="0" fontId="4" fillId="0" borderId="56" xfId="0" applyFont="1" applyFill="1" applyBorder="1" applyAlignment="1">
      <alignment horizontal="center" vertical="center"/>
    </xf>
    <xf numFmtId="0" fontId="4" fillId="3" borderId="83" xfId="0" applyFont="1" applyFill="1" applyBorder="1" applyAlignment="1">
      <alignment vertical="center"/>
    </xf>
    <xf numFmtId="0" fontId="13" fillId="3" borderId="96" xfId="0" applyFont="1" applyFill="1" applyBorder="1" applyAlignment="1">
      <alignment horizontal="left"/>
    </xf>
    <xf numFmtId="0" fontId="13" fillId="3" borderId="97" xfId="0" applyFont="1" applyFill="1" applyBorder="1" applyAlignment="1">
      <alignment horizontal="left"/>
    </xf>
    <xf numFmtId="0" fontId="4" fillId="0" borderId="0" xfId="0" applyFont="1"/>
    <xf numFmtId="0" fontId="4" fillId="0" borderId="0" xfId="0" applyFont="1" applyFill="1"/>
    <xf numFmtId="0" fontId="4" fillId="0" borderId="85" xfId="0" applyFont="1" applyFill="1" applyBorder="1" applyAlignment="1">
      <alignment horizontal="center" vertical="center" wrapText="1"/>
    </xf>
    <xf numFmtId="0" fontId="105" fillId="0" borderId="73" xfId="0" applyFont="1" applyFill="1" applyBorder="1" applyAlignment="1">
      <alignment horizontal="right" vertical="center"/>
    </xf>
    <xf numFmtId="0" fontId="4" fillId="0" borderId="98" xfId="0" applyFont="1" applyFill="1" applyBorder="1" applyAlignment="1">
      <alignment horizontal="center" vertical="center" wrapText="1"/>
    </xf>
    <xf numFmtId="0" fontId="5" fillId="3" borderId="99" xfId="0" applyFont="1" applyFill="1" applyBorder="1" applyAlignment="1">
      <alignment vertical="center"/>
    </xf>
    <xf numFmtId="0" fontId="4" fillId="0" borderId="100" xfId="0" applyFont="1" applyFill="1" applyBorder="1" applyAlignment="1">
      <alignment horizontal="center" vertical="center"/>
    </xf>
    <xf numFmtId="0" fontId="5" fillId="0" borderId="16" xfId="0" applyFont="1" applyFill="1" applyBorder="1" applyAlignment="1">
      <alignment vertical="center"/>
    </xf>
    <xf numFmtId="169" fontId="25" fillId="37" borderId="18" xfId="20" applyBorder="1"/>
    <xf numFmtId="0" fontId="6" fillId="0" borderId="9" xfId="11" applyFont="1" applyFill="1" applyBorder="1" applyAlignment="1" applyProtection="1">
      <alignment vertical="center"/>
    </xf>
    <xf numFmtId="0" fontId="6" fillId="0" borderId="10" xfId="11" applyFont="1" applyFill="1" applyBorder="1" applyAlignment="1" applyProtection="1">
      <alignment vertical="center"/>
    </xf>
    <xf numFmtId="193" fontId="0" fillId="0" borderId="13" xfId="0" applyNumberFormat="1" applyFill="1" applyBorder="1" applyAlignment="1">
      <alignment wrapText="1"/>
    </xf>
    <xf numFmtId="0" fontId="6" fillId="0" borderId="0" xfId="0" applyFont="1" applyFill="1" applyAlignment="1">
      <alignment wrapText="1"/>
    </xf>
    <xf numFmtId="0" fontId="5" fillId="36" borderId="10" xfId="0" applyFont="1" applyFill="1" applyBorder="1" applyAlignment="1">
      <alignment horizontal="center" vertical="center" wrapText="1"/>
    </xf>
    <xf numFmtId="0" fontId="5" fillId="36" borderId="100" xfId="0" applyFont="1" applyFill="1" applyBorder="1" applyAlignment="1">
      <alignment horizontal="left" vertical="center" wrapText="1"/>
    </xf>
    <xf numFmtId="0" fontId="5" fillId="36" borderId="85" xfId="0" applyFont="1" applyFill="1" applyBorder="1" applyAlignment="1">
      <alignment horizontal="left" vertical="center" wrapText="1"/>
    </xf>
    <xf numFmtId="0" fontId="4" fillId="0" borderId="100" xfId="0" applyFont="1" applyFill="1" applyBorder="1" applyAlignment="1">
      <alignment horizontal="right" vertical="center" wrapText="1"/>
    </xf>
    <xf numFmtId="0" fontId="4" fillId="0" borderId="85" xfId="0" applyFont="1" applyFill="1" applyBorder="1" applyAlignment="1">
      <alignment horizontal="left" vertical="center" wrapText="1"/>
    </xf>
    <xf numFmtId="0" fontId="108" fillId="0" borderId="100" xfId="0" applyFont="1" applyFill="1" applyBorder="1" applyAlignment="1">
      <alignment horizontal="right" vertical="center" wrapText="1"/>
    </xf>
    <xf numFmtId="0" fontId="108" fillId="0" borderId="85"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15" xfId="5" applyNumberFormat="1" applyFont="1" applyFill="1" applyBorder="1" applyAlignment="1" applyProtection="1">
      <alignment horizontal="left" vertical="center"/>
      <protection locked="0"/>
    </xf>
    <xf numFmtId="0" fontId="110" fillId="0" borderId="16" xfId="9" applyFont="1" applyFill="1" applyBorder="1" applyAlignment="1" applyProtection="1">
      <alignment horizontal="left" vertical="center" wrapText="1"/>
      <protection locked="0"/>
    </xf>
    <xf numFmtId="0" fontId="19" fillId="0" borderId="100" xfId="0" applyFont="1" applyBorder="1" applyAlignment="1">
      <alignment horizontal="center" vertical="center" wrapText="1"/>
    </xf>
    <xf numFmtId="3" fontId="20" fillId="36" borderId="85" xfId="0" applyNumberFormat="1" applyFont="1" applyFill="1" applyBorder="1" applyAlignment="1">
      <alignment vertical="center" wrapText="1"/>
    </xf>
    <xf numFmtId="3" fontId="20" fillId="36" borderId="98" xfId="0" applyNumberFormat="1" applyFont="1" applyFill="1" applyBorder="1" applyAlignment="1">
      <alignment vertical="center" wrapText="1"/>
    </xf>
    <xf numFmtId="14" fontId="6" fillId="3" borderId="85" xfId="8" quotePrefix="1" applyNumberFormat="1" applyFont="1" applyFill="1" applyBorder="1" applyAlignment="1" applyProtection="1">
      <alignment horizontal="left" vertical="center" wrapText="1" indent="2"/>
      <protection locked="0"/>
    </xf>
    <xf numFmtId="3" fontId="20" fillId="0" borderId="85" xfId="0" applyNumberFormat="1" applyFont="1" applyBorder="1" applyAlignment="1">
      <alignment vertical="center" wrapText="1"/>
    </xf>
    <xf numFmtId="14" fontId="6" fillId="3" borderId="85" xfId="8" quotePrefix="1" applyNumberFormat="1" applyFont="1" applyFill="1" applyBorder="1" applyAlignment="1" applyProtection="1">
      <alignment horizontal="left" vertical="center" wrapText="1" indent="3"/>
      <protection locked="0"/>
    </xf>
    <xf numFmtId="0" fontId="10" fillId="0" borderId="85" xfId="17" applyFill="1" applyBorder="1" applyAlignment="1" applyProtection="1"/>
    <xf numFmtId="49" fontId="108" fillId="0" borderId="100" xfId="0" applyNumberFormat="1" applyFont="1" applyFill="1" applyBorder="1" applyAlignment="1">
      <alignment horizontal="right" vertical="center" wrapText="1"/>
    </xf>
    <xf numFmtId="0" fontId="6" fillId="3" borderId="85" xfId="20960" applyFont="1" applyFill="1" applyBorder="1" applyAlignment="1" applyProtection="1"/>
    <xf numFmtId="0" fontId="102" fillId="0" borderId="85" xfId="20960" applyFont="1" applyFill="1" applyBorder="1" applyAlignment="1" applyProtection="1">
      <alignment horizontal="center" vertical="center"/>
    </xf>
    <xf numFmtId="0" fontId="4" fillId="0" borderId="85" xfId="0" applyFont="1" applyBorder="1"/>
    <xf numFmtId="0" fontId="10" fillId="0" borderId="85" xfId="17" applyFill="1" applyBorder="1" applyAlignment="1" applyProtection="1">
      <alignment horizontal="left" vertical="center" wrapText="1"/>
    </xf>
    <xf numFmtId="49" fontId="108" fillId="0" borderId="85" xfId="0" applyNumberFormat="1" applyFont="1" applyFill="1" applyBorder="1" applyAlignment="1">
      <alignment horizontal="right" vertical="center" wrapText="1"/>
    </xf>
    <xf numFmtId="0" fontId="10" fillId="0" borderId="85" xfId="17" applyFill="1" applyBorder="1" applyAlignment="1" applyProtection="1">
      <alignment horizontal="left" vertical="center"/>
    </xf>
    <xf numFmtId="0" fontId="4" fillId="0" borderId="85" xfId="0" applyFont="1" applyFill="1" applyBorder="1"/>
    <xf numFmtId="0" fontId="19" fillId="0" borderId="100" xfId="0" applyFont="1" applyFill="1" applyBorder="1" applyAlignment="1">
      <alignment horizontal="center" vertical="center" wrapText="1"/>
    </xf>
    <xf numFmtId="0" fontId="111" fillId="78" borderId="86" xfId="21412" applyFont="1" applyFill="1" applyBorder="1" applyAlignment="1" applyProtection="1">
      <alignment vertical="center" wrapText="1"/>
      <protection locked="0"/>
    </xf>
    <xf numFmtId="0" fontId="112" fillId="70" borderId="81" xfId="21412" applyFont="1" applyFill="1" applyBorder="1" applyAlignment="1" applyProtection="1">
      <alignment horizontal="center" vertical="center"/>
      <protection locked="0"/>
    </xf>
    <xf numFmtId="0" fontId="111" fillId="79" borderId="85" xfId="21412" applyFont="1" applyFill="1" applyBorder="1" applyAlignment="1" applyProtection="1">
      <alignment horizontal="center" vertical="center"/>
      <protection locked="0"/>
    </xf>
    <xf numFmtId="0" fontId="111" fillId="78" borderId="86" xfId="21412" applyFont="1" applyFill="1" applyBorder="1" applyAlignment="1" applyProtection="1">
      <alignment vertical="center"/>
      <protection locked="0"/>
    </xf>
    <xf numFmtId="0" fontId="113" fillId="70" borderId="81" xfId="21412" applyFont="1" applyFill="1" applyBorder="1" applyAlignment="1" applyProtection="1">
      <alignment horizontal="center" vertical="center"/>
      <protection locked="0"/>
    </xf>
    <xf numFmtId="0" fontId="113" fillId="3" borderId="81" xfId="21412" applyFont="1" applyFill="1" applyBorder="1" applyAlignment="1" applyProtection="1">
      <alignment horizontal="center" vertical="center"/>
      <protection locked="0"/>
    </xf>
    <xf numFmtId="0" fontId="113" fillId="0" borderId="81" xfId="21412" applyFont="1" applyFill="1" applyBorder="1" applyAlignment="1" applyProtection="1">
      <alignment horizontal="center" vertical="center"/>
      <protection locked="0"/>
    </xf>
    <xf numFmtId="0" fontId="114" fillId="79" borderId="85" xfId="21412" applyFont="1" applyFill="1" applyBorder="1" applyAlignment="1" applyProtection="1">
      <alignment horizontal="center" vertical="center"/>
      <protection locked="0"/>
    </xf>
    <xf numFmtId="0" fontId="111" fillId="78" borderId="86" xfId="21412" applyFont="1" applyFill="1" applyBorder="1" applyAlignment="1" applyProtection="1">
      <alignment horizontal="center" vertical="center"/>
      <protection locked="0"/>
    </xf>
    <xf numFmtId="0" fontId="61" fillId="78" borderId="86" xfId="21412" applyFont="1" applyFill="1" applyBorder="1" applyAlignment="1" applyProtection="1">
      <alignment vertical="center"/>
      <protection locked="0"/>
    </xf>
    <xf numFmtId="0" fontId="113" fillId="70" borderId="85" xfId="21412" applyFont="1" applyFill="1" applyBorder="1" applyAlignment="1" applyProtection="1">
      <alignment horizontal="center" vertical="center"/>
      <protection locked="0"/>
    </xf>
    <xf numFmtId="0" fontId="35" fillId="70" borderId="85" xfId="21412" applyFont="1" applyFill="1" applyBorder="1" applyAlignment="1" applyProtection="1">
      <alignment horizontal="center" vertical="center"/>
      <protection locked="0"/>
    </xf>
    <xf numFmtId="0" fontId="61" fillId="78" borderId="84" xfId="21412" applyFont="1" applyFill="1" applyBorder="1" applyAlignment="1" applyProtection="1">
      <alignment vertical="center"/>
      <protection locked="0"/>
    </xf>
    <xf numFmtId="0" fontId="112" fillId="0" borderId="84" xfId="21412" applyFont="1" applyFill="1" applyBorder="1" applyAlignment="1" applyProtection="1">
      <alignment horizontal="left" vertical="center" wrapText="1"/>
      <protection locked="0"/>
    </xf>
    <xf numFmtId="0" fontId="111" fillId="79" borderId="84" xfId="21412" applyFont="1" applyFill="1" applyBorder="1" applyAlignment="1" applyProtection="1">
      <alignment vertical="top" wrapText="1"/>
      <protection locked="0"/>
    </xf>
    <xf numFmtId="164" fontId="61" fillId="78" borderId="84" xfId="948" applyNumberFormat="1" applyFont="1" applyFill="1" applyBorder="1" applyAlignment="1" applyProtection="1">
      <alignment horizontal="right" vertical="center"/>
      <protection locked="0"/>
    </xf>
    <xf numFmtId="0" fontId="112" fillId="70" borderId="84" xfId="21412" applyFont="1" applyFill="1" applyBorder="1" applyAlignment="1" applyProtection="1">
      <alignment vertical="center" wrapText="1"/>
      <protection locked="0"/>
    </xf>
    <xf numFmtId="0" fontId="112" fillId="70" borderId="84" xfId="21412" applyFont="1" applyFill="1" applyBorder="1" applyAlignment="1" applyProtection="1">
      <alignment horizontal="left" vertical="center" wrapText="1"/>
      <protection locked="0"/>
    </xf>
    <xf numFmtId="0" fontId="112" fillId="0" borderId="84" xfId="21412" applyFont="1" applyFill="1" applyBorder="1" applyAlignment="1" applyProtection="1">
      <alignment vertical="center" wrapText="1"/>
      <protection locked="0"/>
    </xf>
    <xf numFmtId="0" fontId="112" fillId="3" borderId="84" xfId="21412" applyFont="1" applyFill="1" applyBorder="1" applyAlignment="1" applyProtection="1">
      <alignment horizontal="left" vertical="center" wrapText="1"/>
      <protection locked="0"/>
    </xf>
    <xf numFmtId="0" fontId="111" fillId="79" borderId="84" xfId="21412" applyFont="1" applyFill="1" applyBorder="1" applyAlignment="1" applyProtection="1">
      <alignment vertical="center" wrapText="1"/>
      <protection locked="0"/>
    </xf>
    <xf numFmtId="164" fontId="112" fillId="3" borderId="85" xfId="948" applyNumberFormat="1" applyFont="1" applyFill="1" applyBorder="1" applyAlignment="1" applyProtection="1">
      <alignment horizontal="right" vertical="center"/>
      <protection locked="0"/>
    </xf>
    <xf numFmtId="10" fontId="6" fillId="0" borderId="85" xfId="20961" applyNumberFormat="1" applyFont="1" applyFill="1" applyBorder="1" applyAlignment="1">
      <alignment horizontal="left" vertical="center" wrapText="1"/>
    </xf>
    <xf numFmtId="10" fontId="4" fillId="0" borderId="85" xfId="20961" applyNumberFormat="1" applyFont="1" applyFill="1" applyBorder="1" applyAlignment="1">
      <alignment horizontal="left" vertical="center" wrapText="1"/>
    </xf>
    <xf numFmtId="10" fontId="5" fillId="36" borderId="85" xfId="0" applyNumberFormat="1" applyFont="1" applyFill="1" applyBorder="1" applyAlignment="1">
      <alignment horizontal="left" vertical="center" wrapText="1"/>
    </xf>
    <xf numFmtId="10" fontId="108" fillId="0" borderId="85" xfId="20961" applyNumberFormat="1" applyFont="1" applyFill="1" applyBorder="1" applyAlignment="1">
      <alignment horizontal="left" vertical="center" wrapText="1"/>
    </xf>
    <xf numFmtId="10" fontId="5" fillId="36" borderId="85" xfId="20961" applyNumberFormat="1" applyFont="1" applyFill="1" applyBorder="1" applyAlignment="1">
      <alignment horizontal="left" vertical="center" wrapText="1"/>
    </xf>
    <xf numFmtId="10" fontId="5" fillId="36" borderId="85" xfId="0" applyNumberFormat="1" applyFont="1" applyFill="1" applyBorder="1" applyAlignment="1">
      <alignment horizontal="center" vertical="center" wrapText="1"/>
    </xf>
    <xf numFmtId="10" fontId="110" fillId="0" borderId="16" xfId="20961" applyNumberFormat="1" applyFont="1" applyFill="1" applyBorder="1" applyAlignment="1" applyProtection="1">
      <alignment horizontal="left" vertical="center"/>
    </xf>
    <xf numFmtId="43" fontId="6" fillId="0" borderId="0" xfId="7" applyFont="1"/>
    <xf numFmtId="0" fontId="106" fillId="0" borderId="0" xfId="0" applyFont="1" applyAlignment="1">
      <alignment wrapText="1"/>
    </xf>
    <xf numFmtId="0" fontId="4" fillId="0" borderId="85" xfId="0" applyFont="1" applyBorder="1" applyAlignment="1">
      <alignment vertical="center" wrapText="1"/>
    </xf>
    <xf numFmtId="0" fontId="4" fillId="0" borderId="85" xfId="0" applyFont="1" applyFill="1" applyBorder="1" applyAlignment="1">
      <alignment horizontal="left" vertical="center" wrapText="1" indent="2"/>
    </xf>
    <xf numFmtId="0" fontId="4" fillId="0" borderId="85" xfId="0" applyFont="1" applyFill="1" applyBorder="1" applyAlignment="1">
      <alignment vertical="center" wrapText="1"/>
    </xf>
    <xf numFmtId="3" fontId="20" fillId="36" borderId="86" xfId="0" applyNumberFormat="1" applyFont="1" applyFill="1" applyBorder="1" applyAlignment="1">
      <alignment vertical="center" wrapText="1"/>
    </xf>
    <xf numFmtId="3" fontId="20" fillId="36" borderId="14" xfId="0" applyNumberFormat="1" applyFont="1" applyFill="1" applyBorder="1" applyAlignment="1">
      <alignment vertical="center" wrapText="1"/>
    </xf>
    <xf numFmtId="3" fontId="20" fillId="36" borderId="18" xfId="0" applyNumberFormat="1" applyFont="1" applyFill="1" applyBorder="1" applyAlignment="1">
      <alignment vertical="center" wrapText="1"/>
    </xf>
    <xf numFmtId="3" fontId="20" fillId="36" borderId="29" xfId="0" applyNumberFormat="1" applyFont="1" applyFill="1" applyBorder="1" applyAlignment="1">
      <alignment vertical="center" wrapText="1"/>
    </xf>
    <xf numFmtId="0" fontId="5" fillId="0" borderId="16" xfId="0" applyFont="1" applyBorder="1" applyAlignment="1">
      <alignment vertical="center" wrapText="1"/>
    </xf>
    <xf numFmtId="0" fontId="9" fillId="0" borderId="11" xfId="0" applyFont="1" applyBorder="1" applyAlignment="1">
      <alignment horizontal="center"/>
    </xf>
    <xf numFmtId="0" fontId="2" fillId="0" borderId="10" xfId="0" applyNumberFormat="1" applyFont="1" applyFill="1" applyBorder="1" applyAlignment="1">
      <alignment horizontal="left" vertical="center" wrapText="1" indent="1"/>
    </xf>
    <xf numFmtId="0" fontId="2" fillId="0" borderId="11" xfId="0" applyNumberFormat="1" applyFont="1" applyFill="1" applyBorder="1" applyAlignment="1">
      <alignment horizontal="left" vertical="center" wrapText="1" indent="1"/>
    </xf>
    <xf numFmtId="14" fontId="4" fillId="0" borderId="0" xfId="0" applyNumberFormat="1" applyFont="1"/>
    <xf numFmtId="0" fontId="5" fillId="0" borderId="0" xfId="0" applyFont="1" applyAlignment="1">
      <alignment horizontal="center" wrapText="1"/>
    </xf>
    <xf numFmtId="0" fontId="4" fillId="3" borderId="46" xfId="0" applyFont="1" applyFill="1" applyBorder="1"/>
    <xf numFmtId="0" fontId="4" fillId="3" borderId="103" xfId="0" applyFont="1" applyFill="1" applyBorder="1" applyAlignment="1">
      <alignment wrapText="1"/>
    </xf>
    <xf numFmtId="0" fontId="4" fillId="3" borderId="104" xfId="0" applyFont="1" applyFill="1" applyBorder="1"/>
    <xf numFmtId="0" fontId="5" fillId="3" borderId="8" xfId="0" applyFont="1" applyFill="1" applyBorder="1" applyAlignment="1">
      <alignment horizontal="center" wrapText="1"/>
    </xf>
    <xf numFmtId="0" fontId="4" fillId="0" borderId="85" xfId="0" applyFont="1" applyFill="1" applyBorder="1" applyAlignment="1">
      <alignment horizontal="center"/>
    </xf>
    <xf numFmtId="0" fontId="4" fillId="0" borderId="85" xfId="0" applyFont="1" applyBorder="1" applyAlignment="1">
      <alignment horizontal="center"/>
    </xf>
    <xf numFmtId="0" fontId="4" fillId="3" borderId="5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79" xfId="0" applyFont="1" applyFill="1" applyBorder="1" applyAlignment="1">
      <alignment horizontal="center" vertical="center" wrapText="1"/>
    </xf>
    <xf numFmtId="0" fontId="4" fillId="0" borderId="100" xfId="0" applyFont="1" applyBorder="1"/>
    <xf numFmtId="0" fontId="4" fillId="0" borderId="85" xfId="0" applyFont="1" applyBorder="1" applyAlignment="1">
      <alignment wrapText="1"/>
    </xf>
    <xf numFmtId="164" fontId="4" fillId="0" borderId="85" xfId="7" applyNumberFormat="1" applyFont="1" applyBorder="1"/>
    <xf numFmtId="164" fontId="4" fillId="0" borderId="98" xfId="7" applyNumberFormat="1" applyFont="1" applyBorder="1"/>
    <xf numFmtId="0" fontId="13" fillId="0" borderId="85" xfId="0" applyFont="1" applyBorder="1" applyAlignment="1">
      <alignment horizontal="left" wrapText="1" indent="2"/>
    </xf>
    <xf numFmtId="169" fontId="25" fillId="37" borderId="85" xfId="20" applyBorder="1"/>
    <xf numFmtId="164" fontId="4" fillId="0" borderId="85" xfId="7" applyNumberFormat="1" applyFont="1" applyBorder="1" applyAlignment="1">
      <alignment vertical="center"/>
    </xf>
    <xf numFmtId="0" fontId="5" fillId="0" borderId="100" xfId="0" applyFont="1" applyBorder="1"/>
    <xf numFmtId="0" fontId="5" fillId="0" borderId="85" xfId="0" applyFont="1" applyBorder="1" applyAlignment="1">
      <alignment wrapText="1"/>
    </xf>
    <xf numFmtId="164" fontId="5" fillId="0" borderId="98" xfId="7" applyNumberFormat="1" applyFont="1" applyBorder="1"/>
    <xf numFmtId="0" fontId="3" fillId="3" borderId="5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79" xfId="7" applyNumberFormat="1" applyFont="1" applyFill="1" applyBorder="1"/>
    <xf numFmtId="164" fontId="4" fillId="0" borderId="85" xfId="7" applyNumberFormat="1" applyFont="1" applyFill="1" applyBorder="1"/>
    <xf numFmtId="164" fontId="4" fillId="0" borderId="85" xfId="7" applyNumberFormat="1" applyFont="1" applyFill="1" applyBorder="1" applyAlignment="1">
      <alignment vertical="center"/>
    </xf>
    <xf numFmtId="0" fontId="13" fillId="0" borderId="85"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79" xfId="0" applyFont="1" applyFill="1" applyBorder="1"/>
    <xf numFmtId="0" fontId="5" fillId="0" borderId="15" xfId="0" applyFont="1" applyBorder="1"/>
    <xf numFmtId="0" fontId="5" fillId="0" borderId="16" xfId="0" applyFont="1" applyBorder="1" applyAlignment="1">
      <alignment wrapText="1"/>
    </xf>
    <xf numFmtId="169" fontId="25" fillId="37" borderId="101" xfId="20" applyBorder="1"/>
    <xf numFmtId="10" fontId="5" fillId="0" borderId="17" xfId="20961" applyNumberFormat="1" applyFont="1" applyBorder="1"/>
    <xf numFmtId="0" fontId="5" fillId="3" borderId="0" xfId="0" applyFont="1" applyFill="1" applyBorder="1" applyAlignment="1">
      <alignment horizontal="center"/>
    </xf>
    <xf numFmtId="0" fontId="105" fillId="0" borderId="73" xfId="0" applyFont="1" applyFill="1" applyBorder="1" applyAlignment="1">
      <alignment horizontal="left" vertical="center"/>
    </xf>
    <xf numFmtId="0" fontId="105" fillId="0" borderId="71" xfId="0" applyFont="1" applyFill="1" applyBorder="1" applyAlignment="1">
      <alignment vertical="center" wrapText="1"/>
    </xf>
    <xf numFmtId="0" fontId="105" fillId="0" borderId="71"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Fill="1"/>
    <xf numFmtId="0" fontId="118" fillId="0" borderId="114" xfId="0" applyNumberFormat="1" applyFont="1" applyFill="1" applyBorder="1" applyAlignment="1">
      <alignment horizontal="left" vertical="center" wrapText="1"/>
    </xf>
    <xf numFmtId="0" fontId="124" fillId="0" borderId="0" xfId="0" applyFont="1"/>
    <xf numFmtId="49" fontId="105" fillId="0" borderId="85"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0" fillId="0" borderId="0" xfId="0" applyAlignment="1">
      <alignment horizontal="left" vertical="center"/>
    </xf>
    <xf numFmtId="0" fontId="0" fillId="0" borderId="0" xfId="0" applyAlignment="1">
      <alignment horizontal="center"/>
    </xf>
    <xf numFmtId="193" fontId="8" fillId="0" borderId="0" xfId="0" applyNumberFormat="1" applyFont="1" applyFill="1" applyBorder="1" applyAlignment="1" applyProtection="1">
      <alignment horizontal="right"/>
    </xf>
    <xf numFmtId="49" fontId="105" fillId="0" borderId="121" xfId="0" applyNumberFormat="1" applyFont="1" applyFill="1" applyBorder="1" applyAlignment="1">
      <alignment horizontal="right" vertical="center"/>
    </xf>
    <xf numFmtId="0" fontId="119" fillId="0" borderId="121" xfId="0" applyFont="1" applyBorder="1"/>
    <xf numFmtId="49" fontId="121" fillId="0" borderId="121" xfId="5" applyNumberFormat="1" applyFont="1" applyFill="1" applyBorder="1" applyAlignment="1" applyProtection="1">
      <alignment horizontal="right" vertical="center"/>
      <protection locked="0"/>
    </xf>
    <xf numFmtId="0" fontId="120" fillId="3" borderId="121" xfId="13" applyFont="1" applyFill="1" applyBorder="1" applyAlignment="1" applyProtection="1">
      <alignment horizontal="left" vertical="center" wrapText="1"/>
      <protection locked="0"/>
    </xf>
    <xf numFmtId="49" fontId="120" fillId="3" borderId="121" xfId="5" applyNumberFormat="1" applyFont="1" applyFill="1" applyBorder="1" applyAlignment="1" applyProtection="1">
      <alignment horizontal="right" vertical="center"/>
      <protection locked="0"/>
    </xf>
    <xf numFmtId="0" fontId="120" fillId="0" borderId="121" xfId="13" applyFont="1" applyFill="1" applyBorder="1" applyAlignment="1" applyProtection="1">
      <alignment horizontal="left" vertical="center" wrapText="1"/>
      <protection locked="0"/>
    </xf>
    <xf numFmtId="49" fontId="120" fillId="0" borderId="121" xfId="5" applyNumberFormat="1" applyFont="1" applyFill="1" applyBorder="1" applyAlignment="1" applyProtection="1">
      <alignment horizontal="right" vertical="center"/>
      <protection locked="0"/>
    </xf>
    <xf numFmtId="0" fontId="122" fillId="0" borderId="121" xfId="13" applyFont="1" applyFill="1" applyBorder="1" applyAlignment="1" applyProtection="1">
      <alignment horizontal="left" vertical="center" wrapText="1"/>
      <protection locked="0"/>
    </xf>
    <xf numFmtId="166" fontId="115" fillId="36" borderId="127" xfId="21413" applyFont="1" applyFill="1" applyBorder="1"/>
    <xf numFmtId="0" fontId="115" fillId="0" borderId="127" xfId="0" applyFont="1" applyBorder="1"/>
    <xf numFmtId="0" fontId="115" fillId="0" borderId="127" xfId="0" applyFont="1" applyFill="1" applyBorder="1"/>
    <xf numFmtId="0" fontId="115" fillId="0" borderId="127" xfId="0" applyFont="1" applyBorder="1" applyAlignment="1">
      <alignment horizontal="left" indent="8"/>
    </xf>
    <xf numFmtId="0" fontId="115" fillId="0" borderId="127" xfId="0" applyFont="1" applyBorder="1" applyAlignment="1">
      <alignment wrapText="1"/>
    </xf>
    <xf numFmtId="0" fontId="118" fillId="0" borderId="127" xfId="0" applyFont="1" applyBorder="1"/>
    <xf numFmtId="49" fontId="121" fillId="0" borderId="127" xfId="5" applyNumberFormat="1" applyFont="1" applyFill="1" applyBorder="1" applyAlignment="1" applyProtection="1">
      <alignment horizontal="right" vertical="center" wrapText="1"/>
      <protection locked="0"/>
    </xf>
    <xf numFmtId="49" fontId="120" fillId="3" borderId="127" xfId="5" applyNumberFormat="1" applyFont="1" applyFill="1" applyBorder="1" applyAlignment="1" applyProtection="1">
      <alignment horizontal="right" vertical="center" wrapText="1"/>
      <protection locked="0"/>
    </xf>
    <xf numFmtId="49" fontId="120" fillId="0" borderId="127" xfId="5" applyNumberFormat="1" applyFont="1" applyFill="1" applyBorder="1" applyAlignment="1" applyProtection="1">
      <alignment horizontal="right" vertical="center" wrapText="1"/>
      <protection locked="0"/>
    </xf>
    <xf numFmtId="0" fontId="115" fillId="0" borderId="127" xfId="0" applyFont="1" applyBorder="1" applyAlignment="1">
      <alignment horizontal="center" vertical="center" wrapText="1"/>
    </xf>
    <xf numFmtId="0" fontId="115" fillId="0" borderId="128" xfId="0" applyFont="1" applyFill="1" applyBorder="1" applyAlignment="1">
      <alignment horizontal="center" vertical="center" wrapText="1"/>
    </xf>
    <xf numFmtId="0" fontId="115" fillId="0" borderId="127"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27" xfId="0" applyFont="1" applyFill="1" applyBorder="1"/>
    <xf numFmtId="0" fontId="115" fillId="0" borderId="127" xfId="0" applyNumberFormat="1" applyFont="1" applyFill="1" applyBorder="1" applyAlignment="1">
      <alignment horizontal="left" vertical="center" wrapText="1"/>
    </xf>
    <xf numFmtId="0" fontId="118" fillId="0" borderId="127" xfId="0" applyFont="1" applyFill="1" applyBorder="1" applyAlignment="1">
      <alignment horizontal="left" wrapText="1" indent="1"/>
    </xf>
    <xf numFmtId="0" fontId="118" fillId="0" borderId="127" xfId="0" applyFont="1" applyFill="1" applyBorder="1" applyAlignment="1">
      <alignment horizontal="left" vertical="center" indent="1"/>
    </xf>
    <xf numFmtId="0" fontId="115" fillId="0" borderId="127" xfId="0" applyFont="1" applyFill="1" applyBorder="1" applyAlignment="1">
      <alignment horizontal="left" wrapText="1" indent="1"/>
    </xf>
    <xf numFmtId="0" fontId="115" fillId="0" borderId="127" xfId="0" applyFont="1" applyFill="1" applyBorder="1" applyAlignment="1">
      <alignment horizontal="left" indent="1"/>
    </xf>
    <xf numFmtId="0" fontId="115" fillId="0" borderId="127" xfId="0" applyFont="1" applyFill="1" applyBorder="1" applyAlignment="1">
      <alignment horizontal="left" wrapText="1" indent="4"/>
    </xf>
    <xf numFmtId="0" fontId="115" fillId="0" borderId="127" xfId="0" applyNumberFormat="1" applyFont="1" applyFill="1" applyBorder="1" applyAlignment="1">
      <alignment horizontal="left" indent="3"/>
    </xf>
    <xf numFmtId="0" fontId="118" fillId="0" borderId="127" xfId="0" applyFont="1" applyFill="1" applyBorder="1" applyAlignment="1">
      <alignment horizontal="left" indent="1"/>
    </xf>
    <xf numFmtId="0" fontId="119" fillId="0" borderId="127" xfId="0" applyFont="1" applyFill="1" applyBorder="1" applyAlignment="1">
      <alignment horizontal="center" vertical="center" wrapText="1"/>
    </xf>
    <xf numFmtId="0" fontId="115" fillId="80" borderId="127" xfId="0" applyFont="1" applyFill="1" applyBorder="1"/>
    <xf numFmtId="0" fontId="118" fillId="0" borderId="4" xfId="0" applyFont="1" applyBorder="1"/>
    <xf numFmtId="0" fontId="115" fillId="0" borderId="127" xfId="0" applyFont="1" applyFill="1" applyBorder="1" applyAlignment="1">
      <alignment horizontal="left" wrapText="1" indent="2"/>
    </xf>
    <xf numFmtId="0" fontId="115" fillId="0" borderId="127" xfId="0" applyFont="1" applyFill="1" applyBorder="1" applyAlignment="1">
      <alignment horizontal="left" wrapText="1"/>
    </xf>
    <xf numFmtId="0" fontId="115" fillId="0" borderId="0" xfId="0" applyFont="1" applyBorder="1"/>
    <xf numFmtId="0" fontId="118" fillId="83" borderId="127" xfId="0" applyFont="1" applyFill="1" applyBorder="1"/>
    <xf numFmtId="0" fontId="115" fillId="0" borderId="127" xfId="0" applyFont="1" applyBorder="1" applyAlignment="1">
      <alignment horizontal="left" indent="1"/>
    </xf>
    <xf numFmtId="0" fontId="115" fillId="0" borderId="127" xfId="0" applyFont="1" applyBorder="1" applyAlignment="1">
      <alignment horizontal="center"/>
    </xf>
    <xf numFmtId="0" fontId="115" fillId="0" borderId="127" xfId="0" applyFont="1" applyFill="1" applyBorder="1" applyAlignment="1">
      <alignment horizontal="center" vertical="center" wrapText="1"/>
    </xf>
    <xf numFmtId="0" fontId="115" fillId="0" borderId="4" xfId="0" applyFont="1" applyBorder="1" applyAlignment="1">
      <alignment horizontal="center" vertical="center" wrapText="1"/>
    </xf>
    <xf numFmtId="0" fontId="115" fillId="0" borderId="8" xfId="0" applyFont="1" applyBorder="1" applyAlignment="1">
      <alignment horizontal="center" vertical="center" wrapText="1"/>
    </xf>
    <xf numFmtId="0" fontId="115" fillId="0" borderId="45" xfId="0" applyFont="1" applyBorder="1" applyAlignment="1">
      <alignment wrapText="1"/>
    </xf>
    <xf numFmtId="0" fontId="115" fillId="0" borderId="4" xfId="0" applyFont="1" applyBorder="1" applyAlignment="1">
      <alignment wrapText="1"/>
    </xf>
    <xf numFmtId="0" fontId="115" fillId="0" borderId="126"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25" xfId="0" applyFont="1" applyFill="1" applyBorder="1" applyAlignment="1">
      <alignment horizontal="center" vertical="center" wrapText="1"/>
    </xf>
    <xf numFmtId="0" fontId="115" fillId="0" borderId="0" xfId="0" applyFont="1" applyFill="1"/>
    <xf numFmtId="49" fontId="115" fillId="0" borderId="133" xfId="0" applyNumberFormat="1" applyFont="1" applyFill="1" applyBorder="1" applyAlignment="1">
      <alignment horizontal="left" wrapText="1" indent="1"/>
    </xf>
    <xf numFmtId="0" fontId="115" fillId="0" borderId="135" xfId="0" applyNumberFormat="1" applyFont="1" applyFill="1" applyBorder="1" applyAlignment="1">
      <alignment horizontal="left" wrapText="1" indent="1"/>
    </xf>
    <xf numFmtId="49" fontId="115" fillId="0" borderId="136" xfId="0" applyNumberFormat="1" applyFont="1" applyFill="1" applyBorder="1" applyAlignment="1">
      <alignment horizontal="left" wrapText="1" indent="1"/>
    </xf>
    <xf numFmtId="0" fontId="115" fillId="0" borderId="137" xfId="0" applyNumberFormat="1" applyFont="1" applyFill="1" applyBorder="1" applyAlignment="1">
      <alignment horizontal="left" wrapText="1" indent="1"/>
    </xf>
    <xf numFmtId="49" fontId="115" fillId="0" borderId="137" xfId="0" applyNumberFormat="1" applyFont="1" applyFill="1" applyBorder="1" applyAlignment="1">
      <alignment horizontal="left" wrapText="1" indent="3"/>
    </xf>
    <xf numFmtId="49" fontId="115" fillId="0" borderId="136" xfId="0" applyNumberFormat="1" applyFont="1" applyFill="1" applyBorder="1" applyAlignment="1">
      <alignment horizontal="left" wrapText="1" indent="3"/>
    </xf>
    <xf numFmtId="49" fontId="115" fillId="0" borderId="136" xfId="0" applyNumberFormat="1" applyFont="1" applyFill="1" applyBorder="1" applyAlignment="1">
      <alignment horizontal="left" wrapText="1" indent="2"/>
    </xf>
    <xf numFmtId="49" fontId="115" fillId="0" borderId="137" xfId="0" applyNumberFormat="1" applyFont="1" applyBorder="1" applyAlignment="1">
      <alignment horizontal="left" wrapText="1" indent="2"/>
    </xf>
    <xf numFmtId="49" fontId="115" fillId="0" borderId="136" xfId="0" applyNumberFormat="1" applyFont="1" applyFill="1" applyBorder="1" applyAlignment="1">
      <alignment horizontal="left" vertical="top" wrapText="1" indent="2"/>
    </xf>
    <xf numFmtId="49" fontId="115" fillId="0" borderId="136" xfId="0" applyNumberFormat="1" applyFont="1" applyFill="1" applyBorder="1" applyAlignment="1">
      <alignment horizontal="left" indent="1"/>
    </xf>
    <xf numFmtId="0" fontId="115" fillId="0" borderId="137" xfId="0" applyNumberFormat="1" applyFont="1" applyBorder="1" applyAlignment="1">
      <alignment horizontal="left" indent="1"/>
    </xf>
    <xf numFmtId="49" fontId="115" fillId="0" borderId="137" xfId="0" applyNumberFormat="1" applyFont="1" applyBorder="1" applyAlignment="1">
      <alignment horizontal="left" indent="1"/>
    </xf>
    <xf numFmtId="49" fontId="115" fillId="0" borderId="136" xfId="0" applyNumberFormat="1" applyFont="1" applyFill="1" applyBorder="1" applyAlignment="1">
      <alignment horizontal="left" indent="3"/>
    </xf>
    <xf numFmtId="49" fontId="115" fillId="0" borderId="137" xfId="0" applyNumberFormat="1" applyFont="1" applyBorder="1" applyAlignment="1">
      <alignment horizontal="left" indent="3"/>
    </xf>
    <xf numFmtId="0" fontId="115" fillId="0" borderId="137" xfId="0" applyFont="1" applyBorder="1" applyAlignment="1">
      <alignment horizontal="left" indent="2"/>
    </xf>
    <xf numFmtId="0" fontId="115" fillId="0" borderId="136" xfId="0" applyFont="1" applyBorder="1" applyAlignment="1">
      <alignment horizontal="left" indent="2"/>
    </xf>
    <xf numFmtId="0" fontId="115" fillId="0" borderId="137" xfId="0" applyFont="1" applyBorder="1" applyAlignment="1">
      <alignment horizontal="left" indent="1"/>
    </xf>
    <xf numFmtId="0" fontId="115" fillId="0" borderId="136" xfId="0" applyFont="1" applyBorder="1" applyAlignment="1">
      <alignment horizontal="left" indent="1"/>
    </xf>
    <xf numFmtId="0" fontId="118" fillId="0" borderId="51" xfId="0" applyFont="1" applyBorder="1"/>
    <xf numFmtId="0" fontId="115" fillId="0" borderId="56"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8" fillId="0" borderId="127" xfId="0" applyNumberFormat="1" applyFont="1" applyFill="1" applyBorder="1" applyAlignment="1">
      <alignment horizontal="left" vertical="center" wrapText="1"/>
    </xf>
    <xf numFmtId="0" fontId="115" fillId="0" borderId="4" xfId="0" applyFont="1" applyFill="1" applyBorder="1" applyAlignment="1">
      <alignment horizontal="center" vertical="center" wrapText="1"/>
    </xf>
    <xf numFmtId="0" fontId="8" fillId="0" borderId="0" xfId="0" applyFont="1" applyFill="1" applyBorder="1" applyAlignment="1">
      <alignment wrapText="1"/>
    </xf>
    <xf numFmtId="0" fontId="120" fillId="0" borderId="127" xfId="0" applyFont="1" applyBorder="1"/>
    <xf numFmtId="0" fontId="118" fillId="0" borderId="127"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19" xfId="0" applyNumberFormat="1" applyFont="1" applyFill="1" applyBorder="1" applyAlignment="1">
      <alignment horizontal="left" vertical="center" wrapText="1" indent="1" readingOrder="1"/>
    </xf>
    <xf numFmtId="0" fontId="120" fillId="0" borderId="127" xfId="0" applyFont="1" applyBorder="1" applyAlignment="1">
      <alignment horizontal="left" indent="3"/>
    </xf>
    <xf numFmtId="0" fontId="118" fillId="0" borderId="127" xfId="0" applyNumberFormat="1" applyFont="1" applyFill="1" applyBorder="1" applyAlignment="1">
      <alignment vertical="center" wrapText="1" readingOrder="1"/>
    </xf>
    <xf numFmtId="0" fontId="120" fillId="0" borderId="127" xfId="0" applyFont="1" applyFill="1" applyBorder="1" applyAlignment="1">
      <alignment horizontal="left" indent="2"/>
    </xf>
    <xf numFmtId="0" fontId="115" fillId="0" borderId="120" xfId="0" applyNumberFormat="1" applyFont="1" applyFill="1" applyBorder="1" applyAlignment="1">
      <alignment vertical="center" wrapText="1" readingOrder="1"/>
    </xf>
    <xf numFmtId="0" fontId="120" fillId="0" borderId="128" xfId="0" applyFont="1" applyBorder="1" applyAlignment="1">
      <alignment horizontal="left" indent="2"/>
    </xf>
    <xf numFmtId="0" fontId="115" fillId="0" borderId="119" xfId="0" applyNumberFormat="1" applyFont="1" applyFill="1" applyBorder="1" applyAlignment="1">
      <alignment vertical="center" wrapText="1" readingOrder="1"/>
    </xf>
    <xf numFmtId="0" fontId="120" fillId="0" borderId="127" xfId="0" applyFont="1" applyBorder="1" applyAlignment="1">
      <alignment horizontal="left" indent="2"/>
    </xf>
    <xf numFmtId="0" fontId="115" fillId="0" borderId="118" xfId="0" applyNumberFormat="1" applyFont="1" applyFill="1" applyBorder="1" applyAlignment="1">
      <alignment vertical="center" wrapText="1" readingOrder="1"/>
    </xf>
    <xf numFmtId="0" fontId="138" fillId="0" borderId="4" xfId="0" applyFont="1" applyBorder="1"/>
    <xf numFmtId="0" fontId="105" fillId="0" borderId="127" xfId="0" applyFont="1" applyFill="1" applyBorder="1" applyAlignment="1">
      <alignment vertical="center" wrapText="1"/>
    </xf>
    <xf numFmtId="0" fontId="105" fillId="0" borderId="127" xfId="0" applyFont="1" applyBorder="1" applyAlignment="1">
      <alignment horizontal="left" vertical="center" wrapText="1"/>
    </xf>
    <xf numFmtId="0" fontId="105" fillId="0" borderId="127" xfId="0" applyFont="1" applyBorder="1" applyAlignment="1">
      <alignment horizontal="left" indent="2"/>
    </xf>
    <xf numFmtId="0" fontId="105" fillId="0" borderId="127" xfId="0" applyNumberFormat="1" applyFont="1" applyFill="1" applyBorder="1" applyAlignment="1">
      <alignment vertical="center" wrapText="1"/>
    </xf>
    <xf numFmtId="0" fontId="105" fillId="0" borderId="127" xfId="0" applyNumberFormat="1" applyFont="1" applyFill="1" applyBorder="1" applyAlignment="1">
      <alignment horizontal="left" vertical="center" indent="1"/>
    </xf>
    <xf numFmtId="0" fontId="105" fillId="0" borderId="127" xfId="0" applyNumberFormat="1" applyFont="1" applyFill="1" applyBorder="1" applyAlignment="1">
      <alignment horizontal="left" vertical="center" wrapText="1" indent="1"/>
    </xf>
    <xf numFmtId="0" fontId="105" fillId="0" borderId="127" xfId="0" applyNumberFormat="1" applyFont="1" applyFill="1" applyBorder="1" applyAlignment="1">
      <alignment horizontal="right" vertical="center"/>
    </xf>
    <xf numFmtId="49" fontId="105" fillId="0" borderId="127" xfId="0" applyNumberFormat="1" applyFont="1" applyFill="1" applyBorder="1" applyAlignment="1">
      <alignment horizontal="right" vertical="center"/>
    </xf>
    <xf numFmtId="0" fontId="105" fillId="0" borderId="128" xfId="0" applyNumberFormat="1" applyFont="1" applyFill="1" applyBorder="1" applyAlignment="1">
      <alignment horizontal="left" vertical="top" wrapText="1"/>
    </xf>
    <xf numFmtId="49" fontId="105" fillId="0" borderId="127" xfId="0" applyNumberFormat="1" applyFont="1" applyFill="1" applyBorder="1" applyAlignment="1">
      <alignment vertical="top" wrapText="1"/>
    </xf>
    <xf numFmtId="49" fontId="105" fillId="0" borderId="127" xfId="0" applyNumberFormat="1" applyFont="1" applyFill="1" applyBorder="1" applyAlignment="1">
      <alignment horizontal="left" vertical="top" wrapText="1" indent="2"/>
    </xf>
    <xf numFmtId="49" fontId="105" fillId="0" borderId="127" xfId="0" applyNumberFormat="1" applyFont="1" applyFill="1" applyBorder="1" applyAlignment="1">
      <alignment horizontal="left" vertical="center" wrapText="1" indent="3"/>
    </xf>
    <xf numFmtId="49" fontId="105" fillId="0" borderId="127" xfId="0" applyNumberFormat="1" applyFont="1" applyFill="1" applyBorder="1" applyAlignment="1">
      <alignment horizontal="left" wrapText="1" indent="2"/>
    </xf>
    <xf numFmtId="49" fontId="105" fillId="0" borderId="127" xfId="0" applyNumberFormat="1" applyFont="1" applyFill="1" applyBorder="1" applyAlignment="1">
      <alignment horizontal="left" vertical="top" wrapText="1"/>
    </xf>
    <xf numFmtId="49" fontId="105" fillId="0" borderId="127" xfId="0" applyNumberFormat="1" applyFont="1" applyFill="1" applyBorder="1" applyAlignment="1">
      <alignment horizontal="left" wrapText="1" indent="3"/>
    </xf>
    <xf numFmtId="49" fontId="105" fillId="0" borderId="127" xfId="0" applyNumberFormat="1" applyFont="1" applyFill="1" applyBorder="1" applyAlignment="1">
      <alignment vertical="center"/>
    </xf>
    <xf numFmtId="0" fontId="105" fillId="0" borderId="127" xfId="0" applyFont="1" applyFill="1" applyBorder="1" applyAlignment="1">
      <alignment horizontal="left" vertical="center" wrapText="1"/>
    </xf>
    <xf numFmtId="49" fontId="105" fillId="0" borderId="127" xfId="0" applyNumberFormat="1" applyFont="1" applyFill="1" applyBorder="1" applyAlignment="1">
      <alignment horizontal="left" indent="3"/>
    </xf>
    <xf numFmtId="0" fontId="105" fillId="0" borderId="127" xfId="0" applyFont="1" applyBorder="1" applyAlignment="1">
      <alignment horizontal="left" indent="1"/>
    </xf>
    <xf numFmtId="0" fontId="105" fillId="0" borderId="127" xfId="0" applyNumberFormat="1" applyFont="1" applyFill="1" applyBorder="1" applyAlignment="1">
      <alignment horizontal="left" vertical="center" wrapText="1"/>
    </xf>
    <xf numFmtId="0" fontId="105" fillId="0" borderId="127" xfId="0" applyFont="1" applyFill="1" applyBorder="1" applyAlignment="1">
      <alignment horizontal="left" wrapText="1" indent="2"/>
    </xf>
    <xf numFmtId="0" fontId="105" fillId="0" borderId="127" xfId="0" applyFont="1" applyBorder="1" applyAlignment="1">
      <alignment horizontal="left" vertical="top" wrapText="1"/>
    </xf>
    <xf numFmtId="0" fontId="104" fillId="0" borderId="4" xfId="0" applyFont="1" applyBorder="1" applyAlignment="1">
      <alignment wrapText="1"/>
    </xf>
    <xf numFmtId="0" fontId="105" fillId="0" borderId="127" xfId="0" applyFont="1" applyBorder="1" applyAlignment="1">
      <alignment horizontal="left" vertical="top" wrapText="1" indent="2"/>
    </xf>
    <xf numFmtId="0" fontId="105" fillId="0" borderId="127" xfId="0" applyFont="1" applyBorder="1" applyAlignment="1">
      <alignment horizontal="left" wrapText="1"/>
    </xf>
    <xf numFmtId="0" fontId="105" fillId="0" borderId="127" xfId="12672" applyFont="1" applyFill="1" applyBorder="1" applyAlignment="1">
      <alignment horizontal="left" vertical="center" wrapText="1" indent="2"/>
    </xf>
    <xf numFmtId="0" fontId="105" fillId="0" borderId="127" xfId="0" applyFont="1" applyBorder="1" applyAlignment="1">
      <alignment horizontal="left" wrapText="1" indent="2"/>
    </xf>
    <xf numFmtId="0" fontId="105" fillId="0" borderId="127" xfId="0" applyFont="1" applyBorder="1" applyAlignment="1">
      <alignment wrapText="1"/>
    </xf>
    <xf numFmtId="0" fontId="105" fillId="0" borderId="127" xfId="0" applyFont="1" applyBorder="1"/>
    <xf numFmtId="0" fontId="105" fillId="0" borderId="127" xfId="12672" applyFont="1" applyFill="1" applyBorder="1" applyAlignment="1">
      <alignment horizontal="left" vertical="center" wrapText="1"/>
    </xf>
    <xf numFmtId="0" fontId="104" fillId="0" borderId="127" xfId="0" applyFont="1" applyBorder="1" applyAlignment="1">
      <alignment wrapText="1"/>
    </xf>
    <xf numFmtId="0" fontId="105" fillId="0" borderId="129" xfId="0" applyNumberFormat="1" applyFont="1" applyFill="1" applyBorder="1" applyAlignment="1">
      <alignment horizontal="left" vertical="center" wrapText="1"/>
    </xf>
    <xf numFmtId="0" fontId="105" fillId="3" borderId="127" xfId="5" applyNumberFormat="1" applyFont="1" applyFill="1" applyBorder="1" applyAlignment="1" applyProtection="1">
      <alignment horizontal="right" vertical="center"/>
      <protection locked="0"/>
    </xf>
    <xf numFmtId="2" fontId="105" fillId="3" borderId="127" xfId="5" applyNumberFormat="1" applyFont="1" applyFill="1" applyBorder="1" applyAlignment="1" applyProtection="1">
      <alignment horizontal="right" vertical="center"/>
      <protection locked="0"/>
    </xf>
    <xf numFmtId="0" fontId="105" fillId="0" borderId="127" xfId="0" applyNumberFormat="1" applyFont="1" applyFill="1" applyBorder="1" applyAlignment="1">
      <alignment vertical="center"/>
    </xf>
    <xf numFmtId="0" fontId="105" fillId="0" borderId="129" xfId="13" applyFont="1" applyFill="1" applyBorder="1" applyAlignment="1" applyProtection="1">
      <alignment horizontal="left" vertical="top" wrapText="1"/>
      <protection locked="0"/>
    </xf>
    <xf numFmtId="0" fontId="105" fillId="0" borderId="130" xfId="13" applyFont="1" applyFill="1" applyBorder="1" applyAlignment="1" applyProtection="1">
      <alignment horizontal="left" vertical="top" wrapText="1"/>
      <protection locked="0"/>
    </xf>
    <xf numFmtId="0" fontId="105" fillId="0" borderId="128"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28" xfId="0" applyFont="1" applyBorder="1" applyAlignment="1">
      <alignment horizontal="left" indent="2"/>
    </xf>
    <xf numFmtId="0" fontId="105" fillId="0" borderId="120" xfId="0" applyNumberFormat="1" applyFont="1" applyFill="1" applyBorder="1" applyAlignment="1">
      <alignment horizontal="left" vertical="center" wrapText="1" readingOrder="1"/>
    </xf>
    <xf numFmtId="0" fontId="105" fillId="0" borderId="127" xfId="0" applyNumberFormat="1" applyFont="1" applyFill="1" applyBorder="1" applyAlignment="1">
      <alignment horizontal="left" vertical="center" wrapText="1" readingOrder="1"/>
    </xf>
    <xf numFmtId="0" fontId="10" fillId="0" borderId="85" xfId="17" applyFill="1" applyBorder="1" applyAlignment="1" applyProtection="1">
      <alignment horizontal="left" vertical="top" wrapText="1"/>
    </xf>
    <xf numFmtId="0" fontId="105" fillId="0" borderId="0" xfId="0" applyFont="1" applyFill="1" applyBorder="1" applyAlignment="1">
      <alignment wrapText="1"/>
    </xf>
    <xf numFmtId="3" fontId="4" fillId="0" borderId="0" xfId="0" applyNumberFormat="1" applyFont="1"/>
    <xf numFmtId="3" fontId="4" fillId="0" borderId="0" xfId="0" applyNumberFormat="1" applyFont="1" applyBorder="1"/>
    <xf numFmtId="3" fontId="0" fillId="0" borderId="0" xfId="0" applyNumberFormat="1"/>
    <xf numFmtId="3" fontId="0" fillId="0" borderId="136" xfId="0" applyNumberFormat="1" applyBorder="1" applyAlignment="1"/>
    <xf numFmtId="3" fontId="0" fillId="0" borderId="136" xfId="0" applyNumberFormat="1" applyBorder="1" applyAlignment="1">
      <alignment wrapText="1"/>
    </xf>
    <xf numFmtId="193" fontId="6" fillId="3" borderId="136" xfId="2" applyNumberFormat="1" applyFont="1" applyFill="1" applyBorder="1" applyAlignment="1" applyProtection="1">
      <alignment vertical="top"/>
      <protection locked="0"/>
    </xf>
    <xf numFmtId="193" fontId="6" fillId="3" borderId="136" xfId="2" applyNumberFormat="1" applyFont="1" applyFill="1" applyBorder="1" applyAlignment="1" applyProtection="1">
      <alignment vertical="top" wrapText="1"/>
      <protection locked="0"/>
    </xf>
    <xf numFmtId="193" fontId="0" fillId="0" borderId="0" xfId="0" applyNumberFormat="1"/>
    <xf numFmtId="193" fontId="0" fillId="0" borderId="0" xfId="0" applyNumberFormat="1" applyAlignment="1">
      <alignment wrapText="1"/>
    </xf>
    <xf numFmtId="4" fontId="4" fillId="0" borderId="0" xfId="0" applyNumberFormat="1" applyFont="1"/>
    <xf numFmtId="4" fontId="8" fillId="0" borderId="0" xfId="11" applyNumberFormat="1" applyFont="1" applyFill="1" applyBorder="1" applyAlignment="1" applyProtection="1"/>
    <xf numFmtId="4" fontId="5" fillId="36" borderId="11" xfId="0" applyNumberFormat="1" applyFont="1" applyFill="1" applyBorder="1" applyAlignment="1">
      <alignment horizontal="center" vertical="center" wrapText="1"/>
    </xf>
    <xf numFmtId="4" fontId="5" fillId="36" borderId="98" xfId="0" applyNumberFormat="1" applyFont="1" applyFill="1" applyBorder="1" applyAlignment="1">
      <alignment horizontal="left" vertical="center" wrapText="1"/>
    </xf>
    <xf numFmtId="4" fontId="4" fillId="0" borderId="98" xfId="0" applyNumberFormat="1" applyFont="1" applyFill="1" applyBorder="1" applyAlignment="1">
      <alignment horizontal="right" vertical="center" wrapText="1"/>
    </xf>
    <xf numFmtId="4" fontId="5" fillId="36" borderId="98" xfId="0" applyNumberFormat="1" applyFont="1" applyFill="1" applyBorder="1" applyAlignment="1">
      <alignment horizontal="right" vertical="center" wrapText="1"/>
    </xf>
    <xf numFmtId="4" fontId="108" fillId="0" borderId="98" xfId="0" applyNumberFormat="1" applyFont="1" applyFill="1" applyBorder="1" applyAlignment="1">
      <alignment horizontal="right" vertical="center" wrapText="1"/>
    </xf>
    <xf numFmtId="4" fontId="5" fillId="36" borderId="98" xfId="0" applyNumberFormat="1" applyFont="1" applyFill="1" applyBorder="1" applyAlignment="1">
      <alignment horizontal="center" vertical="center" wrapText="1"/>
    </xf>
    <xf numFmtId="4" fontId="6" fillId="0" borderId="17" xfId="1" applyNumberFormat="1" applyFont="1" applyFill="1" applyBorder="1" applyAlignment="1" applyProtection="1">
      <alignment horizontal="right" vertical="center"/>
    </xf>
    <xf numFmtId="193" fontId="6" fillId="0" borderId="127" xfId="0" applyNumberFormat="1" applyFont="1" applyBorder="1" applyAlignment="1" applyProtection="1">
      <alignment vertical="center" wrapText="1"/>
      <protection locked="0"/>
    </xf>
    <xf numFmtId="193" fontId="6" fillId="0" borderId="127" xfId="0" applyNumberFormat="1" applyFont="1" applyBorder="1" applyAlignment="1" applyProtection="1">
      <alignment horizontal="right" vertical="center" wrapText="1"/>
      <protection locked="0"/>
    </xf>
    <xf numFmtId="10" fontId="142" fillId="0" borderId="127" xfId="0" applyNumberFormat="1" applyFont="1" applyBorder="1" applyAlignment="1" applyProtection="1">
      <alignment horizontal="right" vertical="center" wrapText="1"/>
      <protection locked="0"/>
    </xf>
    <xf numFmtId="10" fontId="8" fillId="85" borderId="127" xfId="0" applyNumberFormat="1" applyFont="1" applyFill="1" applyBorder="1" applyAlignment="1" applyProtection="1">
      <alignment vertical="center"/>
      <protection locked="0"/>
    </xf>
    <xf numFmtId="4" fontId="0" fillId="0" borderId="0" xfId="0" applyNumberFormat="1"/>
    <xf numFmtId="4" fontId="116" fillId="0" borderId="0" xfId="0" applyNumberFormat="1" applyFont="1"/>
    <xf numFmtId="3" fontId="22" fillId="0" borderId="127" xfId="0" applyNumberFormat="1" applyFont="1" applyBorder="1"/>
    <xf numFmtId="3" fontId="118" fillId="0" borderId="127" xfId="0" applyNumberFormat="1" applyFont="1" applyBorder="1"/>
    <xf numFmtId="4" fontId="115" fillId="0" borderId="127" xfId="0" applyNumberFormat="1" applyFont="1" applyBorder="1"/>
    <xf numFmtId="3" fontId="115" fillId="0" borderId="127" xfId="0" applyNumberFormat="1" applyFont="1" applyBorder="1"/>
    <xf numFmtId="4" fontId="115" fillId="0" borderId="127" xfId="0" applyNumberFormat="1" applyFont="1" applyFill="1" applyBorder="1"/>
    <xf numFmtId="4" fontId="116" fillId="0" borderId="0" xfId="0" applyNumberFormat="1" applyFont="1" applyFill="1"/>
    <xf numFmtId="3" fontId="119" fillId="0" borderId="4" xfId="0" applyNumberFormat="1" applyFont="1" applyBorder="1"/>
    <xf numFmtId="0" fontId="116" fillId="81" borderId="127" xfId="0" applyFont="1" applyFill="1" applyBorder="1"/>
    <xf numFmtId="3" fontId="22" fillId="81" borderId="127" xfId="0" applyNumberFormat="1" applyFont="1" applyFill="1" applyBorder="1"/>
    <xf numFmtId="3" fontId="22" fillId="0" borderId="127" xfId="0" applyNumberFormat="1" applyFont="1" applyFill="1" applyBorder="1"/>
    <xf numFmtId="3" fontId="115" fillId="0" borderId="0" xfId="0" applyNumberFormat="1" applyFont="1"/>
    <xf numFmtId="4" fontId="115" fillId="0" borderId="0" xfId="0" applyNumberFormat="1" applyFont="1"/>
    <xf numFmtId="3" fontId="4" fillId="0" borderId="127" xfId="0" applyNumberFormat="1" applyFont="1" applyBorder="1" applyAlignment="1"/>
    <xf numFmtId="3" fontId="4" fillId="0" borderId="130" xfId="0" applyNumberFormat="1" applyFont="1" applyBorder="1" applyAlignment="1"/>
    <xf numFmtId="193" fontId="4" fillId="0" borderId="0" xfId="0" applyNumberFormat="1" applyFont="1"/>
    <xf numFmtId="193" fontId="4" fillId="0" borderId="127" xfId="0" applyNumberFormat="1" applyFont="1" applyBorder="1" applyAlignment="1"/>
    <xf numFmtId="193" fontId="4" fillId="0" borderId="0" xfId="0" applyNumberFormat="1" applyFont="1" applyBorder="1" applyAlignment="1">
      <alignment horizontal="center" vertical="center" wrapText="1"/>
    </xf>
    <xf numFmtId="164" fontId="138" fillId="3" borderId="0" xfId="1" applyNumberFormat="1" applyFont="1" applyFill="1" applyProtection="1">
      <protection locked="0"/>
    </xf>
    <xf numFmtId="4" fontId="118" fillId="0" borderId="127" xfId="0" applyNumberFormat="1" applyFont="1" applyFill="1" applyBorder="1"/>
    <xf numFmtId="4" fontId="118" fillId="0" borderId="127" xfId="0" applyNumberFormat="1" applyFont="1" applyBorder="1"/>
    <xf numFmtId="4" fontId="115" fillId="36" borderId="127" xfId="21413" applyNumberFormat="1" applyFont="1" applyFill="1" applyBorder="1"/>
    <xf numFmtId="3" fontId="115" fillId="0" borderId="127" xfId="0" applyNumberFormat="1" applyFont="1" applyFill="1" applyBorder="1" applyAlignment="1">
      <alignment horizontal="left" vertical="center" wrapText="1"/>
    </xf>
    <xf numFmtId="3" fontId="118" fillId="0" borderId="127" xfId="0" applyNumberFormat="1" applyFont="1" applyFill="1" applyBorder="1" applyAlignment="1">
      <alignment horizontal="left" vertical="center" wrapText="1"/>
    </xf>
    <xf numFmtId="3" fontId="115" fillId="0" borderId="0" xfId="0" applyNumberFormat="1" applyFont="1" applyBorder="1"/>
    <xf numFmtId="3" fontId="115" fillId="0" borderId="0" xfId="0" applyNumberFormat="1" applyFont="1" applyBorder="1" applyAlignment="1">
      <alignment horizontal="left"/>
    </xf>
    <xf numFmtId="3" fontId="115" fillId="0" borderId="0" xfId="0" applyNumberFormat="1" applyFont="1" applyAlignment="1">
      <alignment horizontal="center" vertical="center"/>
    </xf>
    <xf numFmtId="3" fontId="21" fillId="0" borderId="127" xfId="7" applyNumberFormat="1" applyFont="1" applyBorder="1"/>
    <xf numFmtId="4" fontId="4" fillId="0" borderId="0" xfId="0" applyNumberFormat="1" applyFont="1" applyBorder="1"/>
    <xf numFmtId="193" fontId="8" fillId="0" borderId="127" xfId="0" applyNumberFormat="1" applyFont="1" applyFill="1" applyBorder="1" applyAlignment="1" applyProtection="1">
      <alignment horizontal="right"/>
    </xf>
    <xf numFmtId="3" fontId="8" fillId="0" borderId="127" xfId="0" applyNumberFormat="1" applyFont="1" applyFill="1" applyBorder="1" applyAlignment="1" applyProtection="1">
      <alignment horizontal="center" vertical="center" wrapText="1"/>
    </xf>
    <xf numFmtId="0" fontId="3" fillId="0" borderId="127" xfId="0" applyFont="1" applyBorder="1" applyAlignment="1">
      <alignment horizontal="center" vertical="center"/>
    </xf>
    <xf numFmtId="0" fontId="129" fillId="3" borderId="127" xfId="21414" applyFont="1" applyFill="1" applyBorder="1" applyAlignment="1">
      <alignment horizontal="left" vertical="center" wrapText="1"/>
    </xf>
    <xf numFmtId="3" fontId="0" fillId="36" borderId="127" xfId="0" applyNumberFormat="1" applyFill="1" applyBorder="1"/>
    <xf numFmtId="0" fontId="130" fillId="0" borderId="127" xfId="21414" applyFont="1" applyFill="1" applyBorder="1" applyAlignment="1">
      <alignment horizontal="left" vertical="center" wrapText="1" indent="1"/>
    </xf>
    <xf numFmtId="0" fontId="131" fillId="3" borderId="127" xfId="21414" applyFont="1" applyFill="1" applyBorder="1" applyAlignment="1">
      <alignment horizontal="left" vertical="center" wrapText="1"/>
    </xf>
    <xf numFmtId="0" fontId="130" fillId="3" borderId="127" xfId="21414" applyFont="1" applyFill="1" applyBorder="1" applyAlignment="1">
      <alignment horizontal="left" vertical="center" wrapText="1" indent="1"/>
    </xf>
    <xf numFmtId="0" fontId="129" fillId="0" borderId="127" xfId="0" applyFont="1" applyFill="1" applyBorder="1" applyAlignment="1">
      <alignment horizontal="left" vertical="center" wrapText="1"/>
    </xf>
    <xf numFmtId="0" fontId="131" fillId="0" borderId="127" xfId="0" applyFont="1" applyFill="1" applyBorder="1" applyAlignment="1">
      <alignment horizontal="left" vertical="center" wrapText="1"/>
    </xf>
    <xf numFmtId="3" fontId="0" fillId="36" borderId="127" xfId="0" applyNumberFormat="1" applyFill="1" applyBorder="1" applyAlignment="1">
      <alignment vertical="center"/>
    </xf>
    <xf numFmtId="0" fontId="132" fillId="3" borderId="127" xfId="0" applyFont="1" applyFill="1" applyBorder="1" applyAlignment="1">
      <alignment horizontal="left" vertical="center" wrapText="1" indent="1"/>
    </xf>
    <xf numFmtId="0" fontId="131" fillId="3" borderId="127" xfId="0" applyFont="1" applyFill="1" applyBorder="1" applyAlignment="1">
      <alignment horizontal="left" vertical="center" wrapText="1"/>
    </xf>
    <xf numFmtId="0" fontId="132" fillId="0" borderId="127" xfId="0" applyFont="1" applyFill="1" applyBorder="1" applyAlignment="1">
      <alignment horizontal="left" vertical="center" wrapText="1" indent="1"/>
    </xf>
    <xf numFmtId="0" fontId="132" fillId="0" borderId="127" xfId="21414" applyFont="1" applyFill="1" applyBorder="1" applyAlignment="1">
      <alignment horizontal="left" vertical="center" wrapText="1" indent="1"/>
    </xf>
    <xf numFmtId="0" fontId="131" fillId="0" borderId="127" xfId="21414" applyFont="1" applyFill="1" applyBorder="1" applyAlignment="1">
      <alignment horizontal="left" vertical="center" wrapText="1"/>
    </xf>
    <xf numFmtId="0" fontId="133" fillId="0" borderId="127" xfId="21414" applyFont="1" applyFill="1" applyBorder="1" applyAlignment="1">
      <alignment horizontal="center" vertical="center" wrapText="1"/>
    </xf>
    <xf numFmtId="0" fontId="130" fillId="3" borderId="127" xfId="0" applyFont="1" applyFill="1" applyBorder="1" applyAlignment="1">
      <alignment horizontal="left" vertical="center" wrapText="1" indent="1"/>
    </xf>
    <xf numFmtId="0" fontId="131" fillId="0" borderId="127" xfId="0" applyFont="1" applyBorder="1" applyAlignment="1">
      <alignment horizontal="left" vertical="center" wrapText="1"/>
    </xf>
    <xf numFmtId="0" fontId="130" fillId="0" borderId="127" xfId="0" applyFont="1" applyBorder="1" applyAlignment="1">
      <alignment horizontal="left" vertical="center" wrapText="1" indent="1"/>
    </xf>
    <xf numFmtId="0" fontId="131" fillId="0" borderId="127" xfId="21414" applyFont="1" applyBorder="1" applyAlignment="1">
      <alignment horizontal="left" vertical="center" wrapText="1"/>
    </xf>
    <xf numFmtId="0" fontId="130" fillId="0" borderId="127" xfId="0" applyFont="1" applyFill="1" applyBorder="1" applyAlignment="1">
      <alignment horizontal="left" vertical="center" wrapText="1" indent="1"/>
    </xf>
    <xf numFmtId="0" fontId="134" fillId="0" borderId="127" xfId="0" applyFont="1" applyBorder="1" applyAlignment="1">
      <alignment horizontal="left"/>
    </xf>
    <xf numFmtId="0" fontId="0" fillId="0" borderId="137" xfId="0" applyBorder="1" applyAlignment="1">
      <alignment horizontal="center"/>
    </xf>
    <xf numFmtId="0" fontId="0" fillId="0" borderId="135" xfId="0" applyBorder="1" applyAlignment="1">
      <alignment horizontal="center"/>
    </xf>
    <xf numFmtId="0" fontId="131" fillId="0" borderId="134" xfId="0" applyFont="1" applyFill="1" applyBorder="1" applyAlignment="1">
      <alignment horizontal="left" vertical="center" wrapText="1"/>
    </xf>
    <xf numFmtId="3" fontId="0" fillId="36" borderId="134" xfId="0" applyNumberFormat="1" applyFill="1" applyBorder="1"/>
    <xf numFmtId="38" fontId="115" fillId="0" borderId="127" xfId="0" applyNumberFormat="1" applyFont="1" applyBorder="1"/>
    <xf numFmtId="0" fontId="101" fillId="0" borderId="127" xfId="0" applyFont="1" applyFill="1" applyBorder="1" applyAlignment="1">
      <alignment horizontal="left" vertical="center" wrapText="1"/>
    </xf>
    <xf numFmtId="0" fontId="101" fillId="0" borderId="136" xfId="0" applyFont="1" applyFill="1" applyBorder="1" applyAlignment="1">
      <alignment horizontal="left" vertical="center" wrapText="1"/>
    </xf>
    <xf numFmtId="0" fontId="101" fillId="0" borderId="127" xfId="0" applyFont="1" applyBorder="1" applyAlignment="1">
      <alignment horizontal="left" vertical="center" wrapText="1"/>
    </xf>
    <xf numFmtId="0" fontId="101" fillId="0" borderId="127" xfId="0" applyFont="1" applyFill="1" applyBorder="1" applyAlignment="1">
      <alignment horizontal="left" vertical="center"/>
    </xf>
    <xf numFmtId="0" fontId="101" fillId="0" borderId="136" xfId="0" applyFont="1" applyFill="1" applyBorder="1" applyAlignment="1">
      <alignment horizontal="left" vertical="center"/>
    </xf>
    <xf numFmtId="0" fontId="144" fillId="0" borderId="127" xfId="0" applyFont="1" applyFill="1" applyBorder="1" applyAlignment="1">
      <alignment horizontal="left" vertical="center"/>
    </xf>
    <xf numFmtId="0" fontId="144" fillId="0" borderId="136" xfId="0" applyFont="1" applyFill="1" applyBorder="1" applyAlignment="1">
      <alignment horizontal="left" vertical="center"/>
    </xf>
    <xf numFmtId="0" fontId="8" fillId="0" borderId="127" xfId="11" applyFont="1" applyFill="1" applyBorder="1" applyAlignment="1" applyProtection="1">
      <alignment horizontal="left"/>
      <protection locked="0"/>
    </xf>
    <xf numFmtId="10" fontId="141" fillId="0" borderId="136" xfId="0" applyNumberFormat="1" applyFont="1" applyBorder="1" applyAlignment="1">
      <alignment horizontal="right" vertical="center"/>
    </xf>
    <xf numFmtId="167" fontId="17" fillId="84" borderId="48" xfId="0" applyNumberFormat="1" applyFont="1" applyFill="1" applyBorder="1" applyAlignment="1">
      <alignment horizontal="center"/>
    </xf>
    <xf numFmtId="3" fontId="4" fillId="3" borderId="83" xfId="0" applyNumberFormat="1" applyFont="1" applyFill="1" applyBorder="1" applyAlignment="1">
      <alignment vertical="center"/>
    </xf>
    <xf numFmtId="3" fontId="4" fillId="3" borderId="14" xfId="0" applyNumberFormat="1" applyFont="1" applyFill="1" applyBorder="1" applyAlignment="1">
      <alignment vertical="center"/>
    </xf>
    <xf numFmtId="3" fontId="25" fillId="37" borderId="0" xfId="20" applyNumberFormat="1" applyBorder="1"/>
    <xf numFmtId="3" fontId="4" fillId="0" borderId="85" xfId="0" applyNumberFormat="1" applyFont="1" applyFill="1" applyBorder="1" applyAlignment="1">
      <alignment vertical="center"/>
    </xf>
    <xf numFmtId="3" fontId="4" fillId="0" borderId="86" xfId="0" applyNumberFormat="1" applyFont="1" applyFill="1" applyBorder="1" applyAlignment="1">
      <alignment vertical="center"/>
    </xf>
    <xf numFmtId="3" fontId="4" fillId="0" borderId="98" xfId="0" applyNumberFormat="1" applyFont="1" applyFill="1" applyBorder="1" applyAlignment="1">
      <alignment vertical="center"/>
    </xf>
    <xf numFmtId="10" fontId="4" fillId="0" borderId="80" xfId="20961" applyNumberFormat="1" applyFont="1" applyFill="1" applyBorder="1" applyAlignment="1">
      <alignment vertical="center"/>
    </xf>
    <xf numFmtId="164" fontId="0" fillId="0" borderId="0" xfId="0" applyNumberFormat="1"/>
    <xf numFmtId="0" fontId="101" fillId="0" borderId="127" xfId="0" applyFont="1" applyBorder="1"/>
    <xf numFmtId="3" fontId="20" fillId="0" borderId="0" xfId="0" applyNumberFormat="1" applyFont="1" applyAlignment="1">
      <alignment horizontal="left"/>
    </xf>
    <xf numFmtId="3" fontId="141" fillId="0" borderId="0" xfId="11" applyNumberFormat="1" applyFont="1" applyFill="1" applyBorder="1" applyAlignment="1" applyProtection="1">
      <alignment horizontal="left"/>
    </xf>
    <xf numFmtId="3" fontId="145" fillId="0" borderId="0" xfId="11" applyNumberFormat="1" applyFont="1" applyFill="1" applyBorder="1" applyAlignment="1" applyProtection="1">
      <alignment horizontal="left"/>
    </xf>
    <xf numFmtId="3" fontId="146" fillId="0" borderId="10" xfId="11" applyNumberFormat="1" applyFont="1" applyFill="1" applyBorder="1" applyAlignment="1" applyProtection="1">
      <alignment horizontal="left" vertical="center"/>
    </xf>
    <xf numFmtId="3" fontId="146" fillId="0" borderId="11" xfId="11" applyNumberFormat="1" applyFont="1" applyFill="1" applyBorder="1" applyAlignment="1" applyProtection="1">
      <alignment horizontal="left" vertical="center"/>
    </xf>
    <xf numFmtId="3" fontId="20" fillId="0" borderId="136" xfId="0" applyNumberFormat="1" applyFont="1" applyBorder="1" applyAlignment="1">
      <alignment horizontal="left" vertical="center"/>
    </xf>
    <xf numFmtId="3" fontId="20" fillId="0" borderId="127" xfId="0" applyNumberFormat="1" applyFont="1" applyBorder="1" applyAlignment="1">
      <alignment horizontal="left" vertical="center"/>
    </xf>
    <xf numFmtId="3" fontId="6" fillId="0" borderId="0" xfId="0" applyNumberFormat="1" applyFont="1" applyAlignment="1">
      <alignment horizontal="right"/>
    </xf>
    <xf numFmtId="3" fontId="4" fillId="0" borderId="0" xfId="0" applyNumberFormat="1" applyFont="1" applyAlignment="1">
      <alignment horizontal="right"/>
    </xf>
    <xf numFmtId="3" fontId="6" fillId="0" borderId="0" xfId="11" applyNumberFormat="1" applyFont="1" applyFill="1" applyBorder="1" applyAlignment="1" applyProtection="1">
      <alignment horizontal="right"/>
    </xf>
    <xf numFmtId="3" fontId="14" fillId="0" borderId="0" xfId="11" applyNumberFormat="1" applyFont="1" applyFill="1" applyBorder="1" applyAlignment="1" applyProtection="1">
      <alignment horizontal="right"/>
    </xf>
    <xf numFmtId="3" fontId="147" fillId="3" borderId="127" xfId="21414" applyNumberFormat="1" applyFont="1" applyFill="1" applyBorder="1" applyAlignment="1">
      <alignment horizontal="right" vertical="center" wrapText="1"/>
    </xf>
    <xf numFmtId="3" fontId="148" fillId="0" borderId="127" xfId="21414" applyNumberFormat="1" applyFont="1" applyFill="1" applyBorder="1" applyAlignment="1">
      <alignment horizontal="right" vertical="center" wrapText="1" indent="1"/>
    </xf>
    <xf numFmtId="3" fontId="148" fillId="3" borderId="127" xfId="21414" applyNumberFormat="1" applyFont="1" applyFill="1" applyBorder="1" applyAlignment="1">
      <alignment horizontal="right" vertical="center" wrapText="1" indent="1"/>
    </xf>
    <xf numFmtId="3" fontId="147" fillId="0" borderId="127" xfId="0" applyNumberFormat="1" applyFont="1" applyFill="1" applyBorder="1" applyAlignment="1">
      <alignment horizontal="right" vertical="center" wrapText="1"/>
    </xf>
    <xf numFmtId="3" fontId="149" fillId="0" borderId="127" xfId="0" applyNumberFormat="1" applyFont="1" applyFill="1" applyBorder="1" applyAlignment="1">
      <alignment horizontal="right" vertical="center" wrapText="1"/>
    </xf>
    <xf numFmtId="3" fontId="150" fillId="3" borderId="127" xfId="0" applyNumberFormat="1" applyFont="1" applyFill="1" applyBorder="1" applyAlignment="1">
      <alignment horizontal="right" vertical="center" wrapText="1" indent="1"/>
    </xf>
    <xf numFmtId="3" fontId="149" fillId="3" borderId="127" xfId="0" applyNumberFormat="1" applyFont="1" applyFill="1" applyBorder="1" applyAlignment="1">
      <alignment horizontal="right" vertical="center" wrapText="1"/>
    </xf>
    <xf numFmtId="3" fontId="150" fillId="0" borderId="127" xfId="0" applyNumberFormat="1" applyFont="1" applyFill="1" applyBorder="1" applyAlignment="1">
      <alignment horizontal="right" vertical="center" wrapText="1" indent="1"/>
    </xf>
    <xf numFmtId="3" fontId="150" fillId="0" borderId="127" xfId="21414" applyNumberFormat="1" applyFont="1" applyFill="1" applyBorder="1" applyAlignment="1">
      <alignment horizontal="right" vertical="center" wrapText="1" indent="1"/>
    </xf>
    <xf numFmtId="3" fontId="149" fillId="0" borderId="127" xfId="21414" applyNumberFormat="1" applyFont="1" applyFill="1" applyBorder="1" applyAlignment="1">
      <alignment horizontal="right" vertical="center" wrapText="1"/>
    </xf>
    <xf numFmtId="3" fontId="133" fillId="0" borderId="127" xfId="21414" applyNumberFormat="1" applyFont="1" applyFill="1" applyBorder="1" applyAlignment="1">
      <alignment horizontal="right" vertical="center" wrapText="1"/>
    </xf>
    <xf numFmtId="3" fontId="148" fillId="3" borderId="127" xfId="0" applyNumberFormat="1" applyFont="1" applyFill="1" applyBorder="1" applyAlignment="1">
      <alignment horizontal="right" vertical="center" wrapText="1" indent="1"/>
    </xf>
    <xf numFmtId="3" fontId="149" fillId="0" borderId="127" xfId="0" applyNumberFormat="1" applyFont="1" applyBorder="1" applyAlignment="1">
      <alignment horizontal="right" vertical="center" wrapText="1"/>
    </xf>
    <xf numFmtId="3" fontId="148" fillId="0" borderId="127" xfId="0" applyNumberFormat="1" applyFont="1" applyBorder="1" applyAlignment="1">
      <alignment horizontal="right" vertical="center" wrapText="1" indent="1"/>
    </xf>
    <xf numFmtId="3" fontId="149" fillId="0" borderId="127" xfId="21414" applyNumberFormat="1" applyFont="1" applyBorder="1" applyAlignment="1">
      <alignment horizontal="right" vertical="center" wrapText="1"/>
    </xf>
    <xf numFmtId="3" fontId="148" fillId="0" borderId="127" xfId="0" applyNumberFormat="1" applyFont="1" applyFill="1" applyBorder="1" applyAlignment="1">
      <alignment horizontal="right" vertical="center" wrapText="1" indent="1"/>
    </xf>
    <xf numFmtId="3" fontId="151" fillId="0" borderId="127" xfId="0" applyNumberFormat="1" applyFont="1" applyBorder="1" applyAlignment="1">
      <alignment horizontal="righ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4" fillId="0" borderId="11" xfId="0" applyFont="1" applyFill="1" applyBorder="1" applyAlignment="1">
      <alignment horizontal="center" vertical="center" wrapText="1"/>
    </xf>
    <xf numFmtId="167" fontId="22" fillId="0" borderId="136" xfId="0" applyNumberFormat="1" applyFont="1" applyBorder="1" applyAlignment="1">
      <alignment horizontal="center"/>
    </xf>
    <xf numFmtId="167" fontId="18" fillId="0" borderId="136" xfId="0" applyNumberFormat="1" applyFont="1" applyBorder="1" applyAlignment="1">
      <alignment horizontal="center"/>
    </xf>
    <xf numFmtId="0" fontId="22" fillId="0" borderId="136" xfId="0" applyFont="1" applyBorder="1"/>
    <xf numFmtId="3" fontId="149" fillId="0" borderId="134" xfId="0" applyNumberFormat="1" applyFont="1" applyFill="1" applyBorder="1" applyAlignment="1">
      <alignment horizontal="right" vertical="center" wrapText="1"/>
    </xf>
    <xf numFmtId="0" fontId="22" fillId="0" borderId="133" xfId="0" applyFont="1" applyBorder="1"/>
    <xf numFmtId="14" fontId="4" fillId="0" borderId="0" xfId="0" applyNumberFormat="1" applyFont="1" applyAlignment="1">
      <alignment horizontal="left"/>
    </xf>
    <xf numFmtId="3" fontId="112" fillId="79" borderId="127" xfId="1" applyNumberFormat="1" applyFont="1" applyFill="1" applyBorder="1" applyAlignment="1" applyProtection="1">
      <alignment horizontal="right" vertical="center"/>
    </xf>
    <xf numFmtId="3" fontId="61" fillId="78" borderId="8" xfId="21412" applyNumberFormat="1" applyFont="1" applyFill="1" applyBorder="1" applyAlignment="1" applyProtection="1">
      <alignment horizontal="center" vertical="center"/>
      <protection locked="0"/>
    </xf>
    <xf numFmtId="3" fontId="112" fillId="0" borderId="127" xfId="1" applyNumberFormat="1" applyFont="1" applyFill="1" applyBorder="1" applyAlignment="1" applyProtection="1">
      <alignment horizontal="right" vertical="center"/>
      <protection locked="0"/>
    </xf>
    <xf numFmtId="164" fontId="112" fillId="0" borderId="127" xfId="948" applyNumberFormat="1" applyFont="1" applyFill="1" applyBorder="1" applyAlignment="1" applyProtection="1">
      <alignment horizontal="right" vertical="center"/>
      <protection locked="0"/>
    </xf>
    <xf numFmtId="3" fontId="112" fillId="3" borderId="127" xfId="1" applyNumberFormat="1" applyFont="1" applyFill="1" applyBorder="1" applyAlignment="1" applyProtection="1">
      <alignment horizontal="right" vertical="center"/>
      <protection locked="0"/>
    </xf>
    <xf numFmtId="10" fontId="61" fillId="78" borderId="129" xfId="20961" applyNumberFormat="1" applyFont="1" applyFill="1" applyBorder="1" applyAlignment="1" applyProtection="1">
      <alignment horizontal="center" vertical="center"/>
      <protection locked="0"/>
    </xf>
    <xf numFmtId="10" fontId="112" fillId="79" borderId="127" xfId="20961" applyNumberFormat="1" applyFont="1" applyFill="1" applyBorder="1" applyAlignment="1" applyProtection="1">
      <alignment horizontal="right" vertical="center"/>
    </xf>
    <xf numFmtId="38" fontId="124" fillId="0" borderId="0" xfId="0" applyNumberFormat="1" applyFont="1"/>
    <xf numFmtId="0" fontId="0" fillId="0" borderId="137" xfId="0" applyBorder="1" applyAlignment="1">
      <alignment horizontal="center" vertical="center"/>
    </xf>
    <xf numFmtId="164" fontId="124" fillId="0" borderId="127" xfId="7" applyNumberFormat="1" applyFont="1" applyBorder="1"/>
    <xf numFmtId="10" fontId="124" fillId="0" borderId="127" xfId="20961" applyNumberFormat="1" applyFont="1" applyBorder="1"/>
    <xf numFmtId="43" fontId="124" fillId="0" borderId="127" xfId="7" applyFont="1" applyBorder="1"/>
    <xf numFmtId="164" fontId="154" fillId="0" borderId="127" xfId="7" applyNumberFormat="1" applyFont="1" applyBorder="1"/>
    <xf numFmtId="164" fontId="120" fillId="0" borderId="127" xfId="0" applyNumberFormat="1" applyFont="1" applyBorder="1"/>
    <xf numFmtId="10" fontId="0" fillId="0" borderId="0" xfId="20961" applyNumberFormat="1" applyFont="1"/>
    <xf numFmtId="167" fontId="116" fillId="0" borderId="127" xfId="0" applyNumberFormat="1" applyFont="1" applyBorder="1"/>
    <xf numFmtId="167" fontId="119" fillId="0" borderId="127" xfId="0" applyNumberFormat="1" applyFont="1" applyBorder="1"/>
    <xf numFmtId="0" fontId="14" fillId="0" borderId="0" xfId="11" applyFont="1" applyFill="1" applyBorder="1" applyAlignment="1" applyProtection="1">
      <alignment horizontal="left" vertical="center"/>
    </xf>
    <xf numFmtId="3" fontId="20" fillId="0" borderId="127" xfId="0" applyNumberFormat="1" applyFont="1" applyFill="1" applyBorder="1" applyAlignment="1">
      <alignment horizontal="left" vertical="center" wrapText="1"/>
    </xf>
    <xf numFmtId="3" fontId="20" fillId="0" borderId="127" xfId="7" applyNumberFormat="1" applyFont="1" applyFill="1" applyBorder="1" applyAlignment="1">
      <alignment horizontal="left" vertical="center" wrapText="1"/>
    </xf>
    <xf numFmtId="3" fontId="20" fillId="0" borderId="127" xfId="7" applyNumberFormat="1" applyFont="1" applyBorder="1" applyAlignment="1">
      <alignment horizontal="left" vertical="center"/>
    </xf>
    <xf numFmtId="0" fontId="0" fillId="0" borderId="137" xfId="0" applyBorder="1"/>
    <xf numFmtId="3" fontId="20" fillId="0" borderId="136" xfId="0" applyNumberFormat="1" applyFont="1" applyFill="1" applyBorder="1" applyAlignment="1">
      <alignment horizontal="left" vertical="center" wrapText="1"/>
    </xf>
    <xf numFmtId="3" fontId="20" fillId="0" borderId="136" xfId="7" applyNumberFormat="1" applyFont="1" applyFill="1" applyBorder="1" applyAlignment="1">
      <alignment horizontal="left" vertical="center" wrapText="1"/>
    </xf>
    <xf numFmtId="3" fontId="20" fillId="0" borderId="136" xfId="7" applyNumberFormat="1" applyFont="1" applyBorder="1" applyAlignment="1">
      <alignment horizontal="left" vertical="center"/>
    </xf>
    <xf numFmtId="0" fontId="0" fillId="0" borderId="135" xfId="0" applyBorder="1"/>
    <xf numFmtId="0" fontId="5" fillId="36" borderId="134" xfId="0" applyFont="1" applyFill="1" applyBorder="1" applyAlignment="1">
      <alignment vertical="center" wrapText="1"/>
    </xf>
    <xf numFmtId="3" fontId="143" fillId="36" borderId="134" xfId="0" applyNumberFormat="1" applyFont="1" applyFill="1" applyBorder="1" applyAlignment="1">
      <alignment horizontal="left" vertical="center"/>
    </xf>
    <xf numFmtId="3" fontId="143" fillId="36" borderId="133" xfId="0" applyNumberFormat="1" applyFont="1" applyFill="1" applyBorder="1" applyAlignment="1">
      <alignment horizontal="left" vertical="center"/>
    </xf>
    <xf numFmtId="0" fontId="5" fillId="36" borderId="127" xfId="0" applyFont="1" applyFill="1" applyBorder="1" applyAlignment="1">
      <alignment horizontal="left" vertical="top" wrapText="1"/>
    </xf>
    <xf numFmtId="0" fontId="6" fillId="3" borderId="127" xfId="13" applyFont="1" applyFill="1" applyBorder="1" applyAlignment="1" applyProtection="1">
      <alignment vertical="center" wrapText="1"/>
      <protection locked="0"/>
    </xf>
    <xf numFmtId="0" fontId="6" fillId="3" borderId="127" xfId="13" applyFont="1" applyFill="1" applyBorder="1" applyAlignment="1" applyProtection="1">
      <alignment horizontal="left" vertical="center" wrapText="1"/>
      <protection locked="0"/>
    </xf>
    <xf numFmtId="0" fontId="6" fillId="3" borderId="127" xfId="9" applyFont="1" applyFill="1" applyBorder="1" applyAlignment="1" applyProtection="1">
      <alignment horizontal="left" vertical="center" wrapText="1"/>
      <protection locked="0"/>
    </xf>
    <xf numFmtId="0" fontId="6" fillId="0" borderId="127" xfId="13" applyFont="1" applyBorder="1" applyAlignment="1" applyProtection="1">
      <alignment horizontal="left" vertical="center" wrapText="1"/>
      <protection locked="0"/>
    </xf>
    <xf numFmtId="0" fontId="6" fillId="0" borderId="127" xfId="13" applyFont="1" applyBorder="1" applyAlignment="1" applyProtection="1">
      <alignment wrapText="1"/>
      <protection locked="0"/>
    </xf>
    <xf numFmtId="0" fontId="6" fillId="0" borderId="127" xfId="13" applyFont="1" applyFill="1" applyBorder="1" applyAlignment="1" applyProtection="1">
      <alignment horizontal="left" vertical="center" wrapText="1"/>
      <protection locked="0"/>
    </xf>
    <xf numFmtId="1" fontId="14" fillId="36" borderId="127" xfId="2" applyNumberFormat="1" applyFont="1" applyFill="1" applyBorder="1" applyAlignment="1" applyProtection="1">
      <alignment horizontal="left" vertical="top" wrapText="1"/>
    </xf>
    <xf numFmtId="0" fontId="14" fillId="3" borderId="127" xfId="13" applyFont="1" applyFill="1" applyBorder="1" applyAlignment="1" applyProtection="1">
      <alignment vertical="center" wrapText="1"/>
      <protection locked="0"/>
    </xf>
    <xf numFmtId="0" fontId="6" fillId="3" borderId="127" xfId="13" applyFont="1" applyFill="1" applyBorder="1" applyAlignment="1" applyProtection="1">
      <alignment horizontal="left" vertical="center" wrapText="1" indent="3"/>
      <protection locked="0"/>
    </xf>
    <xf numFmtId="0" fontId="14" fillId="36" borderId="127" xfId="13" applyFont="1" applyFill="1" applyBorder="1" applyAlignment="1" applyProtection="1">
      <alignment vertical="center" wrapText="1"/>
      <protection locked="0"/>
    </xf>
    <xf numFmtId="0" fontId="14" fillId="3" borderId="10" xfId="9" applyFont="1" applyFill="1" applyBorder="1" applyAlignment="1" applyProtection="1">
      <alignment horizontal="center" vertical="center" wrapText="1"/>
      <protection locked="0"/>
    </xf>
    <xf numFmtId="0" fontId="6" fillId="0" borderId="137" xfId="9" applyFont="1" applyFill="1" applyBorder="1" applyAlignment="1" applyProtection="1">
      <alignment horizontal="center" vertical="center"/>
      <protection locked="0"/>
    </xf>
    <xf numFmtId="193" fontId="6" fillId="36" borderId="136" xfId="2" applyNumberFormat="1" applyFont="1" applyFill="1" applyBorder="1" applyAlignment="1" applyProtection="1">
      <alignment vertical="top"/>
    </xf>
    <xf numFmtId="193" fontId="6" fillId="36" borderId="136" xfId="2" applyNumberFormat="1" applyFont="1" applyFill="1" applyBorder="1" applyAlignment="1" applyProtection="1">
      <alignment vertical="top" wrapText="1"/>
    </xf>
    <xf numFmtId="0" fontId="6" fillId="0" borderId="137" xfId="9" applyFont="1" applyFill="1" applyBorder="1" applyAlignment="1" applyProtection="1">
      <alignment horizontal="center" vertical="center" wrapText="1"/>
      <protection locked="0"/>
    </xf>
    <xf numFmtId="193" fontId="6" fillId="36" borderId="136" xfId="2" applyNumberFormat="1" applyFont="1" applyFill="1" applyBorder="1" applyAlignment="1" applyProtection="1">
      <alignment vertical="top" wrapText="1"/>
      <protection locked="0"/>
    </xf>
    <xf numFmtId="0" fontId="6" fillId="0" borderId="135" xfId="9" applyFont="1" applyFill="1" applyBorder="1" applyAlignment="1" applyProtection="1">
      <alignment horizontal="center" vertical="center" wrapText="1"/>
      <protection locked="0"/>
    </xf>
    <xf numFmtId="0" fontId="14" fillId="36" borderId="134" xfId="13" applyFont="1" applyFill="1" applyBorder="1" applyAlignment="1" applyProtection="1">
      <alignment vertical="center" wrapText="1"/>
      <protection locked="0"/>
    </xf>
    <xf numFmtId="193" fontId="6" fillId="36" borderId="133" xfId="2" applyNumberFormat="1" applyFont="1" applyFill="1" applyBorder="1" applyAlignment="1" applyProtection="1">
      <alignment vertical="top" wrapText="1"/>
    </xf>
    <xf numFmtId="10" fontId="8" fillId="2" borderId="127" xfId="20961" applyNumberFormat="1" applyFont="1" applyFill="1" applyBorder="1" applyAlignment="1" applyProtection="1">
      <alignment vertical="center"/>
      <protection locked="0"/>
    </xf>
    <xf numFmtId="193" fontId="8" fillId="2" borderId="127" xfId="0" applyNumberFormat="1" applyFont="1" applyFill="1" applyBorder="1" applyAlignment="1" applyProtection="1">
      <alignment vertical="center"/>
      <protection locked="0"/>
    </xf>
    <xf numFmtId="3" fontId="115" fillId="0" borderId="4" xfId="0" applyNumberFormat="1" applyFont="1" applyBorder="1" applyAlignment="1">
      <alignment wrapText="1"/>
    </xf>
    <xf numFmtId="10" fontId="4" fillId="0" borderId="0" xfId="0" applyNumberFormat="1" applyFont="1"/>
    <xf numFmtId="9" fontId="124" fillId="0" borderId="127" xfId="7" applyNumberFormat="1" applyFont="1" applyBorder="1"/>
    <xf numFmtId="167" fontId="116" fillId="0" borderId="0" xfId="0" applyNumberFormat="1" applyFont="1"/>
    <xf numFmtId="39" fontId="116" fillId="0" borderId="0" xfId="0" applyNumberFormat="1" applyFont="1" applyFill="1"/>
    <xf numFmtId="3" fontId="6" fillId="0" borderId="0" xfId="0" applyNumberFormat="1" applyFont="1"/>
    <xf numFmtId="3" fontId="6" fillId="0" borderId="0" xfId="0" applyNumberFormat="1" applyFont="1" applyBorder="1"/>
    <xf numFmtId="3" fontId="0" fillId="0" borderId="127" xfId="0" applyNumberFormat="1" applyBorder="1"/>
    <xf numFmtId="3" fontId="0" fillId="0" borderId="127" xfId="0" applyNumberFormat="1" applyBorder="1" applyAlignment="1">
      <alignment vertical="center"/>
    </xf>
    <xf numFmtId="3" fontId="3" fillId="0" borderId="127" xfId="0" applyNumberFormat="1" applyFont="1" applyBorder="1"/>
    <xf numFmtId="3" fontId="0" fillId="0" borderId="134" xfId="0" applyNumberFormat="1" applyBorder="1"/>
    <xf numFmtId="3" fontId="8" fillId="0" borderId="136" xfId="0" applyNumberFormat="1" applyFont="1" applyFill="1" applyBorder="1" applyAlignment="1" applyProtection="1">
      <alignment horizontal="center" vertical="center" wrapText="1"/>
    </xf>
    <xf numFmtId="3" fontId="0" fillId="36" borderId="136" xfId="0" applyNumberFormat="1" applyFill="1" applyBorder="1"/>
    <xf numFmtId="3" fontId="0" fillId="36" borderId="136" xfId="0" applyNumberFormat="1" applyFill="1" applyBorder="1" applyAlignment="1">
      <alignment vertical="center"/>
    </xf>
    <xf numFmtId="3" fontId="0" fillId="0" borderId="127" xfId="0" applyNumberFormat="1" applyFill="1" applyBorder="1"/>
    <xf numFmtId="3" fontId="4" fillId="0" borderId="16" xfId="0" applyNumberFormat="1" applyFont="1" applyFill="1" applyBorder="1" applyAlignment="1">
      <alignment vertical="center"/>
    </xf>
    <xf numFmtId="3" fontId="4" fillId="0" borderId="18" xfId="0" applyNumberFormat="1" applyFont="1" applyFill="1" applyBorder="1" applyAlignment="1">
      <alignment vertical="center"/>
    </xf>
    <xf numFmtId="3" fontId="4" fillId="0" borderId="17" xfId="0" applyNumberFormat="1" applyFont="1" applyFill="1" applyBorder="1" applyAlignment="1">
      <alignment vertical="center"/>
    </xf>
    <xf numFmtId="194" fontId="124" fillId="0" borderId="127" xfId="20961" applyNumberFormat="1" applyFont="1" applyBorder="1"/>
    <xf numFmtId="10" fontId="124" fillId="0" borderId="127" xfId="7" applyNumberFormat="1" applyFont="1" applyBorder="1"/>
    <xf numFmtId="195" fontId="115" fillId="0" borderId="0" xfId="0" applyNumberFormat="1" applyFont="1"/>
    <xf numFmtId="0" fontId="12" fillId="0" borderId="127" xfId="0" applyFont="1" applyBorder="1" applyAlignment="1">
      <alignment wrapText="1"/>
    </xf>
    <xf numFmtId="0" fontId="9" fillId="0" borderId="127" xfId="0" applyFont="1" applyBorder="1" applyAlignment="1">
      <alignment horizontal="center" vertical="center" wrapText="1"/>
    </xf>
    <xf numFmtId="0" fontId="8" fillId="0" borderId="127" xfId="0" applyFont="1" applyBorder="1" applyAlignment="1">
      <alignment wrapText="1"/>
    </xf>
    <xf numFmtId="0" fontId="8" fillId="0" borderId="127" xfId="0" applyFont="1" applyBorder="1" applyAlignment="1">
      <alignment horizontal="left" vertical="center" wrapText="1"/>
    </xf>
    <xf numFmtId="0" fontId="9" fillId="0" borderId="10" xfId="0" applyFont="1" applyBorder="1" applyAlignment="1">
      <alignment horizontal="center" wrapText="1"/>
    </xf>
    <xf numFmtId="0" fontId="8" fillId="0" borderId="137" xfId="0" applyFont="1" applyBorder="1" applyAlignment="1">
      <alignment vertical="center"/>
    </xf>
    <xf numFmtId="0" fontId="4" fillId="0" borderId="136" xfId="0" applyFont="1" applyBorder="1" applyAlignment="1"/>
    <xf numFmtId="0" fontId="9" fillId="0" borderId="136" xfId="0" applyFont="1" applyBorder="1" applyAlignment="1">
      <alignment horizontal="center" vertical="center" wrapText="1"/>
    </xf>
    <xf numFmtId="0" fontId="8" fillId="0" borderId="136" xfId="0" applyFont="1" applyBorder="1" applyAlignment="1"/>
    <xf numFmtId="0" fontId="8" fillId="0" borderId="136" xfId="0" applyFont="1" applyBorder="1" applyAlignment="1">
      <alignment wrapText="1"/>
    </xf>
    <xf numFmtId="0" fontId="8" fillId="0" borderId="135" xfId="0" applyFont="1" applyBorder="1" applyAlignment="1">
      <alignment vertical="center"/>
    </xf>
    <xf numFmtId="0" fontId="12" fillId="0" borderId="134" xfId="0" applyFont="1" applyBorder="1" applyAlignment="1">
      <alignment wrapText="1"/>
    </xf>
    <xf numFmtId="3" fontId="4" fillId="13" borderId="0" xfId="23" applyNumberFormat="1" applyAlignment="1">
      <alignment wrapText="1"/>
    </xf>
    <xf numFmtId="196" fontId="116" fillId="0" borderId="0" xfId="0" applyNumberFormat="1" applyFont="1"/>
    <xf numFmtId="0" fontId="8" fillId="0" borderId="127" xfId="0" applyFont="1" applyFill="1" applyBorder="1" applyAlignment="1" applyProtection="1">
      <alignment horizontal="center" vertical="center" wrapText="1"/>
    </xf>
    <xf numFmtId="0" fontId="14" fillId="0" borderId="127" xfId="0" applyNumberFormat="1" applyFont="1" applyFill="1" applyBorder="1" applyAlignment="1">
      <alignment vertical="center" wrapText="1"/>
    </xf>
    <xf numFmtId="193" fontId="8" fillId="36" borderId="127" xfId="0" applyNumberFormat="1" applyFont="1" applyFill="1" applyBorder="1" applyAlignment="1" applyProtection="1">
      <alignment horizontal="right"/>
    </xf>
    <xf numFmtId="193" fontId="8" fillId="0" borderId="134" xfId="0" applyNumberFormat="1" applyFont="1" applyFill="1" applyBorder="1" applyAlignment="1" applyProtection="1">
      <alignment horizontal="right"/>
    </xf>
    <xf numFmtId="193" fontId="8" fillId="36" borderId="134" xfId="0" applyNumberFormat="1" applyFont="1" applyFill="1" applyBorder="1" applyAlignment="1" applyProtection="1">
      <alignment horizontal="right"/>
    </xf>
    <xf numFmtId="4" fontId="8" fillId="0" borderId="127" xfId="0" applyNumberFormat="1" applyFont="1" applyFill="1" applyBorder="1" applyAlignment="1" applyProtection="1">
      <alignment horizontal="center" vertical="center" wrapText="1"/>
    </xf>
    <xf numFmtId="4" fontId="0" fillId="36" borderId="127" xfId="0" applyNumberFormat="1" applyFill="1" applyBorder="1"/>
    <xf numFmtId="0" fontId="131" fillId="0" borderId="127" xfId="21414" applyFont="1" applyFill="1" applyBorder="1" applyAlignment="1">
      <alignment horizontal="justify" vertical="center" wrapText="1"/>
    </xf>
    <xf numFmtId="0" fontId="131" fillId="0" borderId="127" xfId="21414" applyFont="1" applyFill="1" applyBorder="1" applyAlignment="1">
      <alignment vertical="center" wrapText="1"/>
    </xf>
    <xf numFmtId="0" fontId="0" fillId="0" borderId="127" xfId="0" applyBorder="1" applyAlignment="1">
      <alignment horizontal="center" vertical="center"/>
    </xf>
    <xf numFmtId="0" fontId="131" fillId="0" borderId="127" xfId="0" applyFont="1" applyFill="1" applyBorder="1" applyAlignment="1">
      <alignment horizontal="justify" vertical="center" wrapText="1"/>
    </xf>
    <xf numFmtId="0" fontId="129" fillId="0" borderId="127" xfId="0" applyFont="1" applyFill="1" applyBorder="1" applyAlignment="1">
      <alignment horizontal="justify" vertical="center" wrapText="1"/>
    </xf>
    <xf numFmtId="0" fontId="129" fillId="0" borderId="127" xfId="0" applyFont="1" applyFill="1" applyBorder="1" applyAlignment="1">
      <alignment vertical="center" wrapText="1"/>
    </xf>
    <xf numFmtId="0" fontId="131" fillId="0" borderId="127" xfId="0" applyFont="1" applyFill="1" applyBorder="1" applyAlignment="1">
      <alignment vertical="center" wrapText="1"/>
    </xf>
    <xf numFmtId="3" fontId="0" fillId="36" borderId="133" xfId="0" applyNumberFormat="1" applyFill="1" applyBorder="1"/>
    <xf numFmtId="0" fontId="8" fillId="0" borderId="0" xfId="0" applyFont="1" applyBorder="1"/>
    <xf numFmtId="0" fontId="9" fillId="0" borderId="0" xfId="0" applyFont="1" applyBorder="1" applyAlignment="1">
      <alignment horizontal="center"/>
    </xf>
    <xf numFmtId="0" fontId="6" fillId="0" borderId="127" xfId="0" applyFont="1" applyFill="1" applyBorder="1" applyAlignment="1">
      <alignment vertical="center" wrapText="1"/>
    </xf>
    <xf numFmtId="0" fontId="14" fillId="0" borderId="127" xfId="0" applyFont="1" applyFill="1" applyBorder="1" applyAlignment="1">
      <alignment horizontal="center" vertical="center" wrapText="1"/>
    </xf>
    <xf numFmtId="169" fontId="25" fillId="37" borderId="127" xfId="20" applyBorder="1"/>
    <xf numFmtId="0" fontId="15" fillId="0" borderId="127" xfId="0" applyFont="1" applyFill="1" applyBorder="1" applyAlignment="1">
      <alignment horizontal="left" vertical="center" wrapText="1"/>
    </xf>
    <xf numFmtId="0" fontId="6" fillId="0" borderId="127" xfId="0" applyFont="1" applyBorder="1" applyAlignment="1">
      <alignment vertical="center" wrapText="1"/>
    </xf>
    <xf numFmtId="0" fontId="8" fillId="2" borderId="127" xfId="0" applyFont="1" applyFill="1" applyBorder="1" applyAlignment="1">
      <alignment vertical="center"/>
    </xf>
    <xf numFmtId="0" fontId="8" fillId="0" borderId="127" xfId="0" applyFont="1" applyFill="1" applyBorder="1" applyAlignment="1">
      <alignment horizontal="left" vertical="center" wrapText="1"/>
    </xf>
    <xf numFmtId="194" fontId="8" fillId="2" borderId="127" xfId="20961" applyNumberFormat="1" applyFont="1" applyFill="1" applyBorder="1" applyAlignment="1" applyProtection="1">
      <alignment vertical="center"/>
      <protection locked="0"/>
    </xf>
    <xf numFmtId="0" fontId="8" fillId="0" borderId="137" xfId="0" applyFont="1" applyFill="1" applyBorder="1" applyAlignment="1">
      <alignment horizontal="center" vertical="center" wrapText="1"/>
    </xf>
    <xf numFmtId="169" fontId="25" fillId="37" borderId="136" xfId="20" applyBorder="1"/>
    <xf numFmtId="0" fontId="8" fillId="0" borderId="137" xfId="0" applyFont="1" applyFill="1" applyBorder="1" applyAlignment="1">
      <alignment horizontal="right" vertical="center" wrapText="1"/>
    </xf>
    <xf numFmtId="0" fontId="8" fillId="0" borderId="137" xfId="0" applyFont="1" applyBorder="1" applyAlignment="1">
      <alignment horizontal="right" vertical="center" wrapText="1"/>
    </xf>
    <xf numFmtId="0" fontId="8" fillId="2" borderId="137" xfId="0" applyFont="1" applyFill="1" applyBorder="1" applyAlignment="1">
      <alignment horizontal="right" vertical="center"/>
    </xf>
    <xf numFmtId="0" fontId="14" fillId="0" borderId="137" xfId="0" applyFont="1" applyFill="1" applyBorder="1" applyAlignment="1">
      <alignment horizontal="center" vertical="center" wrapText="1"/>
    </xf>
    <xf numFmtId="0" fontId="8" fillId="2" borderId="135" xfId="0" applyFont="1" applyFill="1" applyBorder="1" applyAlignment="1">
      <alignment horizontal="right" vertical="center"/>
    </xf>
    <xf numFmtId="193" fontId="8" fillId="2" borderId="134" xfId="0" applyNumberFormat="1" applyFont="1" applyFill="1" applyBorder="1" applyAlignment="1" applyProtection="1">
      <alignment vertical="center"/>
      <protection locked="0"/>
    </xf>
    <xf numFmtId="10" fontId="141" fillId="2" borderId="134" xfId="20961" applyNumberFormat="1" applyFont="1" applyFill="1" applyBorder="1" applyAlignment="1" applyProtection="1">
      <alignment vertical="center"/>
      <protection locked="0"/>
    </xf>
    <xf numFmtId="10" fontId="141" fillId="2" borderId="95" xfId="20961" applyNumberFormat="1" applyFont="1" applyFill="1" applyBorder="1" applyAlignment="1" applyProtection="1">
      <alignment vertical="center"/>
      <protection locked="0"/>
    </xf>
    <xf numFmtId="10" fontId="8" fillId="85" borderId="129" xfId="0" applyNumberFormat="1" applyFont="1" applyFill="1" applyBorder="1" applyAlignment="1" applyProtection="1">
      <alignment vertical="center"/>
      <protection locked="0"/>
    </xf>
    <xf numFmtId="0" fontId="2" fillId="0" borderId="42" xfId="0" applyNumberFormat="1" applyFont="1" applyFill="1" applyBorder="1" applyAlignment="1">
      <alignment horizontal="left" vertical="center" wrapText="1" indent="1"/>
    </xf>
    <xf numFmtId="169" fontId="25" fillId="37" borderId="140" xfId="20" applyBorder="1"/>
    <xf numFmtId="193" fontId="6" fillId="0" borderId="140" xfId="0" applyNumberFormat="1" applyFont="1" applyBorder="1" applyAlignment="1" applyProtection="1">
      <alignment vertical="center" wrapText="1"/>
      <protection locked="0"/>
    </xf>
    <xf numFmtId="193" fontId="6" fillId="0" borderId="140" xfId="0" applyNumberFormat="1" applyFont="1" applyBorder="1" applyAlignment="1" applyProtection="1">
      <alignment horizontal="right" vertical="center" wrapText="1"/>
      <protection locked="0"/>
    </xf>
    <xf numFmtId="10" fontId="142" fillId="0" borderId="140" xfId="0" applyNumberFormat="1" applyFont="1" applyBorder="1" applyAlignment="1" applyProtection="1">
      <alignment horizontal="right" vertical="center" wrapText="1"/>
      <protection locked="0"/>
    </xf>
    <xf numFmtId="165" fontId="142" fillId="0" borderId="140" xfId="0" applyNumberFormat="1" applyFont="1" applyBorder="1" applyAlignment="1" applyProtection="1">
      <alignment horizontal="right" vertical="center" wrapText="1"/>
      <protection locked="0"/>
    </xf>
    <xf numFmtId="10" fontId="8" fillId="85" borderId="140" xfId="0" applyNumberFormat="1" applyFont="1" applyFill="1" applyBorder="1" applyAlignment="1" applyProtection="1">
      <alignment vertical="center"/>
      <protection locked="0"/>
    </xf>
    <xf numFmtId="10" fontId="16" fillId="2" borderId="140" xfId="20961" applyNumberFormat="1" applyFont="1" applyFill="1" applyBorder="1" applyAlignment="1" applyProtection="1">
      <alignment vertical="center"/>
      <protection locked="0"/>
    </xf>
    <xf numFmtId="10" fontId="8" fillId="2" borderId="140" xfId="20961" applyNumberFormat="1" applyFont="1" applyFill="1" applyBorder="1" applyAlignment="1" applyProtection="1">
      <alignment vertical="center"/>
      <protection locked="0"/>
    </xf>
    <xf numFmtId="193" fontId="8" fillId="2" borderId="140" xfId="0" applyNumberFormat="1" applyFont="1" applyFill="1" applyBorder="1" applyAlignment="1" applyProtection="1">
      <alignment vertical="center"/>
      <protection locked="0"/>
    </xf>
    <xf numFmtId="193" fontId="16" fillId="2" borderId="140" xfId="0" applyNumberFormat="1" applyFont="1" applyFill="1" applyBorder="1" applyAlignment="1" applyProtection="1">
      <alignment vertical="center"/>
      <protection locked="0"/>
    </xf>
    <xf numFmtId="10" fontId="141" fillId="2" borderId="44" xfId="20961" applyNumberFormat="1" applyFont="1" applyFill="1" applyBorder="1" applyAlignment="1" applyProtection="1">
      <alignment vertical="center"/>
      <protection locked="0"/>
    </xf>
    <xf numFmtId="0" fontId="6" fillId="0" borderId="127" xfId="0" applyNumberFormat="1" applyFont="1" applyFill="1" applyBorder="1" applyAlignment="1">
      <alignment horizontal="left" vertical="center" wrapText="1" indent="1"/>
    </xf>
    <xf numFmtId="0" fontId="3" fillId="0" borderId="127" xfId="0" applyFont="1" applyBorder="1" applyAlignment="1">
      <alignment vertical="center"/>
    </xf>
    <xf numFmtId="0" fontId="135" fillId="0" borderId="127" xfId="0" applyFont="1" applyFill="1" applyBorder="1" applyAlignment="1" applyProtection="1">
      <alignment horizontal="left" vertical="center" indent="1"/>
      <protection locked="0"/>
    </xf>
    <xf numFmtId="0" fontId="136" fillId="0" borderId="127" xfId="0" applyFont="1" applyFill="1" applyBorder="1" applyAlignment="1" applyProtection="1">
      <alignment horizontal="left" vertical="center" indent="3"/>
      <protection locked="0"/>
    </xf>
    <xf numFmtId="0" fontId="137" fillId="0" borderId="127" xfId="0" applyFont="1" applyFill="1" applyBorder="1" applyAlignment="1" applyProtection="1">
      <alignment horizontal="left" vertical="center" indent="3"/>
      <protection locked="0"/>
    </xf>
    <xf numFmtId="0" fontId="3" fillId="0" borderId="127" xfId="0" applyFont="1" applyFill="1" applyBorder="1" applyAlignment="1">
      <alignment vertical="center"/>
    </xf>
    <xf numFmtId="0" fontId="8" fillId="0" borderId="136" xfId="0" applyFont="1" applyFill="1" applyBorder="1" applyAlignment="1" applyProtection="1">
      <alignment horizontal="center" vertical="center" wrapText="1"/>
    </xf>
    <xf numFmtId="193" fontId="8" fillId="36" borderId="136" xfId="0" applyNumberFormat="1" applyFont="1" applyFill="1" applyBorder="1" applyAlignment="1" applyProtection="1">
      <alignment horizontal="right"/>
    </xf>
    <xf numFmtId="0" fontId="3" fillId="0" borderId="134" xfId="0" applyFont="1" applyBorder="1"/>
    <xf numFmtId="193" fontId="8" fillId="36" borderId="133" xfId="0" applyNumberFormat="1" applyFont="1" applyFill="1" applyBorder="1" applyAlignment="1" applyProtection="1">
      <alignment horizontal="right"/>
    </xf>
    <xf numFmtId="193" fontId="6" fillId="0" borderId="129" xfId="0" applyNumberFormat="1" applyFont="1" applyBorder="1" applyAlignment="1" applyProtection="1">
      <alignment vertical="center" wrapText="1"/>
      <protection locked="0"/>
    </xf>
    <xf numFmtId="193" fontId="6" fillId="0" borderId="4" xfId="0" applyNumberFormat="1" applyFont="1" applyBorder="1" applyAlignment="1" applyProtection="1">
      <alignment vertical="center" wrapText="1"/>
      <protection locked="0"/>
    </xf>
    <xf numFmtId="193" fontId="6" fillId="0" borderId="8" xfId="0" applyNumberFormat="1" applyFont="1" applyBorder="1" applyAlignment="1" applyProtection="1">
      <alignment vertical="center" wrapText="1"/>
      <protection locked="0"/>
    </xf>
    <xf numFmtId="169" fontId="25" fillId="86" borderId="0" xfId="0" applyNumberFormat="1" applyFont="1" applyFill="1"/>
    <xf numFmtId="193" fontId="6" fillId="0" borderId="129" xfId="0" applyNumberFormat="1" applyFont="1" applyBorder="1" applyAlignment="1" applyProtection="1">
      <alignment horizontal="right" vertical="center" wrapText="1"/>
      <protection locked="0"/>
    </xf>
    <xf numFmtId="10" fontId="142" fillId="0" borderId="129" xfId="0" applyNumberFormat="1" applyFont="1" applyBorder="1" applyAlignment="1" applyProtection="1">
      <alignment horizontal="right" vertical="center" wrapText="1"/>
      <protection locked="0"/>
    </xf>
    <xf numFmtId="165" fontId="142" fillId="0" borderId="8" xfId="0" applyNumberFormat="1" applyFont="1" applyBorder="1" applyAlignment="1" applyProtection="1">
      <alignment horizontal="right" vertical="center" wrapText="1"/>
      <protection locked="0"/>
    </xf>
    <xf numFmtId="10" fontId="142" fillId="0" borderId="4" xfId="0" applyNumberFormat="1" applyFont="1" applyBorder="1" applyAlignment="1" applyProtection="1">
      <alignment horizontal="right" vertical="center" wrapText="1"/>
      <protection locked="0"/>
    </xf>
    <xf numFmtId="10" fontId="142" fillId="0" borderId="8" xfId="0" applyNumberFormat="1" applyFont="1" applyBorder="1" applyAlignment="1" applyProtection="1">
      <alignment horizontal="right" vertical="center" wrapText="1"/>
      <protection locked="0"/>
    </xf>
    <xf numFmtId="10" fontId="8" fillId="85" borderId="4" xfId="0" applyNumberFormat="1" applyFont="1" applyFill="1" applyBorder="1" applyAlignment="1" applyProtection="1">
      <alignment vertical="center"/>
      <protection locked="0"/>
    </xf>
    <xf numFmtId="10" fontId="8" fillId="85" borderId="8" xfId="0" applyNumberFormat="1" applyFont="1" applyFill="1" applyBorder="1" applyAlignment="1" applyProtection="1">
      <alignment vertical="center"/>
      <protection locked="0"/>
    </xf>
    <xf numFmtId="10" fontId="16" fillId="85" borderId="8" xfId="0" applyNumberFormat="1" applyFont="1" applyFill="1" applyBorder="1" applyAlignment="1" applyProtection="1">
      <alignment vertical="center"/>
      <protection locked="0"/>
    </xf>
    <xf numFmtId="193" fontId="8" fillId="85" borderId="127" xfId="0" applyNumberFormat="1" applyFont="1" applyFill="1" applyBorder="1" applyAlignment="1" applyProtection="1">
      <alignment vertical="center"/>
      <protection locked="0"/>
    </xf>
    <xf numFmtId="193" fontId="8" fillId="85" borderId="129" xfId="0" applyNumberFormat="1" applyFont="1" applyFill="1" applyBorder="1" applyAlignment="1" applyProtection="1">
      <alignment vertical="center"/>
      <protection locked="0"/>
    </xf>
    <xf numFmtId="193" fontId="8" fillId="85" borderId="4" xfId="0" applyNumberFormat="1" applyFont="1" applyFill="1" applyBorder="1" applyAlignment="1" applyProtection="1">
      <alignment vertical="center"/>
      <protection locked="0"/>
    </xf>
    <xf numFmtId="193" fontId="8" fillId="85" borderId="8" xfId="0" applyNumberFormat="1" applyFont="1" applyFill="1" applyBorder="1" applyAlignment="1" applyProtection="1">
      <alignment vertical="center"/>
      <protection locked="0"/>
    </xf>
    <xf numFmtId="193" fontId="16" fillId="85" borderId="8" xfId="0" applyNumberFormat="1" applyFont="1" applyFill="1" applyBorder="1" applyAlignment="1" applyProtection="1">
      <alignment vertical="center"/>
      <protection locked="0"/>
    </xf>
    <xf numFmtId="194" fontId="8" fillId="85" borderId="4" xfId="0" applyNumberFormat="1" applyFont="1" applyFill="1" applyBorder="1" applyAlignment="1" applyProtection="1">
      <alignment vertical="center"/>
      <protection locked="0"/>
    </xf>
    <xf numFmtId="194" fontId="8" fillId="85" borderId="8" xfId="0" applyNumberFormat="1" applyFont="1" applyFill="1" applyBorder="1" applyAlignment="1" applyProtection="1">
      <alignment vertical="center"/>
      <protection locked="0"/>
    </xf>
    <xf numFmtId="10" fontId="141" fillId="85" borderId="141" xfId="0" applyNumberFormat="1" applyFont="1" applyFill="1" applyBorder="1" applyAlignment="1" applyProtection="1">
      <alignment vertical="center"/>
      <protection locked="0"/>
    </xf>
    <xf numFmtId="10" fontId="141" fillId="85" borderId="142" xfId="0" applyNumberFormat="1" applyFont="1" applyFill="1" applyBorder="1" applyAlignment="1" applyProtection="1">
      <alignment vertical="center"/>
      <protection locked="0"/>
    </xf>
    <xf numFmtId="193" fontId="6" fillId="0" borderId="127" xfId="0" applyNumberFormat="1" applyFont="1" applyBorder="1" applyAlignment="1" applyProtection="1">
      <alignment vertical="center" wrapText="1"/>
      <protection locked="0"/>
    </xf>
    <xf numFmtId="193" fontId="6" fillId="0" borderId="127" xfId="0" applyNumberFormat="1" applyFont="1" applyBorder="1" applyAlignment="1" applyProtection="1">
      <alignment horizontal="right" vertical="center" wrapText="1"/>
      <protection locked="0"/>
    </xf>
    <xf numFmtId="10" fontId="142" fillId="0" borderId="127" xfId="0" applyNumberFormat="1" applyFont="1" applyBorder="1" applyAlignment="1" applyProtection="1">
      <alignment horizontal="right" vertical="center" wrapText="1"/>
      <protection locked="0"/>
    </xf>
    <xf numFmtId="165" fontId="142" fillId="0" borderId="127" xfId="0" applyNumberFormat="1" applyFont="1" applyBorder="1" applyAlignment="1" applyProtection="1">
      <alignment horizontal="right" vertical="center" wrapText="1"/>
      <protection locked="0"/>
    </xf>
    <xf numFmtId="10" fontId="8" fillId="85" borderId="127" xfId="0" applyNumberFormat="1" applyFont="1" applyFill="1" applyBorder="1" applyAlignment="1" applyProtection="1">
      <alignment vertical="center"/>
      <protection locked="0"/>
    </xf>
    <xf numFmtId="0" fontId="6" fillId="0" borderId="127" xfId="13" applyFont="1" applyFill="1" applyBorder="1" applyAlignment="1" applyProtection="1">
      <alignment wrapText="1"/>
      <protection locked="0"/>
    </xf>
    <xf numFmtId="0" fontId="6" fillId="0" borderId="127" xfId="13" applyFont="1" applyFill="1" applyBorder="1" applyAlignment="1" applyProtection="1">
      <alignment vertical="center" wrapText="1"/>
      <protection locked="0"/>
    </xf>
    <xf numFmtId="4" fontId="4" fillId="0" borderId="0" xfId="0" applyNumberFormat="1" applyFont="1" applyFill="1" applyAlignment="1">
      <alignment horizontal="left" vertical="center"/>
    </xf>
    <xf numFmtId="43" fontId="116" fillId="0" borderId="0" xfId="0" applyNumberFormat="1" applyFont="1"/>
    <xf numFmtId="43" fontId="119" fillId="0" borderId="0" xfId="0" applyNumberFormat="1" applyFont="1"/>
    <xf numFmtId="194" fontId="142" fillId="0" borderId="127" xfId="0" applyNumberFormat="1" applyFont="1" applyBorder="1" applyAlignment="1" applyProtection="1">
      <alignment horizontal="right" vertical="center" wrapText="1"/>
      <protection locked="0"/>
    </xf>
    <xf numFmtId="167" fontId="4" fillId="0" borderId="136" xfId="0" applyNumberFormat="1" applyFont="1" applyBorder="1" applyAlignment="1"/>
    <xf numFmtId="193" fontId="4" fillId="36" borderId="151" xfId="0" applyNumberFormat="1" applyFont="1" applyFill="1" applyBorder="1"/>
    <xf numFmtId="167" fontId="4" fillId="36" borderId="133" xfId="0" applyNumberFormat="1" applyFont="1" applyFill="1" applyBorder="1"/>
    <xf numFmtId="4" fontId="116" fillId="0" borderId="121" xfId="0" applyNumberFormat="1" applyFont="1" applyBorder="1" applyAlignment="1">
      <alignment horizontal="center" vertical="center" wrapText="1"/>
    </xf>
    <xf numFmtId="4" fontId="116" fillId="0" borderId="121" xfId="0" applyNumberFormat="1" applyFont="1" applyFill="1" applyBorder="1" applyAlignment="1">
      <alignment horizontal="center" vertical="center" wrapText="1"/>
    </xf>
    <xf numFmtId="3" fontId="119" fillId="0" borderId="121" xfId="0" applyNumberFormat="1" applyFont="1" applyBorder="1"/>
    <xf numFmtId="3" fontId="22" fillId="0" borderId="127" xfId="0" applyNumberFormat="1" applyFont="1" applyBorder="1" applyAlignment="1">
      <alignment horizontal="right"/>
    </xf>
    <xf numFmtId="0" fontId="115" fillId="0" borderId="127" xfId="0" applyFont="1" applyFill="1" applyBorder="1" applyAlignment="1">
      <alignment horizontal="right"/>
    </xf>
    <xf numFmtId="166" fontId="115" fillId="36" borderId="127" xfId="21413" applyFont="1" applyFill="1" applyBorder="1" applyAlignment="1">
      <alignment horizontal="right"/>
    </xf>
    <xf numFmtId="3" fontId="118" fillId="0" borderId="127" xfId="0" applyNumberFormat="1" applyFont="1" applyBorder="1" applyAlignment="1">
      <alignment horizontal="right"/>
    </xf>
    <xf numFmtId="0" fontId="118" fillId="0" borderId="127" xfId="0" applyFont="1" applyBorder="1" applyAlignment="1">
      <alignment horizontal="right"/>
    </xf>
    <xf numFmtId="3" fontId="115" fillId="0" borderId="127" xfId="0" applyNumberFormat="1" applyFont="1" applyBorder="1" applyAlignment="1">
      <alignment horizontal="right"/>
    </xf>
    <xf numFmtId="4" fontId="115" fillId="0" borderId="127" xfId="0" applyNumberFormat="1" applyFont="1" applyBorder="1" applyAlignment="1">
      <alignment horizontal="right"/>
    </xf>
    <xf numFmtId="4" fontId="115" fillId="0" borderId="127" xfId="0" applyNumberFormat="1" applyFont="1" applyFill="1" applyBorder="1" applyAlignment="1">
      <alignment horizontal="right"/>
    </xf>
    <xf numFmtId="0" fontId="140" fillId="0" borderId="47" xfId="0" applyFont="1" applyBorder="1" applyAlignment="1">
      <alignment horizontal="center" vertical="center" wrapText="1"/>
    </xf>
    <xf numFmtId="0" fontId="103" fillId="0" borderId="53" xfId="0" applyFont="1" applyBorder="1" applyAlignment="1">
      <alignment horizontal="left" vertical="center" wrapText="1"/>
    </xf>
    <xf numFmtId="0" fontId="103" fillId="0" borderId="52" xfId="0" applyFont="1" applyBorder="1" applyAlignment="1">
      <alignment horizontal="left" vertical="center" wrapText="1"/>
    </xf>
    <xf numFmtId="0" fontId="0" fillId="0" borderId="127" xfId="0" applyBorder="1" applyAlignment="1">
      <alignment horizontal="center"/>
    </xf>
    <xf numFmtId="0" fontId="0" fillId="0" borderId="136" xfId="0" applyBorder="1" applyAlignment="1">
      <alignment horizontal="center"/>
    </xf>
    <xf numFmtId="0" fontId="0" fillId="0" borderId="9" xfId="0" applyBorder="1" applyAlignment="1">
      <alignment horizontal="center" vertical="center"/>
    </xf>
    <xf numFmtId="0" fontId="0" fillId="0" borderId="137" xfId="0" applyBorder="1" applyAlignment="1">
      <alignment horizontal="center" vertical="center"/>
    </xf>
    <xf numFmtId="0" fontId="127" fillId="0" borderId="10" xfId="0" applyFont="1" applyBorder="1" applyAlignment="1">
      <alignment horizontal="center" vertical="center"/>
    </xf>
    <xf numFmtId="0" fontId="127" fillId="0" borderId="127" xfId="0" applyFont="1" applyBorder="1" applyAlignment="1">
      <alignment horizontal="center" vertical="center"/>
    </xf>
    <xf numFmtId="3" fontId="9" fillId="0" borderId="10" xfId="0" applyNumberFormat="1" applyFont="1" applyFill="1" applyBorder="1" applyAlignment="1" applyProtection="1">
      <alignment horizontal="center" vertical="center"/>
    </xf>
    <xf numFmtId="3" fontId="9" fillId="0" borderId="11" xfId="0" applyNumberFormat="1" applyFont="1" applyFill="1" applyBorder="1" applyAlignment="1" applyProtection="1">
      <alignment horizontal="center" vertical="center"/>
    </xf>
    <xf numFmtId="0" fontId="127" fillId="0" borderId="127" xfId="0" applyFont="1" applyBorder="1" applyAlignment="1">
      <alignment horizontal="center" vertical="center" wrapText="1"/>
    </xf>
    <xf numFmtId="4" fontId="9" fillId="0" borderId="127" xfId="0" applyNumberFormat="1" applyFont="1" applyFill="1" applyBorder="1" applyAlignment="1" applyProtection="1">
      <alignment horizontal="center" vertical="center"/>
    </xf>
    <xf numFmtId="0" fontId="0" fillId="0" borderId="127" xfId="0" applyBorder="1" applyAlignment="1">
      <alignment horizontal="center" vertical="center"/>
    </xf>
    <xf numFmtId="0" fontId="0" fillId="0" borderId="10" xfId="0" applyBorder="1" applyAlignment="1">
      <alignment horizontal="center" vertical="center" wrapText="1"/>
    </xf>
    <xf numFmtId="0" fontId="0" fillId="0" borderId="127" xfId="0" applyBorder="1" applyAlignment="1">
      <alignment horizontal="center" vertical="center" wrapText="1"/>
    </xf>
    <xf numFmtId="0" fontId="9" fillId="0" borderId="10" xfId="0" applyFont="1" applyFill="1" applyBorder="1" applyAlignment="1" applyProtection="1">
      <alignment horizontal="center"/>
    </xf>
    <xf numFmtId="0" fontId="9" fillId="0" borderId="11" xfId="0" applyFont="1" applyFill="1" applyBorder="1" applyAlignment="1" applyProtection="1">
      <alignment horizontal="center"/>
    </xf>
    <xf numFmtId="0" fontId="12" fillId="0" borderId="127" xfId="0" applyFont="1" applyBorder="1" applyAlignment="1">
      <alignment wrapText="1"/>
    </xf>
    <xf numFmtId="0" fontId="4" fillId="0" borderId="136" xfId="0" applyFont="1" applyBorder="1" applyAlignment="1"/>
    <xf numFmtId="0" fontId="9" fillId="0" borderId="127" xfId="0" applyFont="1" applyBorder="1" applyAlignment="1">
      <alignment horizontal="left" vertical="center" wrapText="1"/>
    </xf>
    <xf numFmtId="0" fontId="9" fillId="0" borderId="136" xfId="0" applyFont="1" applyBorder="1" applyAlignment="1">
      <alignment horizontal="left" vertical="center" wrapText="1"/>
    </xf>
    <xf numFmtId="0" fontId="9" fillId="0" borderId="127" xfId="0" applyFont="1" applyBorder="1" applyAlignment="1">
      <alignment horizontal="center" vertical="center" wrapText="1"/>
    </xf>
    <xf numFmtId="0" fontId="9" fillId="0" borderId="136" xfId="0" applyFont="1" applyBorder="1" applyAlignment="1">
      <alignment horizontal="center" vertical="center" wrapText="1"/>
    </xf>
    <xf numFmtId="0" fontId="4" fillId="0" borderId="127" xfId="0" applyFont="1" applyFill="1" applyBorder="1" applyAlignment="1">
      <alignment horizontal="center" vertical="center" wrapText="1"/>
    </xf>
    <xf numFmtId="3" fontId="20" fillId="0" borderId="127" xfId="0" applyNumberFormat="1" applyFont="1" applyFill="1" applyBorder="1" applyAlignment="1">
      <alignment horizontal="left" vertical="center" wrapText="1"/>
    </xf>
    <xf numFmtId="3" fontId="20" fillId="0" borderId="127" xfId="0" applyNumberFormat="1" applyFont="1" applyFill="1" applyBorder="1" applyAlignment="1">
      <alignment horizontal="left"/>
    </xf>
    <xf numFmtId="3" fontId="20" fillId="0" borderId="136" xfId="0" applyNumberFormat="1" applyFont="1" applyFill="1" applyBorder="1" applyAlignment="1">
      <alignment horizontal="left"/>
    </xf>
    <xf numFmtId="0" fontId="5" fillId="36" borderId="102"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99" xfId="0" applyFont="1" applyFill="1" applyBorder="1" applyAlignment="1">
      <alignment horizontal="center" vertical="center" wrapText="1"/>
    </xf>
    <xf numFmtId="0" fontId="5" fillId="36" borderId="84" xfId="0" applyFont="1" applyFill="1" applyBorder="1" applyAlignment="1">
      <alignment horizontal="center" vertical="center" wrapText="1"/>
    </xf>
    <xf numFmtId="0" fontId="100" fillId="3" borderId="54" xfId="13" applyFont="1" applyFill="1" applyBorder="1" applyAlignment="1" applyProtection="1">
      <alignment horizontal="center" vertical="center" wrapText="1"/>
      <protection locked="0"/>
    </xf>
    <xf numFmtId="0" fontId="100" fillId="3" borderId="51" xfId="13" applyFont="1" applyFill="1" applyBorder="1" applyAlignment="1" applyProtection="1">
      <alignment horizontal="center" vertical="center" wrapText="1"/>
      <protection locked="0"/>
    </xf>
    <xf numFmtId="9" fontId="4" fillId="0" borderId="5" xfId="0" applyNumberFormat="1" applyFont="1" applyBorder="1" applyAlignment="1">
      <alignment horizontal="center" vertical="center"/>
    </xf>
    <xf numFmtId="9" fontId="4" fillId="0" borderId="7"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164" fontId="14" fillId="3" borderId="9" xfId="1" applyNumberFormat="1" applyFont="1" applyFill="1" applyBorder="1" applyAlignment="1" applyProtection="1">
      <alignment horizontal="center"/>
      <protection locked="0"/>
    </xf>
    <xf numFmtId="164" fontId="14" fillId="3" borderId="10" xfId="1" applyNumberFormat="1" applyFont="1" applyFill="1" applyBorder="1" applyAlignment="1" applyProtection="1">
      <alignment horizontal="center"/>
      <protection locked="0"/>
    </xf>
    <xf numFmtId="164" fontId="14" fillId="3" borderId="11" xfId="1" applyNumberFormat="1" applyFont="1" applyFill="1" applyBorder="1" applyAlignment="1" applyProtection="1">
      <alignment horizontal="center"/>
      <protection locked="0"/>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164" fontId="14" fillId="0" borderId="77" xfId="1" applyNumberFormat="1" applyFont="1" applyFill="1" applyBorder="1" applyAlignment="1" applyProtection="1">
      <alignment horizontal="center" vertical="center" wrapText="1"/>
      <protection locked="0"/>
    </xf>
    <xf numFmtId="164" fontId="14" fillId="0" borderId="7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 xfId="0" applyFont="1" applyFill="1" applyBorder="1" applyAlignment="1">
      <alignment horizontal="center" wrapText="1"/>
    </xf>
    <xf numFmtId="0" fontId="4" fillId="0" borderId="7" xfId="0" applyFont="1" applyFill="1" applyBorder="1" applyAlignment="1">
      <alignment horizontal="center" wrapText="1"/>
    </xf>
    <xf numFmtId="0" fontId="4" fillId="0" borderId="4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vertical="center" wrapText="1"/>
    </xf>
    <xf numFmtId="0" fontId="4" fillId="0" borderId="98" xfId="0" applyFont="1" applyBorder="1" applyAlignment="1">
      <alignment horizontal="center" vertical="center" wrapText="1"/>
    </xf>
    <xf numFmtId="0" fontId="118" fillId="0" borderId="105" xfId="0" applyNumberFormat="1" applyFont="1" applyFill="1" applyBorder="1" applyAlignment="1">
      <alignment horizontal="left" vertical="center" wrapText="1"/>
    </xf>
    <xf numFmtId="0" fontId="118" fillId="0" borderId="106" xfId="0" applyNumberFormat="1" applyFont="1" applyFill="1" applyBorder="1" applyAlignment="1">
      <alignment horizontal="left" vertical="center" wrapText="1"/>
    </xf>
    <xf numFmtId="0" fontId="118" fillId="0" borderId="108" xfId="0" applyNumberFormat="1" applyFont="1" applyFill="1" applyBorder="1" applyAlignment="1">
      <alignment horizontal="left" vertical="center" wrapText="1"/>
    </xf>
    <xf numFmtId="0" fontId="118" fillId="0" borderId="109"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2" xfId="0" applyNumberFormat="1" applyFont="1" applyFill="1" applyBorder="1" applyAlignment="1">
      <alignment horizontal="left" vertical="center" wrapText="1"/>
    </xf>
    <xf numFmtId="4" fontId="119" fillId="0" borderId="126" xfId="0" applyNumberFormat="1" applyFont="1" applyFill="1" applyBorder="1" applyAlignment="1">
      <alignment horizontal="center" vertical="center" wrapText="1"/>
    </xf>
    <xf numFmtId="4" fontId="119" fillId="0" borderId="125" xfId="0" applyNumberFormat="1" applyFont="1" applyFill="1" applyBorder="1" applyAlignment="1">
      <alignment horizontal="center" vertical="center" wrapText="1"/>
    </xf>
    <xf numFmtId="4" fontId="119" fillId="0" borderId="107" xfId="0" applyNumberFormat="1" applyFont="1" applyFill="1" applyBorder="1" applyAlignment="1">
      <alignment horizontal="center" vertical="center" wrapText="1"/>
    </xf>
    <xf numFmtId="4" fontId="119" fillId="0" borderId="45" xfId="0" applyNumberFormat="1" applyFont="1" applyFill="1" applyBorder="1" applyAlignment="1">
      <alignment horizontal="center" vertical="center" wrapText="1"/>
    </xf>
    <xf numFmtId="4" fontId="119" fillId="0" borderId="110" xfId="0" applyNumberFormat="1" applyFont="1" applyFill="1" applyBorder="1" applyAlignment="1">
      <alignment horizontal="center" vertical="center" wrapText="1"/>
    </xf>
    <xf numFmtId="4" fontId="119" fillId="0" borderId="8" xfId="0" applyNumberFormat="1" applyFont="1" applyFill="1" applyBorder="1" applyAlignment="1">
      <alignment horizontal="center" vertical="center" wrapText="1"/>
    </xf>
    <xf numFmtId="0" fontId="115" fillId="0" borderId="128" xfId="0" applyFont="1" applyBorder="1" applyAlignment="1">
      <alignment horizontal="center" vertical="center" wrapText="1"/>
    </xf>
    <xf numFmtId="0" fontId="115" fillId="0" borderId="4" xfId="0" applyFont="1" applyBorder="1" applyAlignment="1">
      <alignment horizontal="center" vertical="center" wrapText="1"/>
    </xf>
    <xf numFmtId="0" fontId="115" fillId="0" borderId="127" xfId="0" applyFont="1" applyBorder="1" applyAlignment="1">
      <alignment horizontal="center" vertical="center" wrapText="1"/>
    </xf>
    <xf numFmtId="0" fontId="115" fillId="0" borderId="130" xfId="0" applyFont="1" applyBorder="1" applyAlignment="1">
      <alignment horizontal="center" vertical="center" wrapText="1"/>
    </xf>
    <xf numFmtId="0" fontId="115" fillId="0" borderId="129" xfId="0" applyFont="1" applyBorder="1" applyAlignment="1">
      <alignment horizontal="center" vertical="center" wrapText="1"/>
    </xf>
    <xf numFmtId="0" fontId="123" fillId="0" borderId="127" xfId="0" applyFont="1" applyFill="1" applyBorder="1" applyAlignment="1">
      <alignment horizontal="center" vertical="center"/>
    </xf>
    <xf numFmtId="0" fontId="117" fillId="0" borderId="126" xfId="0" applyFont="1" applyFill="1" applyBorder="1" applyAlignment="1">
      <alignment horizontal="center" vertical="center"/>
    </xf>
    <xf numFmtId="0" fontId="117" fillId="0" borderId="131" xfId="0" applyFont="1" applyFill="1" applyBorder="1" applyAlignment="1">
      <alignment horizontal="center" vertical="center"/>
    </xf>
    <xf numFmtId="0" fontId="117" fillId="0" borderId="45" xfId="0" applyFont="1" applyFill="1" applyBorder="1" applyAlignment="1">
      <alignment horizontal="center" vertical="center"/>
    </xf>
    <xf numFmtId="0" fontId="117" fillId="0" borderId="8" xfId="0" applyFont="1" applyFill="1" applyBorder="1" applyAlignment="1">
      <alignment horizontal="center" vertical="center"/>
    </xf>
    <xf numFmtId="0" fontId="118" fillId="0" borderId="127" xfId="0" applyFont="1" applyFill="1" applyBorder="1" applyAlignment="1">
      <alignment horizontal="center" vertical="center" wrapText="1"/>
    </xf>
    <xf numFmtId="0" fontId="118" fillId="0" borderId="126" xfId="0" applyFont="1" applyFill="1" applyBorder="1" applyAlignment="1">
      <alignment horizontal="center" vertical="center" wrapText="1"/>
    </xf>
    <xf numFmtId="0" fontId="118" fillId="0" borderId="131" xfId="0" applyFont="1" applyFill="1" applyBorder="1" applyAlignment="1">
      <alignment horizontal="center" vertical="center" wrapText="1"/>
    </xf>
    <xf numFmtId="0" fontId="118" fillId="0" borderId="113" xfId="0" applyFont="1" applyFill="1" applyBorder="1" applyAlignment="1">
      <alignment horizontal="center" vertical="center" wrapText="1"/>
    </xf>
    <xf numFmtId="0" fontId="118" fillId="0" borderId="114" xfId="0" applyFont="1" applyFill="1" applyBorder="1" applyAlignment="1">
      <alignment horizontal="center" vertical="center" wrapText="1"/>
    </xf>
    <xf numFmtId="0" fontId="118" fillId="0" borderId="45" xfId="0" applyFont="1" applyFill="1" applyBorder="1" applyAlignment="1">
      <alignment horizontal="center" vertical="center" wrapText="1"/>
    </xf>
    <xf numFmtId="0" fontId="118" fillId="0" borderId="8" xfId="0" applyFont="1" applyFill="1" applyBorder="1" applyAlignment="1">
      <alignment horizontal="center" vertical="center" wrapText="1"/>
    </xf>
    <xf numFmtId="0" fontId="115" fillId="0" borderId="130" xfId="0" applyFont="1" applyFill="1" applyBorder="1" applyAlignment="1">
      <alignment horizontal="center" vertical="center" wrapText="1"/>
    </xf>
    <xf numFmtId="0" fontId="115" fillId="0" borderId="132" xfId="0" applyFont="1" applyFill="1" applyBorder="1" applyAlignment="1">
      <alignment horizontal="center" vertical="center" wrapText="1"/>
    </xf>
    <xf numFmtId="3" fontId="118" fillId="0" borderId="115" xfId="0" applyNumberFormat="1" applyFont="1" applyFill="1" applyBorder="1" applyAlignment="1">
      <alignment horizontal="center" vertical="center" wrapText="1"/>
    </xf>
    <xf numFmtId="3" fontId="118" fillId="0" borderId="4" xfId="0" applyNumberFormat="1" applyFont="1" applyFill="1" applyBorder="1" applyAlignment="1">
      <alignment horizontal="center" vertical="center" wrapText="1"/>
    </xf>
    <xf numFmtId="0" fontId="115" fillId="0" borderId="115" xfId="0" applyFont="1" applyFill="1" applyBorder="1" applyAlignment="1">
      <alignment horizontal="center" vertical="center" wrapText="1"/>
    </xf>
    <xf numFmtId="0" fontId="115" fillId="0" borderId="126" xfId="0" applyFont="1" applyFill="1" applyBorder="1" applyAlignment="1">
      <alignment horizontal="center" vertical="center" wrapText="1"/>
    </xf>
    <xf numFmtId="0" fontId="115" fillId="0" borderId="125" xfId="0" applyFont="1" applyFill="1" applyBorder="1" applyAlignment="1">
      <alignment horizontal="center" vertical="center" wrapText="1"/>
    </xf>
    <xf numFmtId="0" fontId="115" fillId="0" borderId="131" xfId="0" applyFont="1" applyFill="1" applyBorder="1" applyAlignment="1">
      <alignment horizontal="center" vertical="center" wrapText="1"/>
    </xf>
    <xf numFmtId="0" fontId="115" fillId="0" borderId="8" xfId="0" applyFont="1" applyBorder="1" applyAlignment="1">
      <alignment horizontal="center" vertical="center" wrapText="1"/>
    </xf>
    <xf numFmtId="0" fontId="115" fillId="0" borderId="136" xfId="0" applyFont="1" applyBorder="1" applyAlignment="1">
      <alignment horizontal="center" vertical="center" wrapText="1"/>
    </xf>
    <xf numFmtId="0" fontId="115" fillId="0" borderId="46" xfId="0" applyFont="1" applyFill="1" applyBorder="1" applyAlignment="1">
      <alignment horizontal="center" vertical="center" wrapText="1"/>
    </xf>
    <xf numFmtId="0" fontId="115" fillId="0" borderId="47" xfId="0" applyFont="1" applyFill="1" applyBorder="1" applyAlignment="1">
      <alignment horizontal="center" vertical="center" wrapText="1"/>
    </xf>
    <xf numFmtId="0" fontId="115" fillId="0" borderId="92" xfId="0" applyFont="1" applyFill="1" applyBorder="1" applyAlignment="1">
      <alignment horizontal="center" vertical="center" wrapText="1"/>
    </xf>
    <xf numFmtId="0" fontId="118" fillId="0" borderId="46" xfId="0" applyNumberFormat="1" applyFont="1" applyFill="1" applyBorder="1" applyAlignment="1">
      <alignment horizontal="left" vertical="top" wrapText="1"/>
    </xf>
    <xf numFmtId="0" fontId="118" fillId="0" borderId="92" xfId="0" applyNumberFormat="1" applyFont="1" applyFill="1" applyBorder="1" applyAlignment="1">
      <alignment horizontal="left" vertical="top" wrapText="1"/>
    </xf>
    <xf numFmtId="0" fontId="118" fillId="0" borderId="50" xfId="0" applyNumberFormat="1" applyFont="1" applyFill="1" applyBorder="1" applyAlignment="1">
      <alignment horizontal="left" vertical="top" wrapText="1"/>
    </xf>
    <xf numFmtId="0" fontId="118" fillId="0" borderId="79" xfId="0" applyNumberFormat="1" applyFont="1" applyFill="1" applyBorder="1" applyAlignment="1">
      <alignment horizontal="left" vertical="top" wrapText="1"/>
    </xf>
    <xf numFmtId="0" fontId="118" fillId="0" borderId="104" xfId="0" applyNumberFormat="1" applyFont="1" applyFill="1" applyBorder="1" applyAlignment="1">
      <alignment horizontal="left" vertical="top" wrapText="1"/>
    </xf>
    <xf numFmtId="0" fontId="118" fillId="0" borderId="138" xfId="0" applyNumberFormat="1" applyFont="1" applyFill="1" applyBorder="1" applyAlignment="1">
      <alignment horizontal="left" vertical="top" wrapText="1"/>
    </xf>
    <xf numFmtId="0" fontId="115" fillId="0" borderId="128" xfId="0" applyFont="1" applyFill="1" applyBorder="1" applyAlignment="1">
      <alignment horizontal="center" vertical="center" wrapText="1"/>
    </xf>
    <xf numFmtId="0" fontId="118" fillId="0" borderId="139" xfId="0" applyFont="1" applyFill="1" applyBorder="1" applyAlignment="1">
      <alignment horizontal="center" vertical="center" wrapText="1"/>
    </xf>
    <xf numFmtId="0" fontId="118" fillId="0" borderId="56" xfId="0" applyFont="1" applyFill="1" applyBorder="1" applyAlignment="1">
      <alignment horizontal="center" vertical="center" wrapText="1"/>
    </xf>
    <xf numFmtId="0" fontId="115" fillId="0" borderId="126" xfId="0" applyFont="1" applyBorder="1" applyAlignment="1">
      <alignment horizontal="center" vertical="top" wrapText="1"/>
    </xf>
    <xf numFmtId="0" fontId="115" fillId="0" borderId="125" xfId="0" applyFont="1" applyBorder="1" applyAlignment="1">
      <alignment horizontal="center" vertical="top" wrapText="1"/>
    </xf>
    <xf numFmtId="0" fontId="115" fillId="0" borderId="126" xfId="0" applyFont="1" applyFill="1" applyBorder="1" applyAlignment="1">
      <alignment horizontal="center" vertical="top" wrapText="1"/>
    </xf>
    <xf numFmtId="0" fontId="115" fillId="0" borderId="132" xfId="0" applyFont="1" applyFill="1" applyBorder="1" applyAlignment="1">
      <alignment horizontal="center" vertical="top" wrapText="1"/>
    </xf>
    <xf numFmtId="0" fontId="115" fillId="0" borderId="129" xfId="0" applyFont="1" applyFill="1" applyBorder="1" applyAlignment="1">
      <alignment horizontal="center" vertical="top" wrapText="1"/>
    </xf>
    <xf numFmtId="0" fontId="104" fillId="0" borderId="116" xfId="0" applyNumberFormat="1" applyFont="1" applyFill="1" applyBorder="1" applyAlignment="1">
      <alignment horizontal="left" vertical="top" wrapText="1"/>
    </xf>
    <xf numFmtId="0" fontId="104" fillId="0" borderId="117" xfId="0" applyNumberFormat="1" applyFont="1" applyFill="1" applyBorder="1" applyAlignment="1">
      <alignment horizontal="left" vertical="top" wrapText="1"/>
    </xf>
    <xf numFmtId="0" fontId="121" fillId="0" borderId="127" xfId="0" applyFont="1" applyBorder="1" applyAlignment="1">
      <alignment horizontal="center" vertical="center"/>
    </xf>
    <xf numFmtId="0" fontId="120" fillId="0" borderId="127" xfId="0" applyFont="1" applyBorder="1" applyAlignment="1">
      <alignment horizontal="center" vertical="center" wrapText="1"/>
    </xf>
    <xf numFmtId="0" fontId="120" fillId="0" borderId="128" xfId="0" applyFont="1" applyBorder="1" applyAlignment="1">
      <alignment horizontal="center" vertical="center" wrapText="1"/>
    </xf>
    <xf numFmtId="0" fontId="104" fillId="76" borderId="130" xfId="0" applyFont="1" applyFill="1" applyBorder="1" applyAlignment="1">
      <alignment horizontal="center" vertical="center" wrapText="1"/>
    </xf>
    <xf numFmtId="0" fontId="104" fillId="76" borderId="129" xfId="0" applyFont="1" applyFill="1" applyBorder="1" applyAlignment="1">
      <alignment horizontal="center" vertical="center" wrapText="1"/>
    </xf>
    <xf numFmtId="0" fontId="105" fillId="0" borderId="130" xfId="0" applyFont="1" applyFill="1" applyBorder="1" applyAlignment="1">
      <alignment horizontal="left" vertical="center" wrapText="1"/>
    </xf>
    <xf numFmtId="0" fontId="105" fillId="0" borderId="129" xfId="0" applyFont="1" applyFill="1" applyBorder="1" applyAlignment="1">
      <alignment horizontal="left" vertical="center" wrapText="1"/>
    </xf>
    <xf numFmtId="0" fontId="105" fillId="0" borderId="130" xfId="13" applyFont="1" applyFill="1" applyBorder="1" applyAlignment="1" applyProtection="1">
      <alignment horizontal="left" vertical="top" wrapText="1"/>
      <protection locked="0"/>
    </xf>
    <xf numFmtId="0" fontId="105" fillId="0" borderId="129" xfId="13" applyFont="1" applyFill="1" applyBorder="1" applyAlignment="1" applyProtection="1">
      <alignment horizontal="left" vertical="top" wrapText="1"/>
      <protection locked="0"/>
    </xf>
    <xf numFmtId="0" fontId="105" fillId="0" borderId="130" xfId="0" applyNumberFormat="1" applyFont="1" applyFill="1" applyBorder="1" applyAlignment="1">
      <alignment horizontal="left" vertical="center" wrapText="1"/>
    </xf>
    <xf numFmtId="0" fontId="105" fillId="0" borderId="129" xfId="0" applyNumberFormat="1" applyFont="1" applyFill="1" applyBorder="1" applyAlignment="1">
      <alignment horizontal="left" vertical="center" wrapText="1"/>
    </xf>
    <xf numFmtId="0" fontId="105" fillId="0" borderId="130" xfId="0" applyNumberFormat="1" applyFont="1" applyFill="1" applyBorder="1" applyAlignment="1">
      <alignment horizontal="left" vertical="top" wrapText="1"/>
    </xf>
    <xf numFmtId="0" fontId="105" fillId="0" borderId="129" xfId="0" applyNumberFormat="1" applyFont="1" applyFill="1" applyBorder="1" applyAlignment="1">
      <alignment horizontal="left" vertical="top" wrapText="1"/>
    </xf>
    <xf numFmtId="49" fontId="105" fillId="0" borderId="0" xfId="0" applyNumberFormat="1" applyFont="1" applyFill="1" applyBorder="1" applyAlignment="1">
      <alignment horizontal="center" vertical="center"/>
    </xf>
    <xf numFmtId="0" fontId="105" fillId="0" borderId="127" xfId="0" applyFont="1" applyFill="1" applyBorder="1" applyAlignment="1">
      <alignment horizontal="left" vertical="top" wrapText="1"/>
    </xf>
    <xf numFmtId="0" fontId="105" fillId="0" borderId="130" xfId="0" applyFont="1" applyFill="1" applyBorder="1" applyAlignment="1">
      <alignment horizontal="left" vertical="top" wrapText="1"/>
    </xf>
    <xf numFmtId="0" fontId="105" fillId="0" borderId="127" xfId="0" applyFont="1" applyFill="1" applyBorder="1" applyAlignment="1">
      <alignment horizontal="left" vertical="center" wrapText="1"/>
    </xf>
    <xf numFmtId="0" fontId="104" fillId="76" borderId="127" xfId="0" applyFont="1" applyFill="1" applyBorder="1" applyAlignment="1">
      <alignment horizontal="center" vertical="center" wrapText="1"/>
    </xf>
    <xf numFmtId="0" fontId="105" fillId="0" borderId="127" xfId="0" applyNumberFormat="1" applyFont="1" applyFill="1" applyBorder="1" applyAlignment="1">
      <alignment horizontal="left" vertical="top" wrapText="1"/>
    </xf>
    <xf numFmtId="0" fontId="105" fillId="0" borderId="127" xfId="0" applyFont="1" applyBorder="1" applyAlignment="1">
      <alignment horizontal="center"/>
    </xf>
    <xf numFmtId="0" fontId="105" fillId="0" borderId="86" xfId="0" applyFont="1" applyFill="1" applyBorder="1" applyAlignment="1">
      <alignment horizontal="left" vertical="center" wrapText="1"/>
    </xf>
    <xf numFmtId="0" fontId="105" fillId="0" borderId="84" xfId="0" applyFont="1" applyFill="1" applyBorder="1" applyAlignment="1">
      <alignment horizontal="left" vertical="center" wrapText="1"/>
    </xf>
    <xf numFmtId="0" fontId="104" fillId="0" borderId="127" xfId="0" applyFont="1" applyFill="1" applyBorder="1" applyAlignment="1">
      <alignment horizontal="center" vertical="center"/>
    </xf>
    <xf numFmtId="0" fontId="105" fillId="3" borderId="130" xfId="13" applyFont="1" applyFill="1" applyBorder="1" applyAlignment="1" applyProtection="1">
      <alignment horizontal="left" vertical="top" wrapText="1"/>
      <protection locked="0"/>
    </xf>
    <xf numFmtId="0" fontId="105" fillId="3" borderId="129" xfId="13" applyFont="1" applyFill="1" applyBorder="1" applyAlignment="1" applyProtection="1">
      <alignment horizontal="left" vertical="top" wrapText="1"/>
      <protection locked="0"/>
    </xf>
    <xf numFmtId="0" fontId="104" fillId="0" borderId="72" xfId="0" applyFont="1" applyFill="1" applyBorder="1" applyAlignment="1">
      <alignment horizontal="center" vertical="center"/>
    </xf>
    <xf numFmtId="0" fontId="104" fillId="76" borderId="69"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70" xfId="0" applyFont="1" applyFill="1" applyBorder="1" applyAlignment="1">
      <alignment horizontal="center" vertical="center" wrapText="1"/>
    </xf>
    <xf numFmtId="0" fontId="105" fillId="77" borderId="86" xfId="0" applyFont="1" applyFill="1" applyBorder="1" applyAlignment="1">
      <alignment vertical="center" wrapText="1"/>
    </xf>
    <xf numFmtId="0" fontId="105" fillId="77" borderId="84" xfId="0" applyFont="1" applyFill="1" applyBorder="1" applyAlignment="1">
      <alignment vertical="center" wrapText="1"/>
    </xf>
    <xf numFmtId="0" fontId="105" fillId="0" borderId="86" xfId="0" applyFont="1" applyFill="1" applyBorder="1" applyAlignment="1">
      <alignment vertical="center" wrapText="1"/>
    </xf>
    <xf numFmtId="0" fontId="105" fillId="0" borderId="84" xfId="0" applyFont="1" applyFill="1" applyBorder="1" applyAlignment="1">
      <alignment vertical="center" wrapText="1"/>
    </xf>
    <xf numFmtId="0" fontId="104" fillId="76" borderId="74" xfId="0" applyFont="1" applyFill="1" applyBorder="1" applyAlignment="1">
      <alignment horizontal="center" vertical="center"/>
    </xf>
    <xf numFmtId="0" fontId="104" fillId="76" borderId="75" xfId="0" applyFont="1" applyFill="1" applyBorder="1" applyAlignment="1">
      <alignment horizontal="center" vertical="center"/>
    </xf>
    <xf numFmtId="0" fontId="104" fillId="76" borderId="76" xfId="0" applyFont="1" applyFill="1" applyBorder="1" applyAlignment="1">
      <alignment horizontal="center" vertical="center"/>
    </xf>
    <xf numFmtId="0" fontId="105" fillId="3" borderId="86" xfId="0" applyFont="1" applyFill="1" applyBorder="1" applyAlignment="1">
      <alignment horizontal="left" vertical="center" wrapText="1"/>
    </xf>
    <xf numFmtId="0" fontId="105" fillId="3" borderId="84" xfId="0" applyFont="1" applyFill="1" applyBorder="1" applyAlignment="1">
      <alignment horizontal="left" vertical="center" wrapText="1"/>
    </xf>
    <xf numFmtId="0" fontId="105" fillId="0" borderId="64" xfId="0" applyFont="1" applyFill="1" applyBorder="1" applyAlignment="1">
      <alignment horizontal="left" vertical="center" wrapText="1"/>
    </xf>
    <xf numFmtId="0" fontId="105" fillId="0" borderId="65" xfId="0" applyFont="1" applyFill="1" applyBorder="1" applyAlignment="1">
      <alignment horizontal="left" vertical="center" wrapText="1"/>
    </xf>
    <xf numFmtId="0" fontId="104" fillId="76" borderId="60" xfId="0" applyFont="1" applyFill="1" applyBorder="1" applyAlignment="1">
      <alignment horizontal="center" vertical="center" wrapText="1"/>
    </xf>
    <xf numFmtId="0" fontId="104" fillId="76" borderId="61" xfId="0" applyFont="1" applyFill="1" applyBorder="1" applyAlignment="1">
      <alignment horizontal="center" vertical="center" wrapText="1"/>
    </xf>
    <xf numFmtId="0" fontId="104" fillId="76" borderId="62" xfId="0" applyFont="1" applyFill="1" applyBorder="1" applyAlignment="1">
      <alignment horizontal="center" vertical="center" wrapText="1"/>
    </xf>
    <xf numFmtId="0" fontId="105" fillId="0" borderId="45" xfId="0" applyFont="1" applyFill="1" applyBorder="1" applyAlignment="1">
      <alignment horizontal="left" vertical="center" wrapText="1"/>
    </xf>
    <xf numFmtId="0" fontId="105" fillId="0" borderId="8" xfId="0" applyFont="1" applyFill="1" applyBorder="1" applyAlignment="1">
      <alignment horizontal="left" vertical="center" wrapText="1"/>
    </xf>
    <xf numFmtId="0" fontId="105" fillId="82" borderId="86" xfId="0" applyFont="1" applyFill="1" applyBorder="1" applyAlignment="1">
      <alignment vertical="center" wrapText="1"/>
    </xf>
    <xf numFmtId="0" fontId="105" fillId="82" borderId="84" xfId="0" applyFont="1" applyFill="1" applyBorder="1" applyAlignment="1">
      <alignment vertical="center" wrapText="1"/>
    </xf>
    <xf numFmtId="0" fontId="105" fillId="82" borderId="122" xfId="0" applyFont="1" applyFill="1" applyBorder="1" applyAlignment="1">
      <alignment horizontal="left" vertical="center" wrapText="1"/>
    </xf>
    <xf numFmtId="0" fontId="105" fillId="82" borderId="123" xfId="0" applyFont="1" applyFill="1" applyBorder="1" applyAlignment="1">
      <alignment horizontal="left" vertical="center" wrapText="1"/>
    </xf>
    <xf numFmtId="0" fontId="105" fillId="82" borderId="124" xfId="0" applyFont="1" applyFill="1" applyBorder="1" applyAlignment="1">
      <alignment horizontal="left" vertical="center" wrapText="1"/>
    </xf>
    <xf numFmtId="0" fontId="105" fillId="3" borderId="64" xfId="0" applyFont="1" applyFill="1" applyBorder="1" applyAlignment="1">
      <alignment horizontal="left" vertical="center" wrapText="1"/>
    </xf>
    <xf numFmtId="0" fontId="105" fillId="3" borderId="65" xfId="0" applyFont="1" applyFill="1" applyBorder="1" applyAlignment="1">
      <alignment horizontal="left" vertical="center" wrapText="1"/>
    </xf>
    <xf numFmtId="0" fontId="105" fillId="82" borderId="67" xfId="0" applyFont="1" applyFill="1" applyBorder="1" applyAlignment="1">
      <alignment horizontal="left" vertical="center" wrapText="1"/>
    </xf>
    <xf numFmtId="0" fontId="105" fillId="82" borderId="68" xfId="0" applyFont="1" applyFill="1" applyBorder="1" applyAlignment="1">
      <alignment horizontal="left" vertical="center" wrapText="1"/>
    </xf>
    <xf numFmtId="0" fontId="105" fillId="82" borderId="45" xfId="0" applyFont="1" applyFill="1" applyBorder="1" applyAlignment="1">
      <alignment vertical="center" wrapText="1"/>
    </xf>
    <xf numFmtId="0" fontId="105" fillId="82" borderId="8" xfId="0" applyFont="1" applyFill="1" applyBorder="1" applyAlignment="1">
      <alignment vertical="center" wrapText="1"/>
    </xf>
    <xf numFmtId="0" fontId="105" fillId="3" borderId="86" xfId="0" applyFont="1" applyFill="1" applyBorder="1" applyAlignment="1">
      <alignment vertical="center" wrapText="1"/>
    </xf>
    <xf numFmtId="0" fontId="105" fillId="3" borderId="84" xfId="0" applyFont="1" applyFill="1" applyBorder="1" applyAlignment="1">
      <alignment vertical="center" wrapText="1"/>
    </xf>
    <xf numFmtId="0" fontId="104" fillId="0" borderId="57" xfId="0" applyFont="1" applyFill="1" applyBorder="1" applyAlignment="1">
      <alignment horizontal="center" vertical="center"/>
    </xf>
    <xf numFmtId="0" fontId="104" fillId="0" borderId="58" xfId="0" applyFont="1" applyFill="1" applyBorder="1" applyAlignment="1">
      <alignment horizontal="center" vertical="center"/>
    </xf>
    <xf numFmtId="0" fontId="104" fillId="0" borderId="59" xfId="0" applyFont="1" applyFill="1" applyBorder="1" applyAlignment="1">
      <alignment horizontal="center" vertical="center"/>
    </xf>
    <xf numFmtId="0" fontId="105" fillId="0" borderId="85" xfId="0" applyFont="1" applyFill="1" applyBorder="1" applyAlignment="1">
      <alignment horizontal="left" vertical="center" wrapText="1"/>
    </xf>
    <xf numFmtId="0" fontId="125" fillId="3" borderId="86" xfId="0" applyFont="1" applyFill="1" applyBorder="1" applyAlignment="1">
      <alignment vertical="center" wrapText="1"/>
    </xf>
    <xf numFmtId="0" fontId="125" fillId="3" borderId="84" xfId="0" applyFont="1" applyFill="1" applyBorder="1" applyAlignment="1">
      <alignment vertical="center" wrapText="1"/>
    </xf>
    <xf numFmtId="0" fontId="105" fillId="0" borderId="86" xfId="0" applyFont="1" applyFill="1" applyBorder="1" applyAlignment="1">
      <alignment horizontal="left"/>
    </xf>
    <xf numFmtId="0" fontId="105" fillId="0" borderId="84" xfId="0" applyFont="1" applyFill="1" applyBorder="1" applyAlignment="1">
      <alignment horizontal="left"/>
    </xf>
  </cellXfs>
  <cellStyles count="223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310"/>
    <cellStyle name="Calculation 2 10 2 3" xfId="21417"/>
    <cellStyle name="Calculation 2 10 3" xfId="724"/>
    <cellStyle name="Calculation 2 10 3 2" xfId="21407"/>
    <cellStyle name="Calculation 2 10 3 2 2" xfId="22309"/>
    <cellStyle name="Calculation 2 10 3 3" xfId="21418"/>
    <cellStyle name="Calculation 2 10 4" xfId="725"/>
    <cellStyle name="Calculation 2 10 4 2" xfId="21406"/>
    <cellStyle name="Calculation 2 10 4 2 2" xfId="22308"/>
    <cellStyle name="Calculation 2 10 4 3" xfId="21419"/>
    <cellStyle name="Calculation 2 10 5" xfId="726"/>
    <cellStyle name="Calculation 2 10 5 2" xfId="21405"/>
    <cellStyle name="Calculation 2 10 5 2 2" xfId="22307"/>
    <cellStyle name="Calculation 2 10 5 3" xfId="21420"/>
    <cellStyle name="Calculation 2 11" xfId="727"/>
    <cellStyle name="Calculation 2 11 2" xfId="728"/>
    <cellStyle name="Calculation 2 11 2 2" xfId="21403"/>
    <cellStyle name="Calculation 2 11 2 2 2" xfId="22305"/>
    <cellStyle name="Calculation 2 11 2 3" xfId="21422"/>
    <cellStyle name="Calculation 2 11 3" xfId="729"/>
    <cellStyle name="Calculation 2 11 3 2" xfId="21402"/>
    <cellStyle name="Calculation 2 11 3 2 2" xfId="22304"/>
    <cellStyle name="Calculation 2 11 3 3" xfId="21423"/>
    <cellStyle name="Calculation 2 11 4" xfId="730"/>
    <cellStyle name="Calculation 2 11 4 2" xfId="21401"/>
    <cellStyle name="Calculation 2 11 4 2 2" xfId="22303"/>
    <cellStyle name="Calculation 2 11 4 3" xfId="21424"/>
    <cellStyle name="Calculation 2 11 5" xfId="731"/>
    <cellStyle name="Calculation 2 11 5 2" xfId="21400"/>
    <cellStyle name="Calculation 2 11 5 2 2" xfId="22302"/>
    <cellStyle name="Calculation 2 11 5 3" xfId="21425"/>
    <cellStyle name="Calculation 2 11 6" xfId="21404"/>
    <cellStyle name="Calculation 2 11 6 2" xfId="22306"/>
    <cellStyle name="Calculation 2 11 7" xfId="21421"/>
    <cellStyle name="Calculation 2 12" xfId="732"/>
    <cellStyle name="Calculation 2 12 2" xfId="733"/>
    <cellStyle name="Calculation 2 12 2 2" xfId="21398"/>
    <cellStyle name="Calculation 2 12 2 2 2" xfId="22300"/>
    <cellStyle name="Calculation 2 12 2 3" xfId="21427"/>
    <cellStyle name="Calculation 2 12 3" xfId="734"/>
    <cellStyle name="Calculation 2 12 3 2" xfId="21397"/>
    <cellStyle name="Calculation 2 12 3 2 2" xfId="22299"/>
    <cellStyle name="Calculation 2 12 3 3" xfId="21428"/>
    <cellStyle name="Calculation 2 12 4" xfId="735"/>
    <cellStyle name="Calculation 2 12 4 2" xfId="21396"/>
    <cellStyle name="Calculation 2 12 4 2 2" xfId="22298"/>
    <cellStyle name="Calculation 2 12 4 3" xfId="21429"/>
    <cellStyle name="Calculation 2 12 5" xfId="736"/>
    <cellStyle name="Calculation 2 12 5 2" xfId="21395"/>
    <cellStyle name="Calculation 2 12 5 2 2" xfId="22297"/>
    <cellStyle name="Calculation 2 12 5 3" xfId="21430"/>
    <cellStyle name="Calculation 2 12 6" xfId="21399"/>
    <cellStyle name="Calculation 2 12 6 2" xfId="22301"/>
    <cellStyle name="Calculation 2 12 7" xfId="21426"/>
    <cellStyle name="Calculation 2 13" xfId="737"/>
    <cellStyle name="Calculation 2 13 2" xfId="738"/>
    <cellStyle name="Calculation 2 13 2 2" xfId="21393"/>
    <cellStyle name="Calculation 2 13 2 2 2" xfId="22295"/>
    <cellStyle name="Calculation 2 13 2 3" xfId="21432"/>
    <cellStyle name="Calculation 2 13 3" xfId="739"/>
    <cellStyle name="Calculation 2 13 3 2" xfId="21392"/>
    <cellStyle name="Calculation 2 13 3 2 2" xfId="22294"/>
    <cellStyle name="Calculation 2 13 3 3" xfId="21433"/>
    <cellStyle name="Calculation 2 13 4" xfId="740"/>
    <cellStyle name="Calculation 2 13 4 2" xfId="21391"/>
    <cellStyle name="Calculation 2 13 4 2 2" xfId="22293"/>
    <cellStyle name="Calculation 2 13 4 3" xfId="21434"/>
    <cellStyle name="Calculation 2 13 5" xfId="21394"/>
    <cellStyle name="Calculation 2 13 5 2" xfId="22296"/>
    <cellStyle name="Calculation 2 13 6" xfId="21431"/>
    <cellStyle name="Calculation 2 14" xfId="741"/>
    <cellStyle name="Calculation 2 14 2" xfId="21390"/>
    <cellStyle name="Calculation 2 14 2 2" xfId="22292"/>
    <cellStyle name="Calculation 2 14 3" xfId="21435"/>
    <cellStyle name="Calculation 2 15" xfId="742"/>
    <cellStyle name="Calculation 2 15 2" xfId="21389"/>
    <cellStyle name="Calculation 2 15 2 2" xfId="22291"/>
    <cellStyle name="Calculation 2 15 3" xfId="21436"/>
    <cellStyle name="Calculation 2 16" xfId="743"/>
    <cellStyle name="Calculation 2 16 2" xfId="21388"/>
    <cellStyle name="Calculation 2 16 2 2" xfId="22290"/>
    <cellStyle name="Calculation 2 16 3" xfId="21437"/>
    <cellStyle name="Calculation 2 17" xfId="21409"/>
    <cellStyle name="Calculation 2 17 2" xfId="22311"/>
    <cellStyle name="Calculation 2 18" xfId="21416"/>
    <cellStyle name="Calculation 2 2" xfId="744"/>
    <cellStyle name="Calculation 2 2 10" xfId="21387"/>
    <cellStyle name="Calculation 2 2 10 2" xfId="22289"/>
    <cellStyle name="Calculation 2 2 11" xfId="21438"/>
    <cellStyle name="Calculation 2 2 2" xfId="745"/>
    <cellStyle name="Calculation 2 2 2 2" xfId="746"/>
    <cellStyle name="Calculation 2 2 2 2 2" xfId="21385"/>
    <cellStyle name="Calculation 2 2 2 2 2 2" xfId="22287"/>
    <cellStyle name="Calculation 2 2 2 2 3" xfId="21440"/>
    <cellStyle name="Calculation 2 2 2 3" xfId="747"/>
    <cellStyle name="Calculation 2 2 2 3 2" xfId="21384"/>
    <cellStyle name="Calculation 2 2 2 3 2 2" xfId="22286"/>
    <cellStyle name="Calculation 2 2 2 3 3" xfId="21441"/>
    <cellStyle name="Calculation 2 2 2 4" xfId="748"/>
    <cellStyle name="Calculation 2 2 2 4 2" xfId="21383"/>
    <cellStyle name="Calculation 2 2 2 4 2 2" xfId="22285"/>
    <cellStyle name="Calculation 2 2 2 4 3" xfId="21442"/>
    <cellStyle name="Calculation 2 2 2 5" xfId="21386"/>
    <cellStyle name="Calculation 2 2 2 5 2" xfId="22288"/>
    <cellStyle name="Calculation 2 2 2 6" xfId="21439"/>
    <cellStyle name="Calculation 2 2 3" xfId="749"/>
    <cellStyle name="Calculation 2 2 3 2" xfId="750"/>
    <cellStyle name="Calculation 2 2 3 2 2" xfId="21381"/>
    <cellStyle name="Calculation 2 2 3 2 2 2" xfId="22283"/>
    <cellStyle name="Calculation 2 2 3 2 3" xfId="21444"/>
    <cellStyle name="Calculation 2 2 3 3" xfId="751"/>
    <cellStyle name="Calculation 2 2 3 3 2" xfId="21380"/>
    <cellStyle name="Calculation 2 2 3 3 2 2" xfId="22282"/>
    <cellStyle name="Calculation 2 2 3 3 3" xfId="21445"/>
    <cellStyle name="Calculation 2 2 3 4" xfId="752"/>
    <cellStyle name="Calculation 2 2 3 4 2" xfId="21379"/>
    <cellStyle name="Calculation 2 2 3 4 2 2" xfId="22281"/>
    <cellStyle name="Calculation 2 2 3 4 3" xfId="21446"/>
    <cellStyle name="Calculation 2 2 3 5" xfId="21382"/>
    <cellStyle name="Calculation 2 2 3 5 2" xfId="22284"/>
    <cellStyle name="Calculation 2 2 3 6" xfId="21443"/>
    <cellStyle name="Calculation 2 2 4" xfId="753"/>
    <cellStyle name="Calculation 2 2 4 2" xfId="754"/>
    <cellStyle name="Calculation 2 2 4 2 2" xfId="21377"/>
    <cellStyle name="Calculation 2 2 4 2 2 2" xfId="22279"/>
    <cellStyle name="Calculation 2 2 4 2 3" xfId="21448"/>
    <cellStyle name="Calculation 2 2 4 3" xfId="755"/>
    <cellStyle name="Calculation 2 2 4 3 2" xfId="21376"/>
    <cellStyle name="Calculation 2 2 4 3 2 2" xfId="22278"/>
    <cellStyle name="Calculation 2 2 4 3 3" xfId="21449"/>
    <cellStyle name="Calculation 2 2 4 4" xfId="756"/>
    <cellStyle name="Calculation 2 2 4 4 2" xfId="21375"/>
    <cellStyle name="Calculation 2 2 4 4 2 2" xfId="22277"/>
    <cellStyle name="Calculation 2 2 4 4 3" xfId="21450"/>
    <cellStyle name="Calculation 2 2 4 5" xfId="21378"/>
    <cellStyle name="Calculation 2 2 4 5 2" xfId="22280"/>
    <cellStyle name="Calculation 2 2 4 6" xfId="21447"/>
    <cellStyle name="Calculation 2 2 5" xfId="757"/>
    <cellStyle name="Calculation 2 2 5 2" xfId="758"/>
    <cellStyle name="Calculation 2 2 5 2 2" xfId="21373"/>
    <cellStyle name="Calculation 2 2 5 2 2 2" xfId="22275"/>
    <cellStyle name="Calculation 2 2 5 2 3" xfId="21452"/>
    <cellStyle name="Calculation 2 2 5 3" xfId="759"/>
    <cellStyle name="Calculation 2 2 5 3 2" xfId="21372"/>
    <cellStyle name="Calculation 2 2 5 3 2 2" xfId="22274"/>
    <cellStyle name="Calculation 2 2 5 3 3" xfId="21453"/>
    <cellStyle name="Calculation 2 2 5 4" xfId="760"/>
    <cellStyle name="Calculation 2 2 5 4 2" xfId="21371"/>
    <cellStyle name="Calculation 2 2 5 4 2 2" xfId="22273"/>
    <cellStyle name="Calculation 2 2 5 4 3" xfId="21454"/>
    <cellStyle name="Calculation 2 2 5 5" xfId="21374"/>
    <cellStyle name="Calculation 2 2 5 5 2" xfId="22276"/>
    <cellStyle name="Calculation 2 2 5 6" xfId="21451"/>
    <cellStyle name="Calculation 2 2 6" xfId="761"/>
    <cellStyle name="Calculation 2 2 6 2" xfId="21370"/>
    <cellStyle name="Calculation 2 2 6 2 2" xfId="22272"/>
    <cellStyle name="Calculation 2 2 6 3" xfId="21455"/>
    <cellStyle name="Calculation 2 2 7" xfId="762"/>
    <cellStyle name="Calculation 2 2 7 2" xfId="21369"/>
    <cellStyle name="Calculation 2 2 7 2 2" xfId="22271"/>
    <cellStyle name="Calculation 2 2 7 3" xfId="21456"/>
    <cellStyle name="Calculation 2 2 8" xfId="763"/>
    <cellStyle name="Calculation 2 2 8 2" xfId="21368"/>
    <cellStyle name="Calculation 2 2 8 2 2" xfId="22270"/>
    <cellStyle name="Calculation 2 2 8 3" xfId="21457"/>
    <cellStyle name="Calculation 2 2 9" xfId="764"/>
    <cellStyle name="Calculation 2 2 9 2" xfId="21367"/>
    <cellStyle name="Calculation 2 2 9 2 2" xfId="22269"/>
    <cellStyle name="Calculation 2 2 9 3" xfId="21458"/>
    <cellStyle name="Calculation 2 3" xfId="765"/>
    <cellStyle name="Calculation 2 3 2" xfId="766"/>
    <cellStyle name="Calculation 2 3 2 2" xfId="21366"/>
    <cellStyle name="Calculation 2 3 2 2 2" xfId="22268"/>
    <cellStyle name="Calculation 2 3 2 3" xfId="21459"/>
    <cellStyle name="Calculation 2 3 3" xfId="767"/>
    <cellStyle name="Calculation 2 3 3 2" xfId="21365"/>
    <cellStyle name="Calculation 2 3 3 2 2" xfId="22267"/>
    <cellStyle name="Calculation 2 3 3 3" xfId="21460"/>
    <cellStyle name="Calculation 2 3 4" xfId="768"/>
    <cellStyle name="Calculation 2 3 4 2" xfId="21364"/>
    <cellStyle name="Calculation 2 3 4 2 2" xfId="22266"/>
    <cellStyle name="Calculation 2 3 4 3" xfId="21461"/>
    <cellStyle name="Calculation 2 3 5" xfId="769"/>
    <cellStyle name="Calculation 2 3 5 2" xfId="21363"/>
    <cellStyle name="Calculation 2 3 5 2 2" xfId="22265"/>
    <cellStyle name="Calculation 2 3 5 3" xfId="21462"/>
    <cellStyle name="Calculation 2 4" xfId="770"/>
    <cellStyle name="Calculation 2 4 2" xfId="771"/>
    <cellStyle name="Calculation 2 4 2 2" xfId="21362"/>
    <cellStyle name="Calculation 2 4 2 2 2" xfId="22264"/>
    <cellStyle name="Calculation 2 4 2 3" xfId="21463"/>
    <cellStyle name="Calculation 2 4 3" xfId="772"/>
    <cellStyle name="Calculation 2 4 3 2" xfId="21361"/>
    <cellStyle name="Calculation 2 4 3 2 2" xfId="22263"/>
    <cellStyle name="Calculation 2 4 3 3" xfId="21464"/>
    <cellStyle name="Calculation 2 4 4" xfId="773"/>
    <cellStyle name="Calculation 2 4 4 2" xfId="21360"/>
    <cellStyle name="Calculation 2 4 4 2 2" xfId="22262"/>
    <cellStyle name="Calculation 2 4 4 3" xfId="21465"/>
    <cellStyle name="Calculation 2 4 5" xfId="774"/>
    <cellStyle name="Calculation 2 4 5 2" xfId="21359"/>
    <cellStyle name="Calculation 2 4 5 2 2" xfId="22261"/>
    <cellStyle name="Calculation 2 4 5 3" xfId="21466"/>
    <cellStyle name="Calculation 2 5" xfId="775"/>
    <cellStyle name="Calculation 2 5 2" xfId="776"/>
    <cellStyle name="Calculation 2 5 2 2" xfId="21358"/>
    <cellStyle name="Calculation 2 5 2 2 2" xfId="22260"/>
    <cellStyle name="Calculation 2 5 2 3" xfId="21467"/>
    <cellStyle name="Calculation 2 5 3" xfId="777"/>
    <cellStyle name="Calculation 2 5 3 2" xfId="21357"/>
    <cellStyle name="Calculation 2 5 3 2 2" xfId="22259"/>
    <cellStyle name="Calculation 2 5 3 3" xfId="21468"/>
    <cellStyle name="Calculation 2 5 4" xfId="778"/>
    <cellStyle name="Calculation 2 5 4 2" xfId="21356"/>
    <cellStyle name="Calculation 2 5 4 2 2" xfId="22258"/>
    <cellStyle name="Calculation 2 5 4 3" xfId="21469"/>
    <cellStyle name="Calculation 2 5 5" xfId="779"/>
    <cellStyle name="Calculation 2 5 5 2" xfId="21355"/>
    <cellStyle name="Calculation 2 5 5 2 2" xfId="22257"/>
    <cellStyle name="Calculation 2 5 5 3" xfId="21470"/>
    <cellStyle name="Calculation 2 6" xfId="780"/>
    <cellStyle name="Calculation 2 6 2" xfId="781"/>
    <cellStyle name="Calculation 2 6 2 2" xfId="21354"/>
    <cellStyle name="Calculation 2 6 2 2 2" xfId="22256"/>
    <cellStyle name="Calculation 2 6 2 3" xfId="21471"/>
    <cellStyle name="Calculation 2 6 3" xfId="782"/>
    <cellStyle name="Calculation 2 6 3 2" xfId="21353"/>
    <cellStyle name="Calculation 2 6 3 2 2" xfId="22255"/>
    <cellStyle name="Calculation 2 6 3 3" xfId="21472"/>
    <cellStyle name="Calculation 2 6 4" xfId="783"/>
    <cellStyle name="Calculation 2 6 4 2" xfId="21352"/>
    <cellStyle name="Calculation 2 6 4 2 2" xfId="22254"/>
    <cellStyle name="Calculation 2 6 4 3" xfId="21473"/>
    <cellStyle name="Calculation 2 6 5" xfId="784"/>
    <cellStyle name="Calculation 2 6 5 2" xfId="21351"/>
    <cellStyle name="Calculation 2 6 5 2 2" xfId="22253"/>
    <cellStyle name="Calculation 2 6 5 3" xfId="21474"/>
    <cellStyle name="Calculation 2 7" xfId="785"/>
    <cellStyle name="Calculation 2 7 2" xfId="786"/>
    <cellStyle name="Calculation 2 7 2 2" xfId="21350"/>
    <cellStyle name="Calculation 2 7 2 2 2" xfId="22252"/>
    <cellStyle name="Calculation 2 7 2 3" xfId="21475"/>
    <cellStyle name="Calculation 2 7 3" xfId="787"/>
    <cellStyle name="Calculation 2 7 3 2" xfId="21349"/>
    <cellStyle name="Calculation 2 7 3 2 2" xfId="22251"/>
    <cellStyle name="Calculation 2 7 3 3" xfId="21476"/>
    <cellStyle name="Calculation 2 7 4" xfId="788"/>
    <cellStyle name="Calculation 2 7 4 2" xfId="21348"/>
    <cellStyle name="Calculation 2 7 4 2 2" xfId="22250"/>
    <cellStyle name="Calculation 2 7 4 3" xfId="21477"/>
    <cellStyle name="Calculation 2 7 5" xfId="789"/>
    <cellStyle name="Calculation 2 7 5 2" xfId="21347"/>
    <cellStyle name="Calculation 2 7 5 2 2" xfId="22249"/>
    <cellStyle name="Calculation 2 7 5 3" xfId="21478"/>
    <cellStyle name="Calculation 2 8" xfId="790"/>
    <cellStyle name="Calculation 2 8 2" xfId="791"/>
    <cellStyle name="Calculation 2 8 2 2" xfId="21346"/>
    <cellStyle name="Calculation 2 8 2 2 2" xfId="22248"/>
    <cellStyle name="Calculation 2 8 2 3" xfId="21479"/>
    <cellStyle name="Calculation 2 8 3" xfId="792"/>
    <cellStyle name="Calculation 2 8 3 2" xfId="21345"/>
    <cellStyle name="Calculation 2 8 3 2 2" xfId="22247"/>
    <cellStyle name="Calculation 2 8 3 3" xfId="21480"/>
    <cellStyle name="Calculation 2 8 4" xfId="793"/>
    <cellStyle name="Calculation 2 8 4 2" xfId="21344"/>
    <cellStyle name="Calculation 2 8 4 2 2" xfId="22246"/>
    <cellStyle name="Calculation 2 8 4 3" xfId="21481"/>
    <cellStyle name="Calculation 2 8 5" xfId="794"/>
    <cellStyle name="Calculation 2 8 5 2" xfId="21343"/>
    <cellStyle name="Calculation 2 8 5 2 2" xfId="22245"/>
    <cellStyle name="Calculation 2 8 5 3" xfId="21482"/>
    <cellStyle name="Calculation 2 9" xfId="795"/>
    <cellStyle name="Calculation 2 9 2" xfId="796"/>
    <cellStyle name="Calculation 2 9 2 2" xfId="21342"/>
    <cellStyle name="Calculation 2 9 2 2 2" xfId="22244"/>
    <cellStyle name="Calculation 2 9 2 3" xfId="21483"/>
    <cellStyle name="Calculation 2 9 3" xfId="797"/>
    <cellStyle name="Calculation 2 9 3 2" xfId="21341"/>
    <cellStyle name="Calculation 2 9 3 2 2" xfId="22243"/>
    <cellStyle name="Calculation 2 9 3 3" xfId="21484"/>
    <cellStyle name="Calculation 2 9 4" xfId="798"/>
    <cellStyle name="Calculation 2 9 4 2" xfId="21340"/>
    <cellStyle name="Calculation 2 9 4 2 2" xfId="22242"/>
    <cellStyle name="Calculation 2 9 4 3" xfId="21485"/>
    <cellStyle name="Calculation 2 9 5" xfId="799"/>
    <cellStyle name="Calculation 2 9 5 2" xfId="21339"/>
    <cellStyle name="Calculation 2 9 5 2 2" xfId="22241"/>
    <cellStyle name="Calculation 2 9 5 3" xfId="21486"/>
    <cellStyle name="Calculation 3" xfId="800"/>
    <cellStyle name="Calculation 3 2" xfId="801"/>
    <cellStyle name="Calculation 3 2 2" xfId="21337"/>
    <cellStyle name="Calculation 3 2 2 2" xfId="22239"/>
    <cellStyle name="Calculation 3 2 3" xfId="21488"/>
    <cellStyle name="Calculation 3 3" xfId="802"/>
    <cellStyle name="Calculation 3 3 2" xfId="21336"/>
    <cellStyle name="Calculation 3 3 2 2" xfId="22238"/>
    <cellStyle name="Calculation 3 3 3" xfId="21489"/>
    <cellStyle name="Calculation 3 4" xfId="21338"/>
    <cellStyle name="Calculation 3 4 2" xfId="22240"/>
    <cellStyle name="Calculation 3 5" xfId="21487"/>
    <cellStyle name="Calculation 4" xfId="803"/>
    <cellStyle name="Calculation 4 2" xfId="804"/>
    <cellStyle name="Calculation 4 2 2" xfId="21334"/>
    <cellStyle name="Calculation 4 2 2 2" xfId="22236"/>
    <cellStyle name="Calculation 4 2 3" xfId="21491"/>
    <cellStyle name="Calculation 4 3" xfId="805"/>
    <cellStyle name="Calculation 4 3 2" xfId="21333"/>
    <cellStyle name="Calculation 4 3 2 2" xfId="22235"/>
    <cellStyle name="Calculation 4 3 3" xfId="21492"/>
    <cellStyle name="Calculation 4 4" xfId="21335"/>
    <cellStyle name="Calculation 4 4 2" xfId="22237"/>
    <cellStyle name="Calculation 4 5" xfId="21490"/>
    <cellStyle name="Calculation 5" xfId="806"/>
    <cellStyle name="Calculation 5 2" xfId="807"/>
    <cellStyle name="Calculation 5 2 2" xfId="21331"/>
    <cellStyle name="Calculation 5 2 2 2" xfId="22233"/>
    <cellStyle name="Calculation 5 2 3" xfId="21494"/>
    <cellStyle name="Calculation 5 3" xfId="808"/>
    <cellStyle name="Calculation 5 3 2" xfId="21330"/>
    <cellStyle name="Calculation 5 3 2 2" xfId="22232"/>
    <cellStyle name="Calculation 5 3 3" xfId="21495"/>
    <cellStyle name="Calculation 5 4" xfId="21332"/>
    <cellStyle name="Calculation 5 4 2" xfId="22234"/>
    <cellStyle name="Calculation 5 5" xfId="21493"/>
    <cellStyle name="Calculation 6" xfId="809"/>
    <cellStyle name="Calculation 6 2" xfId="810"/>
    <cellStyle name="Calculation 6 2 2" xfId="21328"/>
    <cellStyle name="Calculation 6 2 2 2" xfId="22230"/>
    <cellStyle name="Calculation 6 2 3" xfId="21497"/>
    <cellStyle name="Calculation 6 3" xfId="811"/>
    <cellStyle name="Calculation 6 3 2" xfId="21327"/>
    <cellStyle name="Calculation 6 3 2 2" xfId="22229"/>
    <cellStyle name="Calculation 6 3 3" xfId="21498"/>
    <cellStyle name="Calculation 6 4" xfId="21329"/>
    <cellStyle name="Calculation 6 4 2" xfId="22231"/>
    <cellStyle name="Calculation 6 5" xfId="21496"/>
    <cellStyle name="Calculation 7" xfId="812"/>
    <cellStyle name="Calculation 7 2" xfId="21326"/>
    <cellStyle name="Calculation 7 2 2" xfId="22228"/>
    <cellStyle name="Calculation 7 3" xfId="2149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2226"/>
    <cellStyle name="Gia's 10 3" xfId="21501"/>
    <cellStyle name="Gia's 11" xfId="21325"/>
    <cellStyle name="Gia's 11 2" xfId="22227"/>
    <cellStyle name="Gia's 12" xfId="21500"/>
    <cellStyle name="Gia's 2" xfId="9187"/>
    <cellStyle name="Gia's 2 2" xfId="21323"/>
    <cellStyle name="Gia's 2 2 2" xfId="22225"/>
    <cellStyle name="Gia's 2 3" xfId="21502"/>
    <cellStyle name="Gia's 3" xfId="9188"/>
    <cellStyle name="Gia's 3 2" xfId="21322"/>
    <cellStyle name="Gia's 3 2 2" xfId="22224"/>
    <cellStyle name="Gia's 3 3" xfId="21503"/>
    <cellStyle name="Gia's 4" xfId="9189"/>
    <cellStyle name="Gia's 4 2" xfId="21321"/>
    <cellStyle name="Gia's 4 2 2" xfId="22223"/>
    <cellStyle name="Gia's 4 3" xfId="21504"/>
    <cellStyle name="Gia's 5" xfId="9190"/>
    <cellStyle name="Gia's 5 2" xfId="21320"/>
    <cellStyle name="Gia's 5 2 2" xfId="22222"/>
    <cellStyle name="Gia's 5 3" xfId="21505"/>
    <cellStyle name="Gia's 6" xfId="9191"/>
    <cellStyle name="Gia's 6 2" xfId="21319"/>
    <cellStyle name="Gia's 6 2 2" xfId="22221"/>
    <cellStyle name="Gia's 6 3" xfId="21506"/>
    <cellStyle name="Gia's 7" xfId="9192"/>
    <cellStyle name="Gia's 7 2" xfId="21318"/>
    <cellStyle name="Gia's 7 2 2" xfId="22220"/>
    <cellStyle name="Gia's 7 3" xfId="21507"/>
    <cellStyle name="Gia's 8" xfId="9193"/>
    <cellStyle name="Gia's 8 2" xfId="21317"/>
    <cellStyle name="Gia's 8 2 2" xfId="22219"/>
    <cellStyle name="Gia's 8 3" xfId="21508"/>
    <cellStyle name="Gia's 9" xfId="9194"/>
    <cellStyle name="Gia's 9 2" xfId="21316"/>
    <cellStyle name="Gia's 9 2 2" xfId="22218"/>
    <cellStyle name="Gia's 9 3" xfId="21509"/>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2217"/>
    <cellStyle name="greyed 3" xfId="21510"/>
    <cellStyle name="Header1" xfId="9222"/>
    <cellStyle name="Header1 2" xfId="9223"/>
    <cellStyle name="Header1 3" xfId="9224"/>
    <cellStyle name="Header2" xfId="9225"/>
    <cellStyle name="Header2 2" xfId="9226"/>
    <cellStyle name="Header2 2 2" xfId="21313"/>
    <cellStyle name="Header2 2 2 2" xfId="22215"/>
    <cellStyle name="Header2 2 3" xfId="21512"/>
    <cellStyle name="Header2 3" xfId="9227"/>
    <cellStyle name="Header2 3 2" xfId="21312"/>
    <cellStyle name="Header2 3 2 2" xfId="22214"/>
    <cellStyle name="Header2 3 3" xfId="21513"/>
    <cellStyle name="Header2 4" xfId="21314"/>
    <cellStyle name="Header2 4 2" xfId="22216"/>
    <cellStyle name="Header2 5" xfId="21511"/>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2213"/>
    <cellStyle name="HeadingTable 3" xfId="21514"/>
    <cellStyle name="highlightExposure" xfId="9323"/>
    <cellStyle name="highlightExposure 2" xfId="21310"/>
    <cellStyle name="highlightExposure 2 2" xfId="22212"/>
    <cellStyle name="highlightExposure 3" xfId="21515"/>
    <cellStyle name="highlightPercentage" xfId="9324"/>
    <cellStyle name="highlightPercentage 2" xfId="21309"/>
    <cellStyle name="highlightPercentage 2 2" xfId="22211"/>
    <cellStyle name="highlightPercentage 3" xfId="21516"/>
    <cellStyle name="highlightText" xfId="9325"/>
    <cellStyle name="highlightText 2" xfId="21308"/>
    <cellStyle name="highlightText 2 2" xfId="22210"/>
    <cellStyle name="highlightText 3" xfId="21517"/>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208"/>
    <cellStyle name="Input 2 10 2 3" xfId="21519"/>
    <cellStyle name="Input 2 10 3" xfId="9336"/>
    <cellStyle name="Input 2 10 3 2" xfId="21305"/>
    <cellStyle name="Input 2 10 3 2 2" xfId="22207"/>
    <cellStyle name="Input 2 10 3 3" xfId="21520"/>
    <cellStyle name="Input 2 10 4" xfId="9337"/>
    <cellStyle name="Input 2 10 4 2" xfId="21304"/>
    <cellStyle name="Input 2 10 4 2 2" xfId="22206"/>
    <cellStyle name="Input 2 10 4 3" xfId="21521"/>
    <cellStyle name="Input 2 10 5" xfId="9338"/>
    <cellStyle name="Input 2 10 5 2" xfId="21303"/>
    <cellStyle name="Input 2 10 5 2 2" xfId="22205"/>
    <cellStyle name="Input 2 10 5 3" xfId="21522"/>
    <cellStyle name="Input 2 11" xfId="9339"/>
    <cellStyle name="Input 2 11 2" xfId="9340"/>
    <cellStyle name="Input 2 11 2 2" xfId="21301"/>
    <cellStyle name="Input 2 11 2 2 2" xfId="22203"/>
    <cellStyle name="Input 2 11 2 3" xfId="21524"/>
    <cellStyle name="Input 2 11 3" xfId="9341"/>
    <cellStyle name="Input 2 11 3 2" xfId="21300"/>
    <cellStyle name="Input 2 11 3 2 2" xfId="22202"/>
    <cellStyle name="Input 2 11 3 3" xfId="21525"/>
    <cellStyle name="Input 2 11 4" xfId="9342"/>
    <cellStyle name="Input 2 11 4 2" xfId="21299"/>
    <cellStyle name="Input 2 11 4 2 2" xfId="22201"/>
    <cellStyle name="Input 2 11 4 3" xfId="21526"/>
    <cellStyle name="Input 2 11 5" xfId="9343"/>
    <cellStyle name="Input 2 11 5 2" xfId="21298"/>
    <cellStyle name="Input 2 11 5 2 2" xfId="22200"/>
    <cellStyle name="Input 2 11 5 3" xfId="21527"/>
    <cellStyle name="Input 2 11 6" xfId="21302"/>
    <cellStyle name="Input 2 11 6 2" xfId="22204"/>
    <cellStyle name="Input 2 11 7" xfId="21523"/>
    <cellStyle name="Input 2 12" xfId="9344"/>
    <cellStyle name="Input 2 12 2" xfId="9345"/>
    <cellStyle name="Input 2 12 2 2" xfId="21296"/>
    <cellStyle name="Input 2 12 2 2 2" xfId="22198"/>
    <cellStyle name="Input 2 12 2 3" xfId="21529"/>
    <cellStyle name="Input 2 12 3" xfId="9346"/>
    <cellStyle name="Input 2 12 3 2" xfId="21295"/>
    <cellStyle name="Input 2 12 3 2 2" xfId="22197"/>
    <cellStyle name="Input 2 12 3 3" xfId="21530"/>
    <cellStyle name="Input 2 12 4" xfId="9347"/>
    <cellStyle name="Input 2 12 4 2" xfId="21294"/>
    <cellStyle name="Input 2 12 4 2 2" xfId="22196"/>
    <cellStyle name="Input 2 12 4 3" xfId="21531"/>
    <cellStyle name="Input 2 12 5" xfId="9348"/>
    <cellStyle name="Input 2 12 5 2" xfId="21293"/>
    <cellStyle name="Input 2 12 5 2 2" xfId="22195"/>
    <cellStyle name="Input 2 12 5 3" xfId="21532"/>
    <cellStyle name="Input 2 12 6" xfId="21297"/>
    <cellStyle name="Input 2 12 6 2" xfId="22199"/>
    <cellStyle name="Input 2 12 7" xfId="21528"/>
    <cellStyle name="Input 2 13" xfId="9349"/>
    <cellStyle name="Input 2 13 2" xfId="9350"/>
    <cellStyle name="Input 2 13 2 2" xfId="21291"/>
    <cellStyle name="Input 2 13 2 2 2" xfId="22193"/>
    <cellStyle name="Input 2 13 2 3" xfId="21534"/>
    <cellStyle name="Input 2 13 3" xfId="9351"/>
    <cellStyle name="Input 2 13 3 2" xfId="21290"/>
    <cellStyle name="Input 2 13 3 2 2" xfId="22192"/>
    <cellStyle name="Input 2 13 3 3" xfId="21535"/>
    <cellStyle name="Input 2 13 4" xfId="9352"/>
    <cellStyle name="Input 2 13 4 2" xfId="21289"/>
    <cellStyle name="Input 2 13 4 2 2" xfId="22191"/>
    <cellStyle name="Input 2 13 4 3" xfId="21536"/>
    <cellStyle name="Input 2 13 5" xfId="21292"/>
    <cellStyle name="Input 2 13 5 2" xfId="22194"/>
    <cellStyle name="Input 2 13 6" xfId="21533"/>
    <cellStyle name="Input 2 14" xfId="9353"/>
    <cellStyle name="Input 2 14 2" xfId="21288"/>
    <cellStyle name="Input 2 14 2 2" xfId="22190"/>
    <cellStyle name="Input 2 14 3" xfId="21537"/>
    <cellStyle name="Input 2 15" xfId="9354"/>
    <cellStyle name="Input 2 15 2" xfId="21287"/>
    <cellStyle name="Input 2 15 2 2" xfId="22189"/>
    <cellStyle name="Input 2 15 3" xfId="21538"/>
    <cellStyle name="Input 2 16" xfId="9355"/>
    <cellStyle name="Input 2 16 2" xfId="21286"/>
    <cellStyle name="Input 2 16 2 2" xfId="22188"/>
    <cellStyle name="Input 2 16 3" xfId="21539"/>
    <cellStyle name="Input 2 17" xfId="21307"/>
    <cellStyle name="Input 2 17 2" xfId="22209"/>
    <cellStyle name="Input 2 18" xfId="21518"/>
    <cellStyle name="Input 2 2" xfId="9356"/>
    <cellStyle name="Input 2 2 10" xfId="21285"/>
    <cellStyle name="Input 2 2 10 2" xfId="22187"/>
    <cellStyle name="Input 2 2 11" xfId="21540"/>
    <cellStyle name="Input 2 2 2" xfId="9357"/>
    <cellStyle name="Input 2 2 2 2" xfId="9358"/>
    <cellStyle name="Input 2 2 2 2 2" xfId="21283"/>
    <cellStyle name="Input 2 2 2 2 2 2" xfId="22185"/>
    <cellStyle name="Input 2 2 2 2 3" xfId="21542"/>
    <cellStyle name="Input 2 2 2 3" xfId="9359"/>
    <cellStyle name="Input 2 2 2 3 2" xfId="21282"/>
    <cellStyle name="Input 2 2 2 3 2 2" xfId="22184"/>
    <cellStyle name="Input 2 2 2 3 3" xfId="21543"/>
    <cellStyle name="Input 2 2 2 4" xfId="9360"/>
    <cellStyle name="Input 2 2 2 4 2" xfId="21281"/>
    <cellStyle name="Input 2 2 2 4 2 2" xfId="22183"/>
    <cellStyle name="Input 2 2 2 4 3" xfId="21544"/>
    <cellStyle name="Input 2 2 2 5" xfId="21284"/>
    <cellStyle name="Input 2 2 2 5 2" xfId="22186"/>
    <cellStyle name="Input 2 2 2 6" xfId="21541"/>
    <cellStyle name="Input 2 2 3" xfId="9361"/>
    <cellStyle name="Input 2 2 3 2" xfId="9362"/>
    <cellStyle name="Input 2 2 3 2 2" xfId="21279"/>
    <cellStyle name="Input 2 2 3 2 2 2" xfId="22181"/>
    <cellStyle name="Input 2 2 3 2 3" xfId="21546"/>
    <cellStyle name="Input 2 2 3 3" xfId="9363"/>
    <cellStyle name="Input 2 2 3 3 2" xfId="21278"/>
    <cellStyle name="Input 2 2 3 3 2 2" xfId="22180"/>
    <cellStyle name="Input 2 2 3 3 3" xfId="21547"/>
    <cellStyle name="Input 2 2 3 4" xfId="9364"/>
    <cellStyle name="Input 2 2 3 4 2" xfId="21277"/>
    <cellStyle name="Input 2 2 3 4 2 2" xfId="22179"/>
    <cellStyle name="Input 2 2 3 4 3" xfId="21548"/>
    <cellStyle name="Input 2 2 3 5" xfId="21280"/>
    <cellStyle name="Input 2 2 3 5 2" xfId="22182"/>
    <cellStyle name="Input 2 2 3 6" xfId="21545"/>
    <cellStyle name="Input 2 2 4" xfId="9365"/>
    <cellStyle name="Input 2 2 4 2" xfId="9366"/>
    <cellStyle name="Input 2 2 4 2 2" xfId="21275"/>
    <cellStyle name="Input 2 2 4 2 2 2" xfId="22177"/>
    <cellStyle name="Input 2 2 4 2 3" xfId="21550"/>
    <cellStyle name="Input 2 2 4 3" xfId="9367"/>
    <cellStyle name="Input 2 2 4 3 2" xfId="21274"/>
    <cellStyle name="Input 2 2 4 3 2 2" xfId="22176"/>
    <cellStyle name="Input 2 2 4 3 3" xfId="21551"/>
    <cellStyle name="Input 2 2 4 4" xfId="9368"/>
    <cellStyle name="Input 2 2 4 4 2" xfId="21273"/>
    <cellStyle name="Input 2 2 4 4 2 2" xfId="22175"/>
    <cellStyle name="Input 2 2 4 4 3" xfId="21552"/>
    <cellStyle name="Input 2 2 4 5" xfId="21276"/>
    <cellStyle name="Input 2 2 4 5 2" xfId="22178"/>
    <cellStyle name="Input 2 2 4 6" xfId="21549"/>
    <cellStyle name="Input 2 2 5" xfId="9369"/>
    <cellStyle name="Input 2 2 5 2" xfId="9370"/>
    <cellStyle name="Input 2 2 5 2 2" xfId="21271"/>
    <cellStyle name="Input 2 2 5 2 2 2" xfId="22173"/>
    <cellStyle name="Input 2 2 5 2 3" xfId="21554"/>
    <cellStyle name="Input 2 2 5 3" xfId="9371"/>
    <cellStyle name="Input 2 2 5 3 2" xfId="21270"/>
    <cellStyle name="Input 2 2 5 3 2 2" xfId="22172"/>
    <cellStyle name="Input 2 2 5 3 3" xfId="21555"/>
    <cellStyle name="Input 2 2 5 4" xfId="9372"/>
    <cellStyle name="Input 2 2 5 4 2" xfId="21269"/>
    <cellStyle name="Input 2 2 5 4 2 2" xfId="22171"/>
    <cellStyle name="Input 2 2 5 4 3" xfId="21556"/>
    <cellStyle name="Input 2 2 5 5" xfId="21272"/>
    <cellStyle name="Input 2 2 5 5 2" xfId="22174"/>
    <cellStyle name="Input 2 2 5 6" xfId="21553"/>
    <cellStyle name="Input 2 2 6" xfId="9373"/>
    <cellStyle name="Input 2 2 6 2" xfId="21268"/>
    <cellStyle name="Input 2 2 6 2 2" xfId="22170"/>
    <cellStyle name="Input 2 2 6 3" xfId="21557"/>
    <cellStyle name="Input 2 2 7" xfId="9374"/>
    <cellStyle name="Input 2 2 7 2" xfId="21267"/>
    <cellStyle name="Input 2 2 7 2 2" xfId="22169"/>
    <cellStyle name="Input 2 2 7 3" xfId="21558"/>
    <cellStyle name="Input 2 2 8" xfId="9375"/>
    <cellStyle name="Input 2 2 8 2" xfId="21266"/>
    <cellStyle name="Input 2 2 8 2 2" xfId="22168"/>
    <cellStyle name="Input 2 2 8 3" xfId="21559"/>
    <cellStyle name="Input 2 2 9" xfId="9376"/>
    <cellStyle name="Input 2 2 9 2" xfId="21265"/>
    <cellStyle name="Input 2 2 9 2 2" xfId="22167"/>
    <cellStyle name="Input 2 2 9 3" xfId="21560"/>
    <cellStyle name="Input 2 3" xfId="9377"/>
    <cellStyle name="Input 2 3 2" xfId="9378"/>
    <cellStyle name="Input 2 3 2 2" xfId="21264"/>
    <cellStyle name="Input 2 3 2 2 2" xfId="22166"/>
    <cellStyle name="Input 2 3 2 3" xfId="21561"/>
    <cellStyle name="Input 2 3 3" xfId="9379"/>
    <cellStyle name="Input 2 3 3 2" xfId="21263"/>
    <cellStyle name="Input 2 3 3 2 2" xfId="22165"/>
    <cellStyle name="Input 2 3 3 3" xfId="21562"/>
    <cellStyle name="Input 2 3 4" xfId="9380"/>
    <cellStyle name="Input 2 3 4 2" xfId="21262"/>
    <cellStyle name="Input 2 3 4 2 2" xfId="22164"/>
    <cellStyle name="Input 2 3 4 3" xfId="21563"/>
    <cellStyle name="Input 2 3 5" xfId="9381"/>
    <cellStyle name="Input 2 3 5 2" xfId="21261"/>
    <cellStyle name="Input 2 3 5 2 2" xfId="22163"/>
    <cellStyle name="Input 2 3 5 3" xfId="21564"/>
    <cellStyle name="Input 2 4" xfId="9382"/>
    <cellStyle name="Input 2 4 2" xfId="9383"/>
    <cellStyle name="Input 2 4 2 2" xfId="21260"/>
    <cellStyle name="Input 2 4 2 2 2" xfId="22162"/>
    <cellStyle name="Input 2 4 2 3" xfId="21565"/>
    <cellStyle name="Input 2 4 3" xfId="9384"/>
    <cellStyle name="Input 2 4 3 2" xfId="21259"/>
    <cellStyle name="Input 2 4 3 2 2" xfId="22161"/>
    <cellStyle name="Input 2 4 3 3" xfId="21566"/>
    <cellStyle name="Input 2 4 4" xfId="9385"/>
    <cellStyle name="Input 2 4 4 2" xfId="21258"/>
    <cellStyle name="Input 2 4 4 2 2" xfId="22160"/>
    <cellStyle name="Input 2 4 4 3" xfId="21567"/>
    <cellStyle name="Input 2 4 5" xfId="9386"/>
    <cellStyle name="Input 2 4 5 2" xfId="21257"/>
    <cellStyle name="Input 2 4 5 2 2" xfId="22159"/>
    <cellStyle name="Input 2 4 5 3" xfId="21568"/>
    <cellStyle name="Input 2 5" xfId="9387"/>
    <cellStyle name="Input 2 5 2" xfId="9388"/>
    <cellStyle name="Input 2 5 2 2" xfId="21256"/>
    <cellStyle name="Input 2 5 2 2 2" xfId="22158"/>
    <cellStyle name="Input 2 5 2 3" xfId="21569"/>
    <cellStyle name="Input 2 5 3" xfId="9389"/>
    <cellStyle name="Input 2 5 3 2" xfId="21255"/>
    <cellStyle name="Input 2 5 3 2 2" xfId="22157"/>
    <cellStyle name="Input 2 5 3 3" xfId="21570"/>
    <cellStyle name="Input 2 5 4" xfId="9390"/>
    <cellStyle name="Input 2 5 4 2" xfId="21254"/>
    <cellStyle name="Input 2 5 4 2 2" xfId="22156"/>
    <cellStyle name="Input 2 5 4 3" xfId="21571"/>
    <cellStyle name="Input 2 5 5" xfId="9391"/>
    <cellStyle name="Input 2 5 5 2" xfId="21253"/>
    <cellStyle name="Input 2 5 5 2 2" xfId="22155"/>
    <cellStyle name="Input 2 5 5 3" xfId="21572"/>
    <cellStyle name="Input 2 6" xfId="9392"/>
    <cellStyle name="Input 2 6 2" xfId="9393"/>
    <cellStyle name="Input 2 6 2 2" xfId="21252"/>
    <cellStyle name="Input 2 6 2 2 2" xfId="22154"/>
    <cellStyle name="Input 2 6 2 3" xfId="21573"/>
    <cellStyle name="Input 2 6 3" xfId="9394"/>
    <cellStyle name="Input 2 6 3 2" xfId="21251"/>
    <cellStyle name="Input 2 6 3 2 2" xfId="22153"/>
    <cellStyle name="Input 2 6 3 3" xfId="21574"/>
    <cellStyle name="Input 2 6 4" xfId="9395"/>
    <cellStyle name="Input 2 6 4 2" xfId="21250"/>
    <cellStyle name="Input 2 6 4 2 2" xfId="22152"/>
    <cellStyle name="Input 2 6 4 3" xfId="21575"/>
    <cellStyle name="Input 2 6 5" xfId="9396"/>
    <cellStyle name="Input 2 6 5 2" xfId="21249"/>
    <cellStyle name="Input 2 6 5 2 2" xfId="22151"/>
    <cellStyle name="Input 2 6 5 3" xfId="21576"/>
    <cellStyle name="Input 2 7" xfId="9397"/>
    <cellStyle name="Input 2 7 2" xfId="9398"/>
    <cellStyle name="Input 2 7 2 2" xfId="21248"/>
    <cellStyle name="Input 2 7 2 2 2" xfId="22150"/>
    <cellStyle name="Input 2 7 2 3" xfId="21577"/>
    <cellStyle name="Input 2 7 3" xfId="9399"/>
    <cellStyle name="Input 2 7 3 2" xfId="21247"/>
    <cellStyle name="Input 2 7 3 2 2" xfId="22149"/>
    <cellStyle name="Input 2 7 3 3" xfId="21578"/>
    <cellStyle name="Input 2 7 4" xfId="9400"/>
    <cellStyle name="Input 2 7 4 2" xfId="21246"/>
    <cellStyle name="Input 2 7 4 2 2" xfId="22148"/>
    <cellStyle name="Input 2 7 4 3" xfId="21579"/>
    <cellStyle name="Input 2 7 5" xfId="9401"/>
    <cellStyle name="Input 2 7 5 2" xfId="21245"/>
    <cellStyle name="Input 2 7 5 2 2" xfId="22147"/>
    <cellStyle name="Input 2 7 5 3" xfId="21580"/>
    <cellStyle name="Input 2 8" xfId="9402"/>
    <cellStyle name="Input 2 8 2" xfId="9403"/>
    <cellStyle name="Input 2 8 2 2" xfId="21244"/>
    <cellStyle name="Input 2 8 2 2 2" xfId="22146"/>
    <cellStyle name="Input 2 8 2 3" xfId="21581"/>
    <cellStyle name="Input 2 8 3" xfId="9404"/>
    <cellStyle name="Input 2 8 3 2" xfId="21243"/>
    <cellStyle name="Input 2 8 3 2 2" xfId="22145"/>
    <cellStyle name="Input 2 8 3 3" xfId="21582"/>
    <cellStyle name="Input 2 8 4" xfId="9405"/>
    <cellStyle name="Input 2 8 4 2" xfId="21242"/>
    <cellStyle name="Input 2 8 4 2 2" xfId="22144"/>
    <cellStyle name="Input 2 8 4 3" xfId="21583"/>
    <cellStyle name="Input 2 8 5" xfId="9406"/>
    <cellStyle name="Input 2 8 5 2" xfId="21241"/>
    <cellStyle name="Input 2 8 5 2 2" xfId="22143"/>
    <cellStyle name="Input 2 8 5 3" xfId="21584"/>
    <cellStyle name="Input 2 9" xfId="9407"/>
    <cellStyle name="Input 2 9 2" xfId="9408"/>
    <cellStyle name="Input 2 9 2 2" xfId="21240"/>
    <cellStyle name="Input 2 9 2 2 2" xfId="22142"/>
    <cellStyle name="Input 2 9 2 3" xfId="21585"/>
    <cellStyle name="Input 2 9 3" xfId="9409"/>
    <cellStyle name="Input 2 9 3 2" xfId="21239"/>
    <cellStyle name="Input 2 9 3 2 2" xfId="22141"/>
    <cellStyle name="Input 2 9 3 3" xfId="21586"/>
    <cellStyle name="Input 2 9 4" xfId="9410"/>
    <cellStyle name="Input 2 9 4 2" xfId="21238"/>
    <cellStyle name="Input 2 9 4 2 2" xfId="22140"/>
    <cellStyle name="Input 2 9 4 3" xfId="21587"/>
    <cellStyle name="Input 2 9 5" xfId="9411"/>
    <cellStyle name="Input 2 9 5 2" xfId="21237"/>
    <cellStyle name="Input 2 9 5 2 2" xfId="22139"/>
    <cellStyle name="Input 2 9 5 3" xfId="21588"/>
    <cellStyle name="Input 3" xfId="9412"/>
    <cellStyle name="Input 3 2" xfId="9413"/>
    <cellStyle name="Input 3 2 2" xfId="21235"/>
    <cellStyle name="Input 3 2 2 2" xfId="22137"/>
    <cellStyle name="Input 3 2 3" xfId="21590"/>
    <cellStyle name="Input 3 3" xfId="9414"/>
    <cellStyle name="Input 3 3 2" xfId="21234"/>
    <cellStyle name="Input 3 3 2 2" xfId="22136"/>
    <cellStyle name="Input 3 3 3" xfId="21591"/>
    <cellStyle name="Input 3 4" xfId="21236"/>
    <cellStyle name="Input 3 4 2" xfId="22138"/>
    <cellStyle name="Input 3 5" xfId="21589"/>
    <cellStyle name="Input 4" xfId="9415"/>
    <cellStyle name="Input 4 2" xfId="9416"/>
    <cellStyle name="Input 4 2 2" xfId="21232"/>
    <cellStyle name="Input 4 2 2 2" xfId="22134"/>
    <cellStyle name="Input 4 2 3" xfId="21593"/>
    <cellStyle name="Input 4 3" xfId="9417"/>
    <cellStyle name="Input 4 3 2" xfId="21231"/>
    <cellStyle name="Input 4 3 2 2" xfId="22133"/>
    <cellStyle name="Input 4 3 3" xfId="21594"/>
    <cellStyle name="Input 4 4" xfId="21233"/>
    <cellStyle name="Input 4 4 2" xfId="22135"/>
    <cellStyle name="Input 4 5" xfId="21592"/>
    <cellStyle name="Input 5" xfId="9418"/>
    <cellStyle name="Input 5 2" xfId="9419"/>
    <cellStyle name="Input 5 2 2" xfId="21229"/>
    <cellStyle name="Input 5 2 2 2" xfId="22131"/>
    <cellStyle name="Input 5 2 3" xfId="21596"/>
    <cellStyle name="Input 5 3" xfId="9420"/>
    <cellStyle name="Input 5 3 2" xfId="21228"/>
    <cellStyle name="Input 5 3 2 2" xfId="22130"/>
    <cellStyle name="Input 5 3 3" xfId="21597"/>
    <cellStyle name="Input 5 4" xfId="21230"/>
    <cellStyle name="Input 5 4 2" xfId="22132"/>
    <cellStyle name="Input 5 5" xfId="21595"/>
    <cellStyle name="Input 6" xfId="9421"/>
    <cellStyle name="Input 6 2" xfId="9422"/>
    <cellStyle name="Input 6 2 2" xfId="21226"/>
    <cellStyle name="Input 6 2 2 2" xfId="22128"/>
    <cellStyle name="Input 6 2 3" xfId="21599"/>
    <cellStyle name="Input 6 3" xfId="9423"/>
    <cellStyle name="Input 6 3 2" xfId="21225"/>
    <cellStyle name="Input 6 3 2 2" xfId="22127"/>
    <cellStyle name="Input 6 3 3" xfId="21600"/>
    <cellStyle name="Input 6 4" xfId="21227"/>
    <cellStyle name="Input 6 4 2" xfId="22129"/>
    <cellStyle name="Input 6 5" xfId="21598"/>
    <cellStyle name="Input 7" xfId="9424"/>
    <cellStyle name="Input 7 2" xfId="21224"/>
    <cellStyle name="Input 7 2 2" xfId="22126"/>
    <cellStyle name="Input 7 3" xfId="21601"/>
    <cellStyle name="inputExposure" xfId="9425"/>
    <cellStyle name="inputExposure 2" xfId="21223"/>
    <cellStyle name="inputExposure 2 2" xfId="22125"/>
    <cellStyle name="inputExposure 3" xfId="21602"/>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23 2" xfId="22312"/>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09" xfId="21415"/>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23"/>
    <cellStyle name="Note 2 10 2 3" xfId="21604"/>
    <cellStyle name="Note 2 10 3" xfId="20386"/>
    <cellStyle name="Note 2 10 3 2" xfId="21220"/>
    <cellStyle name="Note 2 10 3 2 2" xfId="22122"/>
    <cellStyle name="Note 2 10 3 3" xfId="21605"/>
    <cellStyle name="Note 2 10 4" xfId="20387"/>
    <cellStyle name="Note 2 10 4 2" xfId="21219"/>
    <cellStyle name="Note 2 10 4 2 2" xfId="22121"/>
    <cellStyle name="Note 2 10 4 3" xfId="21606"/>
    <cellStyle name="Note 2 10 5" xfId="20388"/>
    <cellStyle name="Note 2 10 5 2" xfId="21218"/>
    <cellStyle name="Note 2 10 5 2 2" xfId="22120"/>
    <cellStyle name="Note 2 10 5 3" xfId="21607"/>
    <cellStyle name="Note 2 11" xfId="20389"/>
    <cellStyle name="Note 2 11 2" xfId="20390"/>
    <cellStyle name="Note 2 11 2 2" xfId="21217"/>
    <cellStyle name="Note 2 11 2 2 2" xfId="22119"/>
    <cellStyle name="Note 2 11 2 3" xfId="21608"/>
    <cellStyle name="Note 2 11 3" xfId="20391"/>
    <cellStyle name="Note 2 11 3 2" xfId="21216"/>
    <cellStyle name="Note 2 11 3 2 2" xfId="22118"/>
    <cellStyle name="Note 2 11 3 3" xfId="21609"/>
    <cellStyle name="Note 2 11 4" xfId="20392"/>
    <cellStyle name="Note 2 11 4 2" xfId="21215"/>
    <cellStyle name="Note 2 11 4 2 2" xfId="22117"/>
    <cellStyle name="Note 2 11 4 3" xfId="21610"/>
    <cellStyle name="Note 2 11 5" xfId="20393"/>
    <cellStyle name="Note 2 11 5 2" xfId="21214"/>
    <cellStyle name="Note 2 11 5 2 2" xfId="22116"/>
    <cellStyle name="Note 2 11 5 3" xfId="21611"/>
    <cellStyle name="Note 2 12" xfId="20394"/>
    <cellStyle name="Note 2 12 2" xfId="20395"/>
    <cellStyle name="Note 2 12 2 2" xfId="21213"/>
    <cellStyle name="Note 2 12 2 2 2" xfId="22115"/>
    <cellStyle name="Note 2 12 2 3" xfId="21612"/>
    <cellStyle name="Note 2 12 3" xfId="20396"/>
    <cellStyle name="Note 2 12 3 2" xfId="21212"/>
    <cellStyle name="Note 2 12 3 2 2" xfId="22114"/>
    <cellStyle name="Note 2 12 3 3" xfId="21613"/>
    <cellStyle name="Note 2 12 4" xfId="20397"/>
    <cellStyle name="Note 2 12 4 2" xfId="21211"/>
    <cellStyle name="Note 2 12 4 2 2" xfId="22113"/>
    <cellStyle name="Note 2 12 4 3" xfId="21614"/>
    <cellStyle name="Note 2 12 5" xfId="20398"/>
    <cellStyle name="Note 2 12 5 2" xfId="21210"/>
    <cellStyle name="Note 2 12 5 2 2" xfId="22112"/>
    <cellStyle name="Note 2 12 5 3" xfId="21615"/>
    <cellStyle name="Note 2 13" xfId="20399"/>
    <cellStyle name="Note 2 13 2" xfId="20400"/>
    <cellStyle name="Note 2 13 2 2" xfId="21209"/>
    <cellStyle name="Note 2 13 2 2 2" xfId="22111"/>
    <cellStyle name="Note 2 13 2 3" xfId="21616"/>
    <cellStyle name="Note 2 13 3" xfId="20401"/>
    <cellStyle name="Note 2 13 3 2" xfId="21208"/>
    <cellStyle name="Note 2 13 3 2 2" xfId="22110"/>
    <cellStyle name="Note 2 13 3 3" xfId="21617"/>
    <cellStyle name="Note 2 13 4" xfId="20402"/>
    <cellStyle name="Note 2 13 4 2" xfId="21207"/>
    <cellStyle name="Note 2 13 4 2 2" xfId="22109"/>
    <cellStyle name="Note 2 13 4 3" xfId="21618"/>
    <cellStyle name="Note 2 13 5" xfId="20403"/>
    <cellStyle name="Note 2 13 5 2" xfId="21206"/>
    <cellStyle name="Note 2 13 5 2 2" xfId="22108"/>
    <cellStyle name="Note 2 13 5 3" xfId="21619"/>
    <cellStyle name="Note 2 14" xfId="20404"/>
    <cellStyle name="Note 2 14 2" xfId="20405"/>
    <cellStyle name="Note 2 14 2 2" xfId="21204"/>
    <cellStyle name="Note 2 14 2 2 2" xfId="22106"/>
    <cellStyle name="Note 2 14 2 3" xfId="21621"/>
    <cellStyle name="Note 2 14 3" xfId="21205"/>
    <cellStyle name="Note 2 14 3 2" xfId="22107"/>
    <cellStyle name="Note 2 14 4" xfId="21620"/>
    <cellStyle name="Note 2 15" xfId="20406"/>
    <cellStyle name="Note 2 15 2" xfId="20407"/>
    <cellStyle name="Note 2 15 2 2" xfId="21203"/>
    <cellStyle name="Note 2 15 2 2 2" xfId="22105"/>
    <cellStyle name="Note 2 15 2 3" xfId="21622"/>
    <cellStyle name="Note 2 16" xfId="20408"/>
    <cellStyle name="Note 2 16 2" xfId="21202"/>
    <cellStyle name="Note 2 16 2 2" xfId="22104"/>
    <cellStyle name="Note 2 16 3" xfId="21623"/>
    <cellStyle name="Note 2 17" xfId="20409"/>
    <cellStyle name="Note 2 17 2" xfId="21201"/>
    <cellStyle name="Note 2 17 2 2" xfId="22103"/>
    <cellStyle name="Note 2 17 3" xfId="21624"/>
    <cellStyle name="Note 2 18" xfId="21222"/>
    <cellStyle name="Note 2 18 2" xfId="22124"/>
    <cellStyle name="Note 2 19" xfId="21603"/>
    <cellStyle name="Note 2 2" xfId="20410"/>
    <cellStyle name="Note 2 2 10" xfId="20411"/>
    <cellStyle name="Note 2 2 10 2" xfId="21199"/>
    <cellStyle name="Note 2 2 10 2 2" xfId="22101"/>
    <cellStyle name="Note 2 2 10 3" xfId="21626"/>
    <cellStyle name="Note 2 2 11" xfId="21200"/>
    <cellStyle name="Note 2 2 11 2" xfId="22102"/>
    <cellStyle name="Note 2 2 12" xfId="21625"/>
    <cellStyle name="Note 2 2 2" xfId="20412"/>
    <cellStyle name="Note 2 2 2 2" xfId="20413"/>
    <cellStyle name="Note 2 2 2 2 2" xfId="21197"/>
    <cellStyle name="Note 2 2 2 2 2 2" xfId="22099"/>
    <cellStyle name="Note 2 2 2 2 3" xfId="21628"/>
    <cellStyle name="Note 2 2 2 3" xfId="20414"/>
    <cellStyle name="Note 2 2 2 3 2" xfId="21196"/>
    <cellStyle name="Note 2 2 2 3 2 2" xfId="22098"/>
    <cellStyle name="Note 2 2 2 3 3" xfId="21629"/>
    <cellStyle name="Note 2 2 2 4" xfId="20415"/>
    <cellStyle name="Note 2 2 2 4 2" xfId="21195"/>
    <cellStyle name="Note 2 2 2 4 2 2" xfId="22097"/>
    <cellStyle name="Note 2 2 2 4 3" xfId="21630"/>
    <cellStyle name="Note 2 2 2 5" xfId="20416"/>
    <cellStyle name="Note 2 2 2 5 2" xfId="21194"/>
    <cellStyle name="Note 2 2 2 5 2 2" xfId="22096"/>
    <cellStyle name="Note 2 2 2 5 3" xfId="21631"/>
    <cellStyle name="Note 2 2 2 6" xfId="21198"/>
    <cellStyle name="Note 2 2 2 6 2" xfId="22100"/>
    <cellStyle name="Note 2 2 2 7" xfId="21627"/>
    <cellStyle name="Note 2 2 3" xfId="20417"/>
    <cellStyle name="Note 2 2 3 2" xfId="20418"/>
    <cellStyle name="Note 2 2 3 2 2" xfId="21193"/>
    <cellStyle name="Note 2 2 3 2 2 2" xfId="22095"/>
    <cellStyle name="Note 2 2 3 2 3" xfId="21632"/>
    <cellStyle name="Note 2 2 3 3" xfId="20419"/>
    <cellStyle name="Note 2 2 3 3 2" xfId="21192"/>
    <cellStyle name="Note 2 2 3 3 2 2" xfId="22094"/>
    <cellStyle name="Note 2 2 3 3 3" xfId="21633"/>
    <cellStyle name="Note 2 2 3 4" xfId="20420"/>
    <cellStyle name="Note 2 2 3 4 2" xfId="21191"/>
    <cellStyle name="Note 2 2 3 4 2 2" xfId="22093"/>
    <cellStyle name="Note 2 2 3 4 3" xfId="21634"/>
    <cellStyle name="Note 2 2 3 5" xfId="20421"/>
    <cellStyle name="Note 2 2 3 5 2" xfId="21190"/>
    <cellStyle name="Note 2 2 3 5 2 2" xfId="22092"/>
    <cellStyle name="Note 2 2 3 5 3" xfId="21635"/>
    <cellStyle name="Note 2 2 4" xfId="20422"/>
    <cellStyle name="Note 2 2 4 2" xfId="20423"/>
    <cellStyle name="Note 2 2 4 2 2" xfId="21188"/>
    <cellStyle name="Note 2 2 4 2 2 2" xfId="22090"/>
    <cellStyle name="Note 2 2 4 2 3" xfId="21637"/>
    <cellStyle name="Note 2 2 4 3" xfId="20424"/>
    <cellStyle name="Note 2 2 4 3 2" xfId="21187"/>
    <cellStyle name="Note 2 2 4 3 2 2" xfId="22089"/>
    <cellStyle name="Note 2 2 4 3 3" xfId="21638"/>
    <cellStyle name="Note 2 2 4 4" xfId="20425"/>
    <cellStyle name="Note 2 2 4 4 2" xfId="21186"/>
    <cellStyle name="Note 2 2 4 4 2 2" xfId="22088"/>
    <cellStyle name="Note 2 2 4 4 3" xfId="21639"/>
    <cellStyle name="Note 2 2 4 5" xfId="21189"/>
    <cellStyle name="Note 2 2 4 5 2" xfId="22091"/>
    <cellStyle name="Note 2 2 4 6" xfId="21636"/>
    <cellStyle name="Note 2 2 5" xfId="20426"/>
    <cellStyle name="Note 2 2 5 2" xfId="20427"/>
    <cellStyle name="Note 2 2 5 2 2" xfId="21184"/>
    <cellStyle name="Note 2 2 5 2 2 2" xfId="22086"/>
    <cellStyle name="Note 2 2 5 2 3" xfId="21641"/>
    <cellStyle name="Note 2 2 5 3" xfId="20428"/>
    <cellStyle name="Note 2 2 5 3 2" xfId="21183"/>
    <cellStyle name="Note 2 2 5 3 2 2" xfId="22085"/>
    <cellStyle name="Note 2 2 5 3 3" xfId="21642"/>
    <cellStyle name="Note 2 2 5 4" xfId="20429"/>
    <cellStyle name="Note 2 2 5 4 2" xfId="21182"/>
    <cellStyle name="Note 2 2 5 4 2 2" xfId="22084"/>
    <cellStyle name="Note 2 2 5 4 3" xfId="21643"/>
    <cellStyle name="Note 2 2 5 5" xfId="21185"/>
    <cellStyle name="Note 2 2 5 5 2" xfId="22087"/>
    <cellStyle name="Note 2 2 5 6" xfId="21640"/>
    <cellStyle name="Note 2 2 6" xfId="20430"/>
    <cellStyle name="Note 2 2 6 2" xfId="21181"/>
    <cellStyle name="Note 2 2 6 2 2" xfId="22083"/>
    <cellStyle name="Note 2 2 6 3" xfId="21644"/>
    <cellStyle name="Note 2 2 7" xfId="20431"/>
    <cellStyle name="Note 2 2 7 2" xfId="21180"/>
    <cellStyle name="Note 2 2 7 2 2" xfId="22082"/>
    <cellStyle name="Note 2 2 7 3" xfId="21645"/>
    <cellStyle name="Note 2 2 8" xfId="20432"/>
    <cellStyle name="Note 2 2 8 2" xfId="21179"/>
    <cellStyle name="Note 2 2 8 2 2" xfId="22081"/>
    <cellStyle name="Note 2 2 8 3" xfId="21646"/>
    <cellStyle name="Note 2 2 9" xfId="20433"/>
    <cellStyle name="Note 2 2 9 2" xfId="21178"/>
    <cellStyle name="Note 2 2 9 2 2" xfId="22080"/>
    <cellStyle name="Note 2 2 9 3" xfId="21647"/>
    <cellStyle name="Note 2 3" xfId="20434"/>
    <cellStyle name="Note 2 3 2" xfId="20435"/>
    <cellStyle name="Note 2 3 2 2" xfId="21177"/>
    <cellStyle name="Note 2 3 2 2 2" xfId="22079"/>
    <cellStyle name="Note 2 3 2 3" xfId="21648"/>
    <cellStyle name="Note 2 3 3" xfId="20436"/>
    <cellStyle name="Note 2 3 3 2" xfId="21176"/>
    <cellStyle name="Note 2 3 3 2 2" xfId="22078"/>
    <cellStyle name="Note 2 3 3 3" xfId="21649"/>
    <cellStyle name="Note 2 3 4" xfId="20437"/>
    <cellStyle name="Note 2 3 4 2" xfId="21175"/>
    <cellStyle name="Note 2 3 4 2 2" xfId="22077"/>
    <cellStyle name="Note 2 3 4 3" xfId="21650"/>
    <cellStyle name="Note 2 3 5" xfId="20438"/>
    <cellStyle name="Note 2 3 5 2" xfId="21174"/>
    <cellStyle name="Note 2 3 5 2 2" xfId="22076"/>
    <cellStyle name="Note 2 3 5 3" xfId="21651"/>
    <cellStyle name="Note 2 4" xfId="20439"/>
    <cellStyle name="Note 2 4 2" xfId="20440"/>
    <cellStyle name="Note 2 4 2 2" xfId="20441"/>
    <cellStyle name="Note 2 4 2 2 2" xfId="21173"/>
    <cellStyle name="Note 2 4 2 2 2 2" xfId="22075"/>
    <cellStyle name="Note 2 4 2 2 3" xfId="21652"/>
    <cellStyle name="Note 2 4 3" xfId="20442"/>
    <cellStyle name="Note 2 4 3 2" xfId="20443"/>
    <cellStyle name="Note 2 4 3 2 2" xfId="21172"/>
    <cellStyle name="Note 2 4 3 2 2 2" xfId="22074"/>
    <cellStyle name="Note 2 4 3 2 3" xfId="21653"/>
    <cellStyle name="Note 2 4 4" xfId="20444"/>
    <cellStyle name="Note 2 4 4 2" xfId="20445"/>
    <cellStyle name="Note 2 4 4 2 2" xfId="21171"/>
    <cellStyle name="Note 2 4 4 2 2 2" xfId="22073"/>
    <cellStyle name="Note 2 4 4 2 3" xfId="21654"/>
    <cellStyle name="Note 2 4 5" xfId="20446"/>
    <cellStyle name="Note 2 4 6" xfId="20447"/>
    <cellStyle name="Note 2 4 7" xfId="20448"/>
    <cellStyle name="Note 2 4 7 2" xfId="21170"/>
    <cellStyle name="Note 2 4 7 2 2" xfId="22072"/>
    <cellStyle name="Note 2 4 7 3" xfId="21655"/>
    <cellStyle name="Note 2 5" xfId="20449"/>
    <cellStyle name="Note 2 5 2" xfId="20450"/>
    <cellStyle name="Note 2 5 2 2" xfId="20451"/>
    <cellStyle name="Note 2 5 2 2 2" xfId="21169"/>
    <cellStyle name="Note 2 5 2 2 2 2" xfId="22071"/>
    <cellStyle name="Note 2 5 2 2 3" xfId="21656"/>
    <cellStyle name="Note 2 5 3" xfId="20452"/>
    <cellStyle name="Note 2 5 3 2" xfId="20453"/>
    <cellStyle name="Note 2 5 3 2 2" xfId="21168"/>
    <cellStyle name="Note 2 5 3 2 2 2" xfId="22070"/>
    <cellStyle name="Note 2 5 3 2 3" xfId="21657"/>
    <cellStyle name="Note 2 5 4" xfId="20454"/>
    <cellStyle name="Note 2 5 4 2" xfId="20455"/>
    <cellStyle name="Note 2 5 4 2 2" xfId="21167"/>
    <cellStyle name="Note 2 5 4 2 2 2" xfId="22069"/>
    <cellStyle name="Note 2 5 4 2 3" xfId="21658"/>
    <cellStyle name="Note 2 5 5" xfId="20456"/>
    <cellStyle name="Note 2 5 6" xfId="20457"/>
    <cellStyle name="Note 2 5 7" xfId="20458"/>
    <cellStyle name="Note 2 5 7 2" xfId="21166"/>
    <cellStyle name="Note 2 5 7 2 2" xfId="22068"/>
    <cellStyle name="Note 2 5 7 3" xfId="21659"/>
    <cellStyle name="Note 2 6" xfId="20459"/>
    <cellStyle name="Note 2 6 2" xfId="20460"/>
    <cellStyle name="Note 2 6 2 2" xfId="20461"/>
    <cellStyle name="Note 2 6 2 2 2" xfId="21165"/>
    <cellStyle name="Note 2 6 2 2 2 2" xfId="22067"/>
    <cellStyle name="Note 2 6 2 2 3" xfId="21660"/>
    <cellStyle name="Note 2 6 3" xfId="20462"/>
    <cellStyle name="Note 2 6 3 2" xfId="20463"/>
    <cellStyle name="Note 2 6 3 2 2" xfId="21164"/>
    <cellStyle name="Note 2 6 3 2 2 2" xfId="22066"/>
    <cellStyle name="Note 2 6 3 2 3" xfId="21661"/>
    <cellStyle name="Note 2 6 4" xfId="20464"/>
    <cellStyle name="Note 2 6 4 2" xfId="20465"/>
    <cellStyle name="Note 2 6 4 2 2" xfId="21163"/>
    <cellStyle name="Note 2 6 4 2 2 2" xfId="22065"/>
    <cellStyle name="Note 2 6 4 2 3" xfId="21662"/>
    <cellStyle name="Note 2 6 5" xfId="20466"/>
    <cellStyle name="Note 2 6 6" xfId="20467"/>
    <cellStyle name="Note 2 6 7" xfId="20468"/>
    <cellStyle name="Note 2 6 7 2" xfId="21162"/>
    <cellStyle name="Note 2 6 7 2 2" xfId="22064"/>
    <cellStyle name="Note 2 6 7 3" xfId="21663"/>
    <cellStyle name="Note 2 7" xfId="20469"/>
    <cellStyle name="Note 2 7 2" xfId="20470"/>
    <cellStyle name="Note 2 7 2 2" xfId="20471"/>
    <cellStyle name="Note 2 7 2 2 2" xfId="21161"/>
    <cellStyle name="Note 2 7 2 2 2 2" xfId="22063"/>
    <cellStyle name="Note 2 7 2 2 3" xfId="21664"/>
    <cellStyle name="Note 2 7 3" xfId="20472"/>
    <cellStyle name="Note 2 7 3 2" xfId="20473"/>
    <cellStyle name="Note 2 7 3 2 2" xfId="21160"/>
    <cellStyle name="Note 2 7 3 2 2 2" xfId="22062"/>
    <cellStyle name="Note 2 7 3 2 3" xfId="21665"/>
    <cellStyle name="Note 2 7 4" xfId="20474"/>
    <cellStyle name="Note 2 7 4 2" xfId="20475"/>
    <cellStyle name="Note 2 7 4 2 2" xfId="21159"/>
    <cellStyle name="Note 2 7 4 2 2 2" xfId="22061"/>
    <cellStyle name="Note 2 7 4 2 3" xfId="21666"/>
    <cellStyle name="Note 2 7 5" xfId="20476"/>
    <cellStyle name="Note 2 7 6" xfId="20477"/>
    <cellStyle name="Note 2 7 7" xfId="20478"/>
    <cellStyle name="Note 2 7 7 2" xfId="21158"/>
    <cellStyle name="Note 2 7 7 2 2" xfId="22060"/>
    <cellStyle name="Note 2 7 7 3" xfId="21667"/>
    <cellStyle name="Note 2 8" xfId="20479"/>
    <cellStyle name="Note 2 8 2" xfId="20480"/>
    <cellStyle name="Note 2 8 2 2" xfId="21157"/>
    <cellStyle name="Note 2 8 2 2 2" xfId="22059"/>
    <cellStyle name="Note 2 8 2 3" xfId="21668"/>
    <cellStyle name="Note 2 8 3" xfId="20481"/>
    <cellStyle name="Note 2 8 3 2" xfId="21156"/>
    <cellStyle name="Note 2 8 3 2 2" xfId="22058"/>
    <cellStyle name="Note 2 8 3 3" xfId="21669"/>
    <cellStyle name="Note 2 8 4" xfId="20482"/>
    <cellStyle name="Note 2 8 4 2" xfId="21155"/>
    <cellStyle name="Note 2 8 4 2 2" xfId="22057"/>
    <cellStyle name="Note 2 8 4 3" xfId="21670"/>
    <cellStyle name="Note 2 8 5" xfId="20483"/>
    <cellStyle name="Note 2 8 5 2" xfId="21154"/>
    <cellStyle name="Note 2 8 5 2 2" xfId="22056"/>
    <cellStyle name="Note 2 8 5 3" xfId="21671"/>
    <cellStyle name="Note 2 9" xfId="20484"/>
    <cellStyle name="Note 2 9 2" xfId="20485"/>
    <cellStyle name="Note 2 9 2 2" xfId="21153"/>
    <cellStyle name="Note 2 9 2 2 2" xfId="22055"/>
    <cellStyle name="Note 2 9 2 3" xfId="21672"/>
    <cellStyle name="Note 2 9 3" xfId="20486"/>
    <cellStyle name="Note 2 9 3 2" xfId="21152"/>
    <cellStyle name="Note 2 9 3 2 2" xfId="22054"/>
    <cellStyle name="Note 2 9 3 3" xfId="21673"/>
    <cellStyle name="Note 2 9 4" xfId="20487"/>
    <cellStyle name="Note 2 9 4 2" xfId="21151"/>
    <cellStyle name="Note 2 9 4 2 2" xfId="22053"/>
    <cellStyle name="Note 2 9 4 3" xfId="21674"/>
    <cellStyle name="Note 2 9 5" xfId="20488"/>
    <cellStyle name="Note 2 9 5 2" xfId="21150"/>
    <cellStyle name="Note 2 9 5 2 2" xfId="22052"/>
    <cellStyle name="Note 2 9 5 3" xfId="21675"/>
    <cellStyle name="Note 3 2" xfId="20489"/>
    <cellStyle name="Note 3 2 2" xfId="20490"/>
    <cellStyle name="Note 3 2 2 2" xfId="21148"/>
    <cellStyle name="Note 3 2 2 2 2" xfId="22050"/>
    <cellStyle name="Note 3 2 2 3" xfId="21677"/>
    <cellStyle name="Note 3 2 3" xfId="20491"/>
    <cellStyle name="Note 3 2 4" xfId="21149"/>
    <cellStyle name="Note 3 2 4 2" xfId="22051"/>
    <cellStyle name="Note 3 2 5" xfId="21676"/>
    <cellStyle name="Note 3 3" xfId="20492"/>
    <cellStyle name="Note 3 3 2" xfId="20493"/>
    <cellStyle name="Note 3 3 3" xfId="21147"/>
    <cellStyle name="Note 3 3 3 2" xfId="22049"/>
    <cellStyle name="Note 3 3 4" xfId="21678"/>
    <cellStyle name="Note 3 4" xfId="20494"/>
    <cellStyle name="Note 3 4 2" xfId="21146"/>
    <cellStyle name="Note 3 4 2 2" xfId="22048"/>
    <cellStyle name="Note 3 4 3" xfId="21679"/>
    <cellStyle name="Note 3 5" xfId="20495"/>
    <cellStyle name="Note 4 2" xfId="20496"/>
    <cellStyle name="Note 4 2 2" xfId="20497"/>
    <cellStyle name="Note 4 2 2 2" xfId="21144"/>
    <cellStyle name="Note 4 2 2 2 2" xfId="22046"/>
    <cellStyle name="Note 4 2 2 3" xfId="21681"/>
    <cellStyle name="Note 4 2 3" xfId="20498"/>
    <cellStyle name="Note 4 2 4" xfId="21145"/>
    <cellStyle name="Note 4 2 4 2" xfId="22047"/>
    <cellStyle name="Note 4 2 5" xfId="21680"/>
    <cellStyle name="Note 4 3" xfId="20499"/>
    <cellStyle name="Note 4 4" xfId="20500"/>
    <cellStyle name="Note 4 4 2" xfId="21143"/>
    <cellStyle name="Note 4 4 2 2" xfId="22045"/>
    <cellStyle name="Note 4 4 3" xfId="21682"/>
    <cellStyle name="Note 4 5" xfId="20501"/>
    <cellStyle name="Note 5" xfId="20502"/>
    <cellStyle name="Note 5 2" xfId="20503"/>
    <cellStyle name="Note 5 2 2" xfId="20504"/>
    <cellStyle name="Note 5 2 3" xfId="21141"/>
    <cellStyle name="Note 5 2 3 2" xfId="22043"/>
    <cellStyle name="Note 5 2 4" xfId="21684"/>
    <cellStyle name="Note 5 3" xfId="20505"/>
    <cellStyle name="Note 5 3 2" xfId="20506"/>
    <cellStyle name="Note 5 3 3" xfId="21140"/>
    <cellStyle name="Note 5 3 3 2" xfId="22042"/>
    <cellStyle name="Note 5 3 4" xfId="21685"/>
    <cellStyle name="Note 5 4" xfId="20507"/>
    <cellStyle name="Note 5 4 2" xfId="21139"/>
    <cellStyle name="Note 5 4 2 2" xfId="22041"/>
    <cellStyle name="Note 5 4 3" xfId="21686"/>
    <cellStyle name="Note 5 5" xfId="20508"/>
    <cellStyle name="Note 5 6" xfId="21142"/>
    <cellStyle name="Note 5 6 2" xfId="22044"/>
    <cellStyle name="Note 5 7" xfId="21683"/>
    <cellStyle name="Note 6" xfId="20509"/>
    <cellStyle name="Note 6 2" xfId="20510"/>
    <cellStyle name="Note 6 2 2" xfId="20511"/>
    <cellStyle name="Note 6 2 3" xfId="21137"/>
    <cellStyle name="Note 6 2 3 2" xfId="22039"/>
    <cellStyle name="Note 6 2 4" xfId="21688"/>
    <cellStyle name="Note 6 3" xfId="20512"/>
    <cellStyle name="Note 6 4" xfId="20513"/>
    <cellStyle name="Note 6 5" xfId="21138"/>
    <cellStyle name="Note 6 5 2" xfId="22040"/>
    <cellStyle name="Note 6 6" xfId="21687"/>
    <cellStyle name="Note 7" xfId="20514"/>
    <cellStyle name="Note 7 2" xfId="21136"/>
    <cellStyle name="Note 7 2 2" xfId="22038"/>
    <cellStyle name="Note 7 3" xfId="21689"/>
    <cellStyle name="Note 8" xfId="20515"/>
    <cellStyle name="Note 8 2" xfId="20516"/>
    <cellStyle name="Note 8 2 2" xfId="21134"/>
    <cellStyle name="Note 8 2 2 2" xfId="22036"/>
    <cellStyle name="Note 8 2 3" xfId="21691"/>
    <cellStyle name="Note 8 3" xfId="21135"/>
    <cellStyle name="Note 8 3 2" xfId="22037"/>
    <cellStyle name="Note 8 4" xfId="21690"/>
    <cellStyle name="Note 9" xfId="20517"/>
    <cellStyle name="Note 9 2" xfId="21133"/>
    <cellStyle name="Note 9 2 2" xfId="22035"/>
    <cellStyle name="Note 9 3" xfId="21692"/>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034"/>
    <cellStyle name="optionalExposure 3" xfId="21693"/>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32"/>
    <cellStyle name="Output 2 10 2 3" xfId="21695"/>
    <cellStyle name="Output 2 10 3" xfId="20531"/>
    <cellStyle name="Output 2 10 3 2" xfId="21129"/>
    <cellStyle name="Output 2 10 3 2 2" xfId="22031"/>
    <cellStyle name="Output 2 10 3 3" xfId="21696"/>
    <cellStyle name="Output 2 10 4" xfId="20532"/>
    <cellStyle name="Output 2 10 4 2" xfId="21128"/>
    <cellStyle name="Output 2 10 4 2 2" xfId="22030"/>
    <cellStyle name="Output 2 10 4 3" xfId="21697"/>
    <cellStyle name="Output 2 10 5" xfId="20533"/>
    <cellStyle name="Output 2 10 5 2" xfId="21127"/>
    <cellStyle name="Output 2 10 5 2 2" xfId="22029"/>
    <cellStyle name="Output 2 10 5 3" xfId="21698"/>
    <cellStyle name="Output 2 11" xfId="20534"/>
    <cellStyle name="Output 2 11 2" xfId="20535"/>
    <cellStyle name="Output 2 11 2 2" xfId="21125"/>
    <cellStyle name="Output 2 11 2 2 2" xfId="22027"/>
    <cellStyle name="Output 2 11 2 3" xfId="21700"/>
    <cellStyle name="Output 2 11 3" xfId="20536"/>
    <cellStyle name="Output 2 11 3 2" xfId="21124"/>
    <cellStyle name="Output 2 11 3 2 2" xfId="22026"/>
    <cellStyle name="Output 2 11 3 3" xfId="21701"/>
    <cellStyle name="Output 2 11 4" xfId="20537"/>
    <cellStyle name="Output 2 11 4 2" xfId="21123"/>
    <cellStyle name="Output 2 11 4 2 2" xfId="22025"/>
    <cellStyle name="Output 2 11 4 3" xfId="21702"/>
    <cellStyle name="Output 2 11 5" xfId="20538"/>
    <cellStyle name="Output 2 11 5 2" xfId="21122"/>
    <cellStyle name="Output 2 11 5 2 2" xfId="22024"/>
    <cellStyle name="Output 2 11 5 3" xfId="21703"/>
    <cellStyle name="Output 2 11 6" xfId="21126"/>
    <cellStyle name="Output 2 11 6 2" xfId="22028"/>
    <cellStyle name="Output 2 11 7" xfId="21699"/>
    <cellStyle name="Output 2 12" xfId="20539"/>
    <cellStyle name="Output 2 12 2" xfId="20540"/>
    <cellStyle name="Output 2 12 2 2" xfId="21120"/>
    <cellStyle name="Output 2 12 2 2 2" xfId="22022"/>
    <cellStyle name="Output 2 12 2 3" xfId="21705"/>
    <cellStyle name="Output 2 12 3" xfId="20541"/>
    <cellStyle name="Output 2 12 3 2" xfId="21119"/>
    <cellStyle name="Output 2 12 3 2 2" xfId="22021"/>
    <cellStyle name="Output 2 12 3 3" xfId="21706"/>
    <cellStyle name="Output 2 12 4" xfId="20542"/>
    <cellStyle name="Output 2 12 4 2" xfId="21118"/>
    <cellStyle name="Output 2 12 4 2 2" xfId="22020"/>
    <cellStyle name="Output 2 12 4 3" xfId="21707"/>
    <cellStyle name="Output 2 12 5" xfId="20543"/>
    <cellStyle name="Output 2 12 5 2" xfId="21117"/>
    <cellStyle name="Output 2 12 5 2 2" xfId="22019"/>
    <cellStyle name="Output 2 12 5 3" xfId="21708"/>
    <cellStyle name="Output 2 12 6" xfId="21121"/>
    <cellStyle name="Output 2 12 6 2" xfId="22023"/>
    <cellStyle name="Output 2 12 7" xfId="21704"/>
    <cellStyle name="Output 2 13" xfId="20544"/>
    <cellStyle name="Output 2 13 2" xfId="20545"/>
    <cellStyle name="Output 2 13 2 2" xfId="21115"/>
    <cellStyle name="Output 2 13 2 2 2" xfId="22017"/>
    <cellStyle name="Output 2 13 2 3" xfId="21710"/>
    <cellStyle name="Output 2 13 3" xfId="20546"/>
    <cellStyle name="Output 2 13 3 2" xfId="21114"/>
    <cellStyle name="Output 2 13 3 2 2" xfId="22016"/>
    <cellStyle name="Output 2 13 3 3" xfId="21711"/>
    <cellStyle name="Output 2 13 4" xfId="20547"/>
    <cellStyle name="Output 2 13 4 2" xfId="21113"/>
    <cellStyle name="Output 2 13 4 2 2" xfId="22015"/>
    <cellStyle name="Output 2 13 4 3" xfId="21712"/>
    <cellStyle name="Output 2 13 5" xfId="21116"/>
    <cellStyle name="Output 2 13 5 2" xfId="22018"/>
    <cellStyle name="Output 2 13 6" xfId="21709"/>
    <cellStyle name="Output 2 14" xfId="20548"/>
    <cellStyle name="Output 2 14 2" xfId="21112"/>
    <cellStyle name="Output 2 14 2 2" xfId="22014"/>
    <cellStyle name="Output 2 14 3" xfId="21713"/>
    <cellStyle name="Output 2 15" xfId="20549"/>
    <cellStyle name="Output 2 15 2" xfId="21111"/>
    <cellStyle name="Output 2 15 2 2" xfId="22013"/>
    <cellStyle name="Output 2 15 3" xfId="21714"/>
    <cellStyle name="Output 2 16" xfId="20550"/>
    <cellStyle name="Output 2 16 2" xfId="21110"/>
    <cellStyle name="Output 2 16 2 2" xfId="22012"/>
    <cellStyle name="Output 2 16 3" xfId="21715"/>
    <cellStyle name="Output 2 17" xfId="21131"/>
    <cellStyle name="Output 2 17 2" xfId="22033"/>
    <cellStyle name="Output 2 18" xfId="21694"/>
    <cellStyle name="Output 2 2" xfId="20551"/>
    <cellStyle name="Output 2 2 10" xfId="21109"/>
    <cellStyle name="Output 2 2 10 2" xfId="22011"/>
    <cellStyle name="Output 2 2 11" xfId="21716"/>
    <cellStyle name="Output 2 2 2" xfId="20552"/>
    <cellStyle name="Output 2 2 2 2" xfId="20553"/>
    <cellStyle name="Output 2 2 2 2 2" xfId="21107"/>
    <cellStyle name="Output 2 2 2 2 2 2" xfId="22009"/>
    <cellStyle name="Output 2 2 2 2 3" xfId="21718"/>
    <cellStyle name="Output 2 2 2 3" xfId="20554"/>
    <cellStyle name="Output 2 2 2 3 2" xfId="21106"/>
    <cellStyle name="Output 2 2 2 3 2 2" xfId="22008"/>
    <cellStyle name="Output 2 2 2 3 3" xfId="21719"/>
    <cellStyle name="Output 2 2 2 4" xfId="20555"/>
    <cellStyle name="Output 2 2 2 4 2" xfId="21105"/>
    <cellStyle name="Output 2 2 2 4 2 2" xfId="22007"/>
    <cellStyle name="Output 2 2 2 4 3" xfId="21720"/>
    <cellStyle name="Output 2 2 2 5" xfId="21108"/>
    <cellStyle name="Output 2 2 2 5 2" xfId="22010"/>
    <cellStyle name="Output 2 2 2 6" xfId="21717"/>
    <cellStyle name="Output 2 2 3" xfId="20556"/>
    <cellStyle name="Output 2 2 3 2" xfId="20557"/>
    <cellStyle name="Output 2 2 3 2 2" xfId="21103"/>
    <cellStyle name="Output 2 2 3 2 2 2" xfId="22005"/>
    <cellStyle name="Output 2 2 3 2 3" xfId="21722"/>
    <cellStyle name="Output 2 2 3 3" xfId="20558"/>
    <cellStyle name="Output 2 2 3 3 2" xfId="21102"/>
    <cellStyle name="Output 2 2 3 3 2 2" xfId="22004"/>
    <cellStyle name="Output 2 2 3 3 3" xfId="21723"/>
    <cellStyle name="Output 2 2 3 4" xfId="20559"/>
    <cellStyle name="Output 2 2 3 4 2" xfId="21101"/>
    <cellStyle name="Output 2 2 3 4 2 2" xfId="22003"/>
    <cellStyle name="Output 2 2 3 4 3" xfId="21724"/>
    <cellStyle name="Output 2 2 3 5" xfId="21104"/>
    <cellStyle name="Output 2 2 3 5 2" xfId="22006"/>
    <cellStyle name="Output 2 2 3 6" xfId="21721"/>
    <cellStyle name="Output 2 2 4" xfId="20560"/>
    <cellStyle name="Output 2 2 4 2" xfId="20561"/>
    <cellStyle name="Output 2 2 4 2 2" xfId="21099"/>
    <cellStyle name="Output 2 2 4 2 2 2" xfId="22001"/>
    <cellStyle name="Output 2 2 4 2 3" xfId="21726"/>
    <cellStyle name="Output 2 2 4 3" xfId="20562"/>
    <cellStyle name="Output 2 2 4 3 2" xfId="21098"/>
    <cellStyle name="Output 2 2 4 3 2 2" xfId="22000"/>
    <cellStyle name="Output 2 2 4 3 3" xfId="21727"/>
    <cellStyle name="Output 2 2 4 4" xfId="20563"/>
    <cellStyle name="Output 2 2 4 4 2" xfId="21097"/>
    <cellStyle name="Output 2 2 4 4 2 2" xfId="21999"/>
    <cellStyle name="Output 2 2 4 4 3" xfId="21728"/>
    <cellStyle name="Output 2 2 4 5" xfId="21100"/>
    <cellStyle name="Output 2 2 4 5 2" xfId="22002"/>
    <cellStyle name="Output 2 2 4 6" xfId="21725"/>
    <cellStyle name="Output 2 2 5" xfId="20564"/>
    <cellStyle name="Output 2 2 5 2" xfId="20565"/>
    <cellStyle name="Output 2 2 5 2 2" xfId="21095"/>
    <cellStyle name="Output 2 2 5 2 2 2" xfId="21997"/>
    <cellStyle name="Output 2 2 5 2 3" xfId="21730"/>
    <cellStyle name="Output 2 2 5 3" xfId="20566"/>
    <cellStyle name="Output 2 2 5 3 2" xfId="21094"/>
    <cellStyle name="Output 2 2 5 3 2 2" xfId="21996"/>
    <cellStyle name="Output 2 2 5 3 3" xfId="21731"/>
    <cellStyle name="Output 2 2 5 4" xfId="20567"/>
    <cellStyle name="Output 2 2 5 4 2" xfId="21093"/>
    <cellStyle name="Output 2 2 5 4 2 2" xfId="21995"/>
    <cellStyle name="Output 2 2 5 4 3" xfId="21732"/>
    <cellStyle name="Output 2 2 5 5" xfId="21096"/>
    <cellStyle name="Output 2 2 5 5 2" xfId="21998"/>
    <cellStyle name="Output 2 2 5 6" xfId="21729"/>
    <cellStyle name="Output 2 2 6" xfId="20568"/>
    <cellStyle name="Output 2 2 6 2" xfId="21092"/>
    <cellStyle name="Output 2 2 6 2 2" xfId="21994"/>
    <cellStyle name="Output 2 2 6 3" xfId="21733"/>
    <cellStyle name="Output 2 2 7" xfId="20569"/>
    <cellStyle name="Output 2 2 7 2" xfId="21091"/>
    <cellStyle name="Output 2 2 7 2 2" xfId="21993"/>
    <cellStyle name="Output 2 2 7 3" xfId="21734"/>
    <cellStyle name="Output 2 2 8" xfId="20570"/>
    <cellStyle name="Output 2 2 8 2" xfId="21090"/>
    <cellStyle name="Output 2 2 8 2 2" xfId="21992"/>
    <cellStyle name="Output 2 2 8 3" xfId="21735"/>
    <cellStyle name="Output 2 2 9" xfId="20571"/>
    <cellStyle name="Output 2 2 9 2" xfId="21089"/>
    <cellStyle name="Output 2 2 9 2 2" xfId="21991"/>
    <cellStyle name="Output 2 2 9 3" xfId="21736"/>
    <cellStyle name="Output 2 3" xfId="20572"/>
    <cellStyle name="Output 2 3 2" xfId="20573"/>
    <cellStyle name="Output 2 3 2 2" xfId="21088"/>
    <cellStyle name="Output 2 3 2 2 2" xfId="21990"/>
    <cellStyle name="Output 2 3 2 3" xfId="21737"/>
    <cellStyle name="Output 2 3 3" xfId="20574"/>
    <cellStyle name="Output 2 3 3 2" xfId="21087"/>
    <cellStyle name="Output 2 3 3 2 2" xfId="21989"/>
    <cellStyle name="Output 2 3 3 3" xfId="21738"/>
    <cellStyle name="Output 2 3 4" xfId="20575"/>
    <cellStyle name="Output 2 3 4 2" xfId="21086"/>
    <cellStyle name="Output 2 3 4 2 2" xfId="21988"/>
    <cellStyle name="Output 2 3 4 3" xfId="21739"/>
    <cellStyle name="Output 2 3 5" xfId="20576"/>
    <cellStyle name="Output 2 3 5 2" xfId="21085"/>
    <cellStyle name="Output 2 3 5 2 2" xfId="21987"/>
    <cellStyle name="Output 2 3 5 3" xfId="21740"/>
    <cellStyle name="Output 2 4" xfId="20577"/>
    <cellStyle name="Output 2 4 2" xfId="20578"/>
    <cellStyle name="Output 2 4 2 2" xfId="21084"/>
    <cellStyle name="Output 2 4 2 2 2" xfId="21986"/>
    <cellStyle name="Output 2 4 2 3" xfId="21741"/>
    <cellStyle name="Output 2 4 3" xfId="20579"/>
    <cellStyle name="Output 2 4 3 2" xfId="21083"/>
    <cellStyle name="Output 2 4 3 2 2" xfId="21985"/>
    <cellStyle name="Output 2 4 3 3" xfId="21742"/>
    <cellStyle name="Output 2 4 4" xfId="20580"/>
    <cellStyle name="Output 2 4 4 2" xfId="21082"/>
    <cellStyle name="Output 2 4 4 2 2" xfId="21984"/>
    <cellStyle name="Output 2 4 4 3" xfId="21743"/>
    <cellStyle name="Output 2 4 5" xfId="20581"/>
    <cellStyle name="Output 2 4 5 2" xfId="21081"/>
    <cellStyle name="Output 2 4 5 2 2" xfId="21983"/>
    <cellStyle name="Output 2 4 5 3" xfId="21744"/>
    <cellStyle name="Output 2 5" xfId="20582"/>
    <cellStyle name="Output 2 5 2" xfId="20583"/>
    <cellStyle name="Output 2 5 2 2" xfId="21080"/>
    <cellStyle name="Output 2 5 2 2 2" xfId="21982"/>
    <cellStyle name="Output 2 5 2 3" xfId="21745"/>
    <cellStyle name="Output 2 5 3" xfId="20584"/>
    <cellStyle name="Output 2 5 3 2" xfId="21079"/>
    <cellStyle name="Output 2 5 3 2 2" xfId="21981"/>
    <cellStyle name="Output 2 5 3 3" xfId="21746"/>
    <cellStyle name="Output 2 5 4" xfId="20585"/>
    <cellStyle name="Output 2 5 4 2" xfId="21078"/>
    <cellStyle name="Output 2 5 4 2 2" xfId="21980"/>
    <cellStyle name="Output 2 5 4 3" xfId="21747"/>
    <cellStyle name="Output 2 5 5" xfId="20586"/>
    <cellStyle name="Output 2 5 5 2" xfId="21077"/>
    <cellStyle name="Output 2 5 5 2 2" xfId="21979"/>
    <cellStyle name="Output 2 5 5 3" xfId="21748"/>
    <cellStyle name="Output 2 6" xfId="20587"/>
    <cellStyle name="Output 2 6 2" xfId="20588"/>
    <cellStyle name="Output 2 6 2 2" xfId="21076"/>
    <cellStyle name="Output 2 6 2 2 2" xfId="21978"/>
    <cellStyle name="Output 2 6 2 3" xfId="21749"/>
    <cellStyle name="Output 2 6 3" xfId="20589"/>
    <cellStyle name="Output 2 6 3 2" xfId="21075"/>
    <cellStyle name="Output 2 6 3 2 2" xfId="21977"/>
    <cellStyle name="Output 2 6 3 3" xfId="21750"/>
    <cellStyle name="Output 2 6 4" xfId="20590"/>
    <cellStyle name="Output 2 6 4 2" xfId="21074"/>
    <cellStyle name="Output 2 6 4 2 2" xfId="21976"/>
    <cellStyle name="Output 2 6 4 3" xfId="21751"/>
    <cellStyle name="Output 2 6 5" xfId="20591"/>
    <cellStyle name="Output 2 6 5 2" xfId="21073"/>
    <cellStyle name="Output 2 6 5 2 2" xfId="21975"/>
    <cellStyle name="Output 2 6 5 3" xfId="21752"/>
    <cellStyle name="Output 2 7" xfId="20592"/>
    <cellStyle name="Output 2 7 2" xfId="20593"/>
    <cellStyle name="Output 2 7 2 2" xfId="21072"/>
    <cellStyle name="Output 2 7 2 2 2" xfId="21974"/>
    <cellStyle name="Output 2 7 2 3" xfId="21753"/>
    <cellStyle name="Output 2 7 3" xfId="20594"/>
    <cellStyle name="Output 2 7 3 2" xfId="21071"/>
    <cellStyle name="Output 2 7 3 2 2" xfId="21973"/>
    <cellStyle name="Output 2 7 3 3" xfId="21754"/>
    <cellStyle name="Output 2 7 4" xfId="20595"/>
    <cellStyle name="Output 2 7 4 2" xfId="21070"/>
    <cellStyle name="Output 2 7 4 2 2" xfId="21972"/>
    <cellStyle name="Output 2 7 4 3" xfId="21755"/>
    <cellStyle name="Output 2 7 5" xfId="20596"/>
    <cellStyle name="Output 2 7 5 2" xfId="21069"/>
    <cellStyle name="Output 2 7 5 2 2" xfId="21971"/>
    <cellStyle name="Output 2 7 5 3" xfId="21756"/>
    <cellStyle name="Output 2 8" xfId="20597"/>
    <cellStyle name="Output 2 8 2" xfId="20598"/>
    <cellStyle name="Output 2 8 2 2" xfId="21068"/>
    <cellStyle name="Output 2 8 2 2 2" xfId="21970"/>
    <cellStyle name="Output 2 8 2 3" xfId="21757"/>
    <cellStyle name="Output 2 8 3" xfId="20599"/>
    <cellStyle name="Output 2 8 3 2" xfId="21067"/>
    <cellStyle name="Output 2 8 3 2 2" xfId="21969"/>
    <cellStyle name="Output 2 8 3 3" xfId="21758"/>
    <cellStyle name="Output 2 8 4" xfId="20600"/>
    <cellStyle name="Output 2 8 4 2" xfId="21066"/>
    <cellStyle name="Output 2 8 4 2 2" xfId="21968"/>
    <cellStyle name="Output 2 8 4 3" xfId="21759"/>
    <cellStyle name="Output 2 8 5" xfId="20601"/>
    <cellStyle name="Output 2 8 5 2" xfId="21065"/>
    <cellStyle name="Output 2 8 5 2 2" xfId="21967"/>
    <cellStyle name="Output 2 8 5 3" xfId="21760"/>
    <cellStyle name="Output 2 9" xfId="20602"/>
    <cellStyle name="Output 2 9 2" xfId="20603"/>
    <cellStyle name="Output 2 9 2 2" xfId="21064"/>
    <cellStyle name="Output 2 9 2 2 2" xfId="21966"/>
    <cellStyle name="Output 2 9 2 3" xfId="21761"/>
    <cellStyle name="Output 2 9 3" xfId="20604"/>
    <cellStyle name="Output 2 9 3 2" xfId="21063"/>
    <cellStyle name="Output 2 9 3 2 2" xfId="21965"/>
    <cellStyle name="Output 2 9 3 3" xfId="21762"/>
    <cellStyle name="Output 2 9 4" xfId="20605"/>
    <cellStyle name="Output 2 9 4 2" xfId="21062"/>
    <cellStyle name="Output 2 9 4 2 2" xfId="21964"/>
    <cellStyle name="Output 2 9 4 3" xfId="21763"/>
    <cellStyle name="Output 2 9 5" xfId="20606"/>
    <cellStyle name="Output 2 9 5 2" xfId="21061"/>
    <cellStyle name="Output 2 9 5 2 2" xfId="21963"/>
    <cellStyle name="Output 2 9 5 3" xfId="21764"/>
    <cellStyle name="Output 3" xfId="20607"/>
    <cellStyle name="Output 3 2" xfId="20608"/>
    <cellStyle name="Output 3 2 2" xfId="21059"/>
    <cellStyle name="Output 3 2 2 2" xfId="21961"/>
    <cellStyle name="Output 3 2 3" xfId="21766"/>
    <cellStyle name="Output 3 3" xfId="20609"/>
    <cellStyle name="Output 3 3 2" xfId="21058"/>
    <cellStyle name="Output 3 3 2 2" xfId="21960"/>
    <cellStyle name="Output 3 3 3" xfId="21767"/>
    <cellStyle name="Output 3 4" xfId="21060"/>
    <cellStyle name="Output 3 4 2" xfId="21962"/>
    <cellStyle name="Output 3 5" xfId="21765"/>
    <cellStyle name="Output 4" xfId="20610"/>
    <cellStyle name="Output 4 2" xfId="20611"/>
    <cellStyle name="Output 4 2 2" xfId="21056"/>
    <cellStyle name="Output 4 2 2 2" xfId="21958"/>
    <cellStyle name="Output 4 2 3" xfId="21769"/>
    <cellStyle name="Output 4 3" xfId="20612"/>
    <cellStyle name="Output 4 3 2" xfId="21055"/>
    <cellStyle name="Output 4 3 2 2" xfId="21957"/>
    <cellStyle name="Output 4 3 3" xfId="21770"/>
    <cellStyle name="Output 4 4" xfId="21057"/>
    <cellStyle name="Output 4 4 2" xfId="21959"/>
    <cellStyle name="Output 4 5" xfId="21768"/>
    <cellStyle name="Output 5" xfId="20613"/>
    <cellStyle name="Output 5 2" xfId="20614"/>
    <cellStyle name="Output 5 2 2" xfId="21053"/>
    <cellStyle name="Output 5 2 2 2" xfId="21955"/>
    <cellStyle name="Output 5 2 3" xfId="21772"/>
    <cellStyle name="Output 5 3" xfId="20615"/>
    <cellStyle name="Output 5 3 2" xfId="21052"/>
    <cellStyle name="Output 5 3 2 2" xfId="21954"/>
    <cellStyle name="Output 5 3 3" xfId="21773"/>
    <cellStyle name="Output 5 4" xfId="21054"/>
    <cellStyle name="Output 5 4 2" xfId="21956"/>
    <cellStyle name="Output 5 5" xfId="21771"/>
    <cellStyle name="Output 6" xfId="20616"/>
    <cellStyle name="Output 6 2" xfId="20617"/>
    <cellStyle name="Output 6 2 2" xfId="21050"/>
    <cellStyle name="Output 6 2 2 2" xfId="21952"/>
    <cellStyle name="Output 6 2 3" xfId="21775"/>
    <cellStyle name="Output 6 3" xfId="20618"/>
    <cellStyle name="Output 6 3 2" xfId="21049"/>
    <cellStyle name="Output 6 3 2 2" xfId="21951"/>
    <cellStyle name="Output 6 3 3" xfId="21776"/>
    <cellStyle name="Output 6 4" xfId="21051"/>
    <cellStyle name="Output 6 4 2" xfId="21953"/>
    <cellStyle name="Output 6 5" xfId="21774"/>
    <cellStyle name="Output 7" xfId="20619"/>
    <cellStyle name="Output 7 2" xfId="21048"/>
    <cellStyle name="Output 7 2 2" xfId="21950"/>
    <cellStyle name="Output 7 3" xfId="21777"/>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1949"/>
    <cellStyle name="showExposure 3" xfId="21778"/>
    <cellStyle name="showParameterE" xfId="20787"/>
    <cellStyle name="showParameterE 2" xfId="21046"/>
    <cellStyle name="showParameterE 2 2" xfId="21948"/>
    <cellStyle name="showParameterE 3" xfId="2177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46"/>
    <cellStyle name="Total 2 10 2 3" xfId="21781"/>
    <cellStyle name="Total 2 10 3" xfId="20826"/>
    <cellStyle name="Total 2 10 3 2" xfId="21043"/>
    <cellStyle name="Total 2 10 3 2 2" xfId="21945"/>
    <cellStyle name="Total 2 10 3 3" xfId="21782"/>
    <cellStyle name="Total 2 10 4" xfId="20827"/>
    <cellStyle name="Total 2 10 4 2" xfId="21042"/>
    <cellStyle name="Total 2 10 4 2 2" xfId="21944"/>
    <cellStyle name="Total 2 10 4 3" xfId="21783"/>
    <cellStyle name="Total 2 10 5" xfId="20828"/>
    <cellStyle name="Total 2 10 5 2" xfId="21041"/>
    <cellStyle name="Total 2 10 5 2 2" xfId="21943"/>
    <cellStyle name="Total 2 10 5 3" xfId="21784"/>
    <cellStyle name="Total 2 11" xfId="20829"/>
    <cellStyle name="Total 2 11 2" xfId="20830"/>
    <cellStyle name="Total 2 11 2 2" xfId="21039"/>
    <cellStyle name="Total 2 11 2 2 2" xfId="21941"/>
    <cellStyle name="Total 2 11 2 3" xfId="21786"/>
    <cellStyle name="Total 2 11 3" xfId="20831"/>
    <cellStyle name="Total 2 11 3 2" xfId="21038"/>
    <cellStyle name="Total 2 11 3 2 2" xfId="21940"/>
    <cellStyle name="Total 2 11 3 3" xfId="21787"/>
    <cellStyle name="Total 2 11 4" xfId="20832"/>
    <cellStyle name="Total 2 11 4 2" xfId="21037"/>
    <cellStyle name="Total 2 11 4 2 2" xfId="21939"/>
    <cellStyle name="Total 2 11 4 3" xfId="21788"/>
    <cellStyle name="Total 2 11 5" xfId="20833"/>
    <cellStyle name="Total 2 11 5 2" xfId="21036"/>
    <cellStyle name="Total 2 11 5 2 2" xfId="21938"/>
    <cellStyle name="Total 2 11 5 3" xfId="21789"/>
    <cellStyle name="Total 2 11 6" xfId="21040"/>
    <cellStyle name="Total 2 11 6 2" xfId="21942"/>
    <cellStyle name="Total 2 11 7" xfId="21785"/>
    <cellStyle name="Total 2 12" xfId="20834"/>
    <cellStyle name="Total 2 12 2" xfId="20835"/>
    <cellStyle name="Total 2 12 2 2" xfId="21034"/>
    <cellStyle name="Total 2 12 2 2 2" xfId="21936"/>
    <cellStyle name="Total 2 12 2 3" xfId="21791"/>
    <cellStyle name="Total 2 12 3" xfId="20836"/>
    <cellStyle name="Total 2 12 3 2" xfId="21033"/>
    <cellStyle name="Total 2 12 3 2 2" xfId="21935"/>
    <cellStyle name="Total 2 12 3 3" xfId="21792"/>
    <cellStyle name="Total 2 12 4" xfId="20837"/>
    <cellStyle name="Total 2 12 4 2" xfId="21032"/>
    <cellStyle name="Total 2 12 4 2 2" xfId="21934"/>
    <cellStyle name="Total 2 12 4 3" xfId="21793"/>
    <cellStyle name="Total 2 12 5" xfId="20838"/>
    <cellStyle name="Total 2 12 5 2" xfId="21031"/>
    <cellStyle name="Total 2 12 5 2 2" xfId="21933"/>
    <cellStyle name="Total 2 12 5 3" xfId="21794"/>
    <cellStyle name="Total 2 12 6" xfId="21035"/>
    <cellStyle name="Total 2 12 6 2" xfId="21937"/>
    <cellStyle name="Total 2 12 7" xfId="21790"/>
    <cellStyle name="Total 2 13" xfId="20839"/>
    <cellStyle name="Total 2 13 2" xfId="20840"/>
    <cellStyle name="Total 2 13 2 2" xfId="21029"/>
    <cellStyle name="Total 2 13 2 2 2" xfId="21931"/>
    <cellStyle name="Total 2 13 2 3" xfId="21796"/>
    <cellStyle name="Total 2 13 3" xfId="20841"/>
    <cellStyle name="Total 2 13 3 2" xfId="21028"/>
    <cellStyle name="Total 2 13 3 2 2" xfId="21930"/>
    <cellStyle name="Total 2 13 3 3" xfId="21797"/>
    <cellStyle name="Total 2 13 4" xfId="20842"/>
    <cellStyle name="Total 2 13 4 2" xfId="21027"/>
    <cellStyle name="Total 2 13 4 2 2" xfId="21929"/>
    <cellStyle name="Total 2 13 4 3" xfId="21798"/>
    <cellStyle name="Total 2 13 5" xfId="21030"/>
    <cellStyle name="Total 2 13 5 2" xfId="21932"/>
    <cellStyle name="Total 2 13 6" xfId="21795"/>
    <cellStyle name="Total 2 14" xfId="20843"/>
    <cellStyle name="Total 2 14 2" xfId="21026"/>
    <cellStyle name="Total 2 14 2 2" xfId="21928"/>
    <cellStyle name="Total 2 14 3" xfId="21799"/>
    <cellStyle name="Total 2 15" xfId="20844"/>
    <cellStyle name="Total 2 15 2" xfId="21025"/>
    <cellStyle name="Total 2 15 2 2" xfId="21927"/>
    <cellStyle name="Total 2 15 3" xfId="21800"/>
    <cellStyle name="Total 2 16" xfId="20845"/>
    <cellStyle name="Total 2 16 2" xfId="21024"/>
    <cellStyle name="Total 2 16 2 2" xfId="21926"/>
    <cellStyle name="Total 2 16 3" xfId="21801"/>
    <cellStyle name="Total 2 17" xfId="21045"/>
    <cellStyle name="Total 2 17 2" xfId="21947"/>
    <cellStyle name="Total 2 18" xfId="21780"/>
    <cellStyle name="Total 2 2" xfId="20846"/>
    <cellStyle name="Total 2 2 10" xfId="21023"/>
    <cellStyle name="Total 2 2 10 2" xfId="21925"/>
    <cellStyle name="Total 2 2 11" xfId="21802"/>
    <cellStyle name="Total 2 2 2" xfId="20847"/>
    <cellStyle name="Total 2 2 2 2" xfId="20848"/>
    <cellStyle name="Total 2 2 2 2 2" xfId="21021"/>
    <cellStyle name="Total 2 2 2 2 2 2" xfId="21923"/>
    <cellStyle name="Total 2 2 2 2 3" xfId="21804"/>
    <cellStyle name="Total 2 2 2 3" xfId="20849"/>
    <cellStyle name="Total 2 2 2 3 2" xfId="21020"/>
    <cellStyle name="Total 2 2 2 3 2 2" xfId="21922"/>
    <cellStyle name="Total 2 2 2 3 3" xfId="21805"/>
    <cellStyle name="Total 2 2 2 4" xfId="20850"/>
    <cellStyle name="Total 2 2 2 4 2" xfId="21019"/>
    <cellStyle name="Total 2 2 2 4 2 2" xfId="21921"/>
    <cellStyle name="Total 2 2 2 4 3" xfId="21806"/>
    <cellStyle name="Total 2 2 2 5" xfId="21022"/>
    <cellStyle name="Total 2 2 2 5 2" xfId="21924"/>
    <cellStyle name="Total 2 2 2 6" xfId="21803"/>
    <cellStyle name="Total 2 2 3" xfId="20851"/>
    <cellStyle name="Total 2 2 3 2" xfId="20852"/>
    <cellStyle name="Total 2 2 3 2 2" xfId="21017"/>
    <cellStyle name="Total 2 2 3 2 2 2" xfId="21919"/>
    <cellStyle name="Total 2 2 3 2 3" xfId="21808"/>
    <cellStyle name="Total 2 2 3 3" xfId="20853"/>
    <cellStyle name="Total 2 2 3 3 2" xfId="21016"/>
    <cellStyle name="Total 2 2 3 3 2 2" xfId="21918"/>
    <cellStyle name="Total 2 2 3 3 3" xfId="21809"/>
    <cellStyle name="Total 2 2 3 4" xfId="20854"/>
    <cellStyle name="Total 2 2 3 4 2" xfId="21015"/>
    <cellStyle name="Total 2 2 3 4 2 2" xfId="21917"/>
    <cellStyle name="Total 2 2 3 4 3" xfId="21810"/>
    <cellStyle name="Total 2 2 3 5" xfId="21018"/>
    <cellStyle name="Total 2 2 3 5 2" xfId="21920"/>
    <cellStyle name="Total 2 2 3 6" xfId="21807"/>
    <cellStyle name="Total 2 2 4" xfId="20855"/>
    <cellStyle name="Total 2 2 4 2" xfId="20856"/>
    <cellStyle name="Total 2 2 4 2 2" xfId="21013"/>
    <cellStyle name="Total 2 2 4 2 2 2" xfId="21915"/>
    <cellStyle name="Total 2 2 4 2 3" xfId="21812"/>
    <cellStyle name="Total 2 2 4 3" xfId="20857"/>
    <cellStyle name="Total 2 2 4 3 2" xfId="21012"/>
    <cellStyle name="Total 2 2 4 3 2 2" xfId="21914"/>
    <cellStyle name="Total 2 2 4 3 3" xfId="21813"/>
    <cellStyle name="Total 2 2 4 4" xfId="20858"/>
    <cellStyle name="Total 2 2 4 4 2" xfId="21011"/>
    <cellStyle name="Total 2 2 4 4 2 2" xfId="21913"/>
    <cellStyle name="Total 2 2 4 4 3" xfId="21814"/>
    <cellStyle name="Total 2 2 4 5" xfId="21014"/>
    <cellStyle name="Total 2 2 4 5 2" xfId="21916"/>
    <cellStyle name="Total 2 2 4 6" xfId="21811"/>
    <cellStyle name="Total 2 2 5" xfId="20859"/>
    <cellStyle name="Total 2 2 5 2" xfId="20860"/>
    <cellStyle name="Total 2 2 5 2 2" xfId="21009"/>
    <cellStyle name="Total 2 2 5 2 2 2" xfId="21911"/>
    <cellStyle name="Total 2 2 5 2 3" xfId="21816"/>
    <cellStyle name="Total 2 2 5 3" xfId="20861"/>
    <cellStyle name="Total 2 2 5 3 2" xfId="21008"/>
    <cellStyle name="Total 2 2 5 3 2 2" xfId="21910"/>
    <cellStyle name="Total 2 2 5 3 3" xfId="21817"/>
    <cellStyle name="Total 2 2 5 4" xfId="20862"/>
    <cellStyle name="Total 2 2 5 4 2" xfId="21007"/>
    <cellStyle name="Total 2 2 5 4 2 2" xfId="21909"/>
    <cellStyle name="Total 2 2 5 4 3" xfId="21818"/>
    <cellStyle name="Total 2 2 5 5" xfId="21010"/>
    <cellStyle name="Total 2 2 5 5 2" xfId="21912"/>
    <cellStyle name="Total 2 2 5 6" xfId="21815"/>
    <cellStyle name="Total 2 2 6" xfId="20863"/>
    <cellStyle name="Total 2 2 6 2" xfId="21006"/>
    <cellStyle name="Total 2 2 6 2 2" xfId="21908"/>
    <cellStyle name="Total 2 2 6 3" xfId="21819"/>
    <cellStyle name="Total 2 2 7" xfId="20864"/>
    <cellStyle name="Total 2 2 7 2" xfId="21005"/>
    <cellStyle name="Total 2 2 7 2 2" xfId="21907"/>
    <cellStyle name="Total 2 2 7 3" xfId="21820"/>
    <cellStyle name="Total 2 2 8" xfId="20865"/>
    <cellStyle name="Total 2 2 8 2" xfId="21004"/>
    <cellStyle name="Total 2 2 8 2 2" xfId="21906"/>
    <cellStyle name="Total 2 2 8 3" xfId="21821"/>
    <cellStyle name="Total 2 2 9" xfId="20866"/>
    <cellStyle name="Total 2 2 9 2" xfId="21003"/>
    <cellStyle name="Total 2 2 9 2 2" xfId="21905"/>
    <cellStyle name="Total 2 2 9 3" xfId="21822"/>
    <cellStyle name="Total 2 3" xfId="20867"/>
    <cellStyle name="Total 2 3 2" xfId="20868"/>
    <cellStyle name="Total 2 3 2 2" xfId="21002"/>
    <cellStyle name="Total 2 3 2 2 2" xfId="21904"/>
    <cellStyle name="Total 2 3 2 3" xfId="21823"/>
    <cellStyle name="Total 2 3 3" xfId="20869"/>
    <cellStyle name="Total 2 3 3 2" xfId="21001"/>
    <cellStyle name="Total 2 3 3 2 2" xfId="21903"/>
    <cellStyle name="Total 2 3 3 3" xfId="21824"/>
    <cellStyle name="Total 2 3 4" xfId="20870"/>
    <cellStyle name="Total 2 3 4 2" xfId="21000"/>
    <cellStyle name="Total 2 3 4 2 2" xfId="21902"/>
    <cellStyle name="Total 2 3 4 3" xfId="21825"/>
    <cellStyle name="Total 2 3 5" xfId="20871"/>
    <cellStyle name="Total 2 3 5 2" xfId="20999"/>
    <cellStyle name="Total 2 3 5 2 2" xfId="21901"/>
    <cellStyle name="Total 2 3 5 3" xfId="21826"/>
    <cellStyle name="Total 2 4" xfId="20872"/>
    <cellStyle name="Total 2 4 2" xfId="20873"/>
    <cellStyle name="Total 2 4 2 2" xfId="20998"/>
    <cellStyle name="Total 2 4 2 2 2" xfId="21900"/>
    <cellStyle name="Total 2 4 2 3" xfId="21827"/>
    <cellStyle name="Total 2 4 3" xfId="20874"/>
    <cellStyle name="Total 2 4 3 2" xfId="20997"/>
    <cellStyle name="Total 2 4 3 2 2" xfId="21899"/>
    <cellStyle name="Total 2 4 3 3" xfId="21828"/>
    <cellStyle name="Total 2 4 4" xfId="20875"/>
    <cellStyle name="Total 2 4 4 2" xfId="20996"/>
    <cellStyle name="Total 2 4 4 2 2" xfId="21898"/>
    <cellStyle name="Total 2 4 4 3" xfId="21829"/>
    <cellStyle name="Total 2 4 5" xfId="20876"/>
    <cellStyle name="Total 2 4 5 2" xfId="20995"/>
    <cellStyle name="Total 2 4 5 2 2" xfId="21897"/>
    <cellStyle name="Total 2 4 5 3" xfId="21830"/>
    <cellStyle name="Total 2 5" xfId="20877"/>
    <cellStyle name="Total 2 5 2" xfId="20878"/>
    <cellStyle name="Total 2 5 2 2" xfId="20994"/>
    <cellStyle name="Total 2 5 2 2 2" xfId="21896"/>
    <cellStyle name="Total 2 5 2 3" xfId="21831"/>
    <cellStyle name="Total 2 5 3" xfId="20879"/>
    <cellStyle name="Total 2 5 3 2" xfId="20993"/>
    <cellStyle name="Total 2 5 3 2 2" xfId="21895"/>
    <cellStyle name="Total 2 5 3 3" xfId="21832"/>
    <cellStyle name="Total 2 5 4" xfId="20880"/>
    <cellStyle name="Total 2 5 4 2" xfId="20992"/>
    <cellStyle name="Total 2 5 4 2 2" xfId="21894"/>
    <cellStyle name="Total 2 5 4 3" xfId="21833"/>
    <cellStyle name="Total 2 5 5" xfId="20881"/>
    <cellStyle name="Total 2 5 5 2" xfId="20991"/>
    <cellStyle name="Total 2 5 5 2 2" xfId="21893"/>
    <cellStyle name="Total 2 5 5 3" xfId="21834"/>
    <cellStyle name="Total 2 6" xfId="20882"/>
    <cellStyle name="Total 2 6 2" xfId="20883"/>
    <cellStyle name="Total 2 6 2 2" xfId="20990"/>
    <cellStyle name="Total 2 6 2 2 2" xfId="21892"/>
    <cellStyle name="Total 2 6 2 3" xfId="21835"/>
    <cellStyle name="Total 2 6 3" xfId="20884"/>
    <cellStyle name="Total 2 6 3 2" xfId="20989"/>
    <cellStyle name="Total 2 6 3 2 2" xfId="21891"/>
    <cellStyle name="Total 2 6 3 3" xfId="21836"/>
    <cellStyle name="Total 2 6 4" xfId="20885"/>
    <cellStyle name="Total 2 6 4 2" xfId="20988"/>
    <cellStyle name="Total 2 6 4 2 2" xfId="21890"/>
    <cellStyle name="Total 2 6 4 3" xfId="21837"/>
    <cellStyle name="Total 2 6 5" xfId="20886"/>
    <cellStyle name="Total 2 6 5 2" xfId="20987"/>
    <cellStyle name="Total 2 6 5 2 2" xfId="21889"/>
    <cellStyle name="Total 2 6 5 3" xfId="21838"/>
    <cellStyle name="Total 2 7" xfId="20887"/>
    <cellStyle name="Total 2 7 2" xfId="20888"/>
    <cellStyle name="Total 2 7 2 2" xfId="20986"/>
    <cellStyle name="Total 2 7 2 2 2" xfId="21888"/>
    <cellStyle name="Total 2 7 2 3" xfId="21839"/>
    <cellStyle name="Total 2 7 3" xfId="20889"/>
    <cellStyle name="Total 2 7 3 2" xfId="20985"/>
    <cellStyle name="Total 2 7 3 2 2" xfId="21887"/>
    <cellStyle name="Total 2 7 3 3" xfId="21840"/>
    <cellStyle name="Total 2 7 4" xfId="20890"/>
    <cellStyle name="Total 2 7 4 2" xfId="20984"/>
    <cellStyle name="Total 2 7 4 2 2" xfId="21886"/>
    <cellStyle name="Total 2 7 4 3" xfId="21841"/>
    <cellStyle name="Total 2 7 5" xfId="20891"/>
    <cellStyle name="Total 2 7 5 2" xfId="20983"/>
    <cellStyle name="Total 2 7 5 2 2" xfId="21885"/>
    <cellStyle name="Total 2 7 5 3" xfId="21842"/>
    <cellStyle name="Total 2 8" xfId="20892"/>
    <cellStyle name="Total 2 8 2" xfId="20893"/>
    <cellStyle name="Total 2 8 2 2" xfId="20982"/>
    <cellStyle name="Total 2 8 2 2 2" xfId="21884"/>
    <cellStyle name="Total 2 8 2 3" xfId="21843"/>
    <cellStyle name="Total 2 8 3" xfId="20894"/>
    <cellStyle name="Total 2 8 3 2" xfId="20981"/>
    <cellStyle name="Total 2 8 3 2 2" xfId="21883"/>
    <cellStyle name="Total 2 8 3 3" xfId="21844"/>
    <cellStyle name="Total 2 8 4" xfId="20895"/>
    <cellStyle name="Total 2 8 4 2" xfId="20980"/>
    <cellStyle name="Total 2 8 4 2 2" xfId="21882"/>
    <cellStyle name="Total 2 8 4 3" xfId="21845"/>
    <cellStyle name="Total 2 8 5" xfId="20896"/>
    <cellStyle name="Total 2 8 5 2" xfId="20979"/>
    <cellStyle name="Total 2 8 5 2 2" xfId="21881"/>
    <cellStyle name="Total 2 8 5 3" xfId="21846"/>
    <cellStyle name="Total 2 9" xfId="20897"/>
    <cellStyle name="Total 2 9 2" xfId="20898"/>
    <cellStyle name="Total 2 9 2 2" xfId="20978"/>
    <cellStyle name="Total 2 9 2 2 2" xfId="21880"/>
    <cellStyle name="Total 2 9 2 3" xfId="21847"/>
    <cellStyle name="Total 2 9 3" xfId="20899"/>
    <cellStyle name="Total 2 9 3 2" xfId="20977"/>
    <cellStyle name="Total 2 9 3 2 2" xfId="21879"/>
    <cellStyle name="Total 2 9 3 3" xfId="21848"/>
    <cellStyle name="Total 2 9 4" xfId="20900"/>
    <cellStyle name="Total 2 9 4 2" xfId="20976"/>
    <cellStyle name="Total 2 9 4 2 2" xfId="21878"/>
    <cellStyle name="Total 2 9 4 3" xfId="21849"/>
    <cellStyle name="Total 2 9 5" xfId="20901"/>
    <cellStyle name="Total 2 9 5 2" xfId="20975"/>
    <cellStyle name="Total 2 9 5 2 2" xfId="21877"/>
    <cellStyle name="Total 2 9 5 3" xfId="21850"/>
    <cellStyle name="Total 3" xfId="20902"/>
    <cellStyle name="Total 3 2" xfId="20903"/>
    <cellStyle name="Total 3 2 2" xfId="20973"/>
    <cellStyle name="Total 3 2 2 2" xfId="21875"/>
    <cellStyle name="Total 3 2 3" xfId="21852"/>
    <cellStyle name="Total 3 3" xfId="20904"/>
    <cellStyle name="Total 3 3 2" xfId="20972"/>
    <cellStyle name="Total 3 3 2 2" xfId="21874"/>
    <cellStyle name="Total 3 3 3" xfId="21853"/>
    <cellStyle name="Total 3 4" xfId="20974"/>
    <cellStyle name="Total 3 4 2" xfId="21876"/>
    <cellStyle name="Total 3 5" xfId="21851"/>
    <cellStyle name="Total 4" xfId="20905"/>
    <cellStyle name="Total 4 2" xfId="20906"/>
    <cellStyle name="Total 4 2 2" xfId="20970"/>
    <cellStyle name="Total 4 2 2 2" xfId="21872"/>
    <cellStyle name="Total 4 2 3" xfId="21855"/>
    <cellStyle name="Total 4 3" xfId="20907"/>
    <cellStyle name="Total 4 3 2" xfId="20969"/>
    <cellStyle name="Total 4 3 2 2" xfId="21871"/>
    <cellStyle name="Total 4 3 3" xfId="21856"/>
    <cellStyle name="Total 4 4" xfId="20971"/>
    <cellStyle name="Total 4 4 2" xfId="21873"/>
    <cellStyle name="Total 4 5" xfId="21854"/>
    <cellStyle name="Total 5" xfId="20908"/>
    <cellStyle name="Total 5 2" xfId="20909"/>
    <cellStyle name="Total 5 2 2" xfId="20967"/>
    <cellStyle name="Total 5 2 2 2" xfId="21869"/>
    <cellStyle name="Total 5 2 3" xfId="21858"/>
    <cellStyle name="Total 5 3" xfId="20910"/>
    <cellStyle name="Total 5 3 2" xfId="20966"/>
    <cellStyle name="Total 5 3 2 2" xfId="21868"/>
    <cellStyle name="Total 5 3 3" xfId="21859"/>
    <cellStyle name="Total 5 4" xfId="20968"/>
    <cellStyle name="Total 5 4 2" xfId="21870"/>
    <cellStyle name="Total 5 5" xfId="21857"/>
    <cellStyle name="Total 6" xfId="20911"/>
    <cellStyle name="Total 6 2" xfId="20912"/>
    <cellStyle name="Total 6 2 2" xfId="20964"/>
    <cellStyle name="Total 6 2 2 2" xfId="21866"/>
    <cellStyle name="Total 6 2 3" xfId="21861"/>
    <cellStyle name="Total 6 3" xfId="20913"/>
    <cellStyle name="Total 6 3 2" xfId="20963"/>
    <cellStyle name="Total 6 3 2 2" xfId="21865"/>
    <cellStyle name="Total 6 3 3" xfId="21862"/>
    <cellStyle name="Total 6 4" xfId="20965"/>
    <cellStyle name="Total 6 4 2" xfId="21867"/>
    <cellStyle name="Total 6 5" xfId="21860"/>
    <cellStyle name="Total 7" xfId="20914"/>
    <cellStyle name="Total 7 2" xfId="20962"/>
    <cellStyle name="Total 7 2 2" xfId="21864"/>
    <cellStyle name="Total 7 3" xfId="2186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b_Report/03.%20NBG/09.%20IFRS%20NBG/2023-12/FSF-BBG-MM-2023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Info"/>
      <sheetName val="00"/>
      <sheetName val="FSF-SOFP"/>
      <sheetName val="FSF-SOPL"/>
      <sheetName val="FSF-01"/>
      <sheetName val="FSF-02"/>
      <sheetName val="FSF-03"/>
      <sheetName val="FSF-04"/>
      <sheetName val="FSF-05"/>
      <sheetName val="FSF-06"/>
      <sheetName val="FSF-07"/>
      <sheetName val="FSF-08"/>
      <sheetName val="FSF-09"/>
      <sheetName val="FSF-10"/>
      <sheetName val="FSF-11"/>
      <sheetName val="FSF-12"/>
      <sheetName val="FSF-13"/>
      <sheetName val="FSF-14"/>
      <sheetName val="FSF 15"/>
      <sheetName val="ROL"/>
      <sheetName val="A-D"/>
      <sheetName val="A-CP"/>
      <sheetName val="A-L"/>
      <sheetName val="A-G"/>
      <sheetName val="A-LD"/>
      <sheetName val="LCR"/>
      <sheetName val="FXD"/>
      <sheetName val="FX"/>
      <sheetName val="A"/>
      <sheetName val="A-CI"/>
      <sheetName val="A-LS"/>
      <sheetName val="SD"/>
      <sheetName val="Capital"/>
      <sheetName val="Capital Requirements"/>
      <sheetName val="op risk"/>
      <sheetName val="Risk Weighted Risk Exposures"/>
      <sheetName val="CR-RWA"/>
      <sheetName val="HHI Buffer"/>
      <sheetName val="CICR Buffer"/>
      <sheetName val="CRA Buffer"/>
      <sheetName val="CRM"/>
      <sheetName val="L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8">
          <cell r="P48">
            <v>18842640686.430702</v>
          </cell>
        </row>
        <row r="78">
          <cell r="O78">
            <v>1159962029.4098155</v>
          </cell>
        </row>
      </sheetData>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zoomScaleNormal="100" workbookViewId="0">
      <pane xSplit="1" ySplit="7" topLeftCell="B8" activePane="bottomRight" state="frozen"/>
      <selection pane="topRight"/>
      <selection pane="bottomLeft"/>
      <selection pane="bottomRight" activeCell="B8" sqref="B8"/>
    </sheetView>
  </sheetViews>
  <sheetFormatPr defaultRowHeight="15"/>
  <cols>
    <col min="1" max="1" width="10.28515625" style="2" customWidth="1"/>
    <col min="2" max="2" width="153" bestFit="1" customWidth="1"/>
    <col min="3" max="3" width="39.42578125" customWidth="1"/>
    <col min="7" max="7" width="25" customWidth="1"/>
  </cols>
  <sheetData>
    <row r="1" spans="1:3" ht="15.75">
      <c r="A1" s="6"/>
      <c r="B1" s="95" t="s">
        <v>159</v>
      </c>
      <c r="C1" s="33"/>
    </row>
    <row r="2" spans="1:3" s="92" customFormat="1" ht="15.75">
      <c r="A2" s="129">
        <v>1</v>
      </c>
      <c r="B2" s="93" t="s">
        <v>160</v>
      </c>
      <c r="C2" s="573" t="s">
        <v>988</v>
      </c>
    </row>
    <row r="3" spans="1:3" s="92" customFormat="1" ht="15.75">
      <c r="A3" s="129">
        <v>2</v>
      </c>
      <c r="B3" s="94" t="s">
        <v>161</v>
      </c>
      <c r="C3" s="555" t="s">
        <v>959</v>
      </c>
    </row>
    <row r="4" spans="1:3" s="92" customFormat="1" ht="15.75">
      <c r="A4" s="129">
        <v>3</v>
      </c>
      <c r="B4" s="94" t="s">
        <v>162</v>
      </c>
      <c r="C4" s="573" t="s">
        <v>989</v>
      </c>
    </row>
    <row r="5" spans="1:3" s="92" customFormat="1" ht="15.75">
      <c r="A5" s="130">
        <v>4</v>
      </c>
      <c r="B5" s="97" t="s">
        <v>163</v>
      </c>
      <c r="C5" s="573" t="s">
        <v>990</v>
      </c>
    </row>
    <row r="6" spans="1:3" s="96" customFormat="1" ht="65.25" customHeight="1">
      <c r="A6" s="803" t="s">
        <v>320</v>
      </c>
      <c r="B6" s="804"/>
      <c r="C6" s="804"/>
    </row>
    <row r="7" spans="1:3">
      <c r="A7" s="221" t="s">
        <v>250</v>
      </c>
      <c r="B7" s="222" t="s">
        <v>164</v>
      </c>
    </row>
    <row r="8" spans="1:3">
      <c r="A8" s="223">
        <v>1</v>
      </c>
      <c r="B8" s="219" t="s">
        <v>139</v>
      </c>
    </row>
    <row r="9" spans="1:3">
      <c r="A9" s="223">
        <v>2</v>
      </c>
      <c r="B9" s="219" t="s">
        <v>165</v>
      </c>
    </row>
    <row r="10" spans="1:3">
      <c r="A10" s="223">
        <v>3</v>
      </c>
      <c r="B10" s="219" t="s">
        <v>166</v>
      </c>
    </row>
    <row r="11" spans="1:3">
      <c r="A11" s="223">
        <v>4</v>
      </c>
      <c r="B11" s="219" t="s">
        <v>167</v>
      </c>
      <c r="C11" s="91"/>
    </row>
    <row r="12" spans="1:3">
      <c r="A12" s="223">
        <v>5</v>
      </c>
      <c r="B12" s="219" t="s">
        <v>107</v>
      </c>
    </row>
    <row r="13" spans="1:3">
      <c r="A13" s="223">
        <v>6</v>
      </c>
      <c r="B13" s="224" t="s">
        <v>91</v>
      </c>
    </row>
    <row r="14" spans="1:3">
      <c r="A14" s="223">
        <v>7</v>
      </c>
      <c r="B14" s="219" t="s">
        <v>168</v>
      </c>
    </row>
    <row r="15" spans="1:3">
      <c r="A15" s="223">
        <v>8</v>
      </c>
      <c r="B15" s="219" t="s">
        <v>171</v>
      </c>
    </row>
    <row r="16" spans="1:3">
      <c r="A16" s="223">
        <v>9</v>
      </c>
      <c r="B16" s="219" t="s">
        <v>85</v>
      </c>
    </row>
    <row r="17" spans="1:2">
      <c r="A17" s="225" t="s">
        <v>377</v>
      </c>
      <c r="B17" s="219" t="s">
        <v>357</v>
      </c>
    </row>
    <row r="18" spans="1:2">
      <c r="A18" s="223">
        <v>10</v>
      </c>
      <c r="B18" s="219" t="s">
        <v>172</v>
      </c>
    </row>
    <row r="19" spans="1:2">
      <c r="A19" s="223">
        <v>11</v>
      </c>
      <c r="B19" s="224" t="s">
        <v>155</v>
      </c>
    </row>
    <row r="20" spans="1:2">
      <c r="A20" s="223">
        <v>12</v>
      </c>
      <c r="B20" s="224" t="s">
        <v>152</v>
      </c>
    </row>
    <row r="21" spans="1:2">
      <c r="A21" s="223">
        <v>13</v>
      </c>
      <c r="B21" s="226" t="s">
        <v>296</v>
      </c>
    </row>
    <row r="22" spans="1:2">
      <c r="A22" s="223">
        <v>14</v>
      </c>
      <c r="B22" s="219" t="s">
        <v>350</v>
      </c>
    </row>
    <row r="23" spans="1:2">
      <c r="A23" s="227">
        <v>15</v>
      </c>
      <c r="B23" s="219" t="s">
        <v>74</v>
      </c>
    </row>
    <row r="24" spans="1:2">
      <c r="A24" s="227">
        <v>15.1</v>
      </c>
      <c r="B24" s="219" t="s">
        <v>386</v>
      </c>
    </row>
    <row r="25" spans="1:2">
      <c r="A25" s="227">
        <v>16</v>
      </c>
      <c r="B25" s="219" t="s">
        <v>452</v>
      </c>
    </row>
    <row r="26" spans="1:2">
      <c r="A26" s="227">
        <v>17</v>
      </c>
      <c r="B26" s="219" t="s">
        <v>676</v>
      </c>
    </row>
    <row r="27" spans="1:2">
      <c r="A27" s="227">
        <v>18</v>
      </c>
      <c r="B27" s="219" t="s">
        <v>935</v>
      </c>
    </row>
    <row r="28" spans="1:2">
      <c r="A28" s="227">
        <v>19</v>
      </c>
      <c r="B28" s="219" t="s">
        <v>936</v>
      </c>
    </row>
    <row r="29" spans="1:2">
      <c r="A29" s="227">
        <v>20</v>
      </c>
      <c r="B29" s="219" t="s">
        <v>937</v>
      </c>
    </row>
    <row r="30" spans="1:2">
      <c r="A30" s="227">
        <v>21</v>
      </c>
      <c r="B30" s="219" t="s">
        <v>545</v>
      </c>
    </row>
    <row r="31" spans="1:2">
      <c r="A31" s="227">
        <v>22</v>
      </c>
      <c r="B31" s="219" t="s">
        <v>938</v>
      </c>
    </row>
    <row r="32" spans="1:2" ht="25.5">
      <c r="A32" s="227">
        <v>23</v>
      </c>
      <c r="B32" s="473" t="s">
        <v>934</v>
      </c>
    </row>
    <row r="33" spans="1:2">
      <c r="A33" s="227">
        <v>24</v>
      </c>
      <c r="B33" s="219" t="s">
        <v>939</v>
      </c>
    </row>
    <row r="34" spans="1:2">
      <c r="A34" s="227">
        <v>25</v>
      </c>
      <c r="B34" s="219" t="s">
        <v>940</v>
      </c>
    </row>
    <row r="35" spans="1:2">
      <c r="A35" s="223">
        <v>26</v>
      </c>
      <c r="B35" s="219" t="s">
        <v>722</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6"/>
  <sheetViews>
    <sheetView zoomScaleNormal="100" workbookViewId="0">
      <pane xSplit="1" ySplit="5" topLeftCell="B6" activePane="bottomRight" state="frozen"/>
      <selection pane="topRight"/>
      <selection pane="bottomLeft"/>
      <selection pane="bottomRight" activeCell="B6" sqref="B6"/>
    </sheetView>
  </sheetViews>
  <sheetFormatPr defaultRowHeight="15"/>
  <cols>
    <col min="1" max="1" width="9.5703125" style="5" bestFit="1" customWidth="1"/>
    <col min="2" max="2" width="132.42578125" style="2" customWidth="1"/>
    <col min="3" max="3" width="18.42578125" style="2" customWidth="1"/>
    <col min="4" max="4" width="12.28515625" bestFit="1" customWidth="1"/>
    <col min="5" max="5" width="11.7109375" bestFit="1" customWidth="1"/>
  </cols>
  <sheetData>
    <row r="1" spans="1:5" ht="15.75">
      <c r="A1" s="12" t="s">
        <v>108</v>
      </c>
      <c r="B1" s="11" t="str">
        <f>Info!C2</f>
        <v>სს ”საქართველოს ბანკი”</v>
      </c>
      <c r="D1" s="2"/>
    </row>
    <row r="2" spans="1:5" s="16" customFormat="1" ht="15.75" customHeight="1">
      <c r="A2" s="16" t="s">
        <v>109</v>
      </c>
      <c r="B2" s="611">
        <f>'1. key ratios'!B2</f>
        <v>45291</v>
      </c>
    </row>
    <row r="3" spans="1:5" s="16" customFormat="1" ht="15.75" customHeight="1"/>
    <row r="4" spans="1:5" ht="15.75" thickBot="1">
      <c r="A4" s="5" t="s">
        <v>256</v>
      </c>
      <c r="B4" s="23" t="s">
        <v>85</v>
      </c>
    </row>
    <row r="5" spans="1:5">
      <c r="A5" s="65" t="s">
        <v>25</v>
      </c>
      <c r="B5" s="652"/>
      <c r="C5" s="66" t="s">
        <v>26</v>
      </c>
    </row>
    <row r="6" spans="1:5">
      <c r="A6" s="653">
        <v>1</v>
      </c>
      <c r="B6" s="641" t="s">
        <v>27</v>
      </c>
      <c r="C6" s="654">
        <f>SUM(C7:C11)</f>
        <v>4423549391.3616142</v>
      </c>
      <c r="D6" s="482"/>
      <c r="E6" s="482"/>
    </row>
    <row r="7" spans="1:5">
      <c r="A7" s="653">
        <v>2</v>
      </c>
      <c r="B7" s="642" t="s">
        <v>28</v>
      </c>
      <c r="C7" s="480">
        <v>27993660.18</v>
      </c>
      <c r="E7" s="482"/>
    </row>
    <row r="8" spans="1:5">
      <c r="A8" s="653">
        <v>3</v>
      </c>
      <c r="B8" s="642" t="s">
        <v>29</v>
      </c>
      <c r="C8" s="480">
        <v>150786900.44519725</v>
      </c>
      <c r="E8" s="482"/>
    </row>
    <row r="9" spans="1:5">
      <c r="A9" s="653">
        <v>4</v>
      </c>
      <c r="B9" s="642" t="s">
        <v>30</v>
      </c>
      <c r="C9" s="480">
        <v>34891060.719999999</v>
      </c>
      <c r="E9" s="482"/>
    </row>
    <row r="10" spans="1:5">
      <c r="A10" s="653">
        <v>5</v>
      </c>
      <c r="B10" s="642" t="s">
        <v>31</v>
      </c>
      <c r="C10" s="480">
        <v>0</v>
      </c>
      <c r="E10" s="482"/>
    </row>
    <row r="11" spans="1:5">
      <c r="A11" s="653">
        <v>6</v>
      </c>
      <c r="B11" s="642" t="s">
        <v>32</v>
      </c>
      <c r="C11" s="480">
        <v>4209877770.0164165</v>
      </c>
      <c r="E11" s="482"/>
    </row>
    <row r="12" spans="1:5" s="4" customFormat="1">
      <c r="A12" s="653">
        <v>7</v>
      </c>
      <c r="B12" s="641" t="s">
        <v>33</v>
      </c>
      <c r="C12" s="655">
        <f>SUM(C13:C28)</f>
        <v>223607046.52807024</v>
      </c>
      <c r="D12" s="482"/>
      <c r="E12" s="482"/>
    </row>
    <row r="13" spans="1:5" s="4" customFormat="1">
      <c r="A13" s="653">
        <v>8</v>
      </c>
      <c r="B13" s="643" t="s">
        <v>34</v>
      </c>
      <c r="C13" s="480">
        <v>34983703.461199999</v>
      </c>
      <c r="E13" s="482"/>
    </row>
    <row r="14" spans="1:5" s="4" customFormat="1" ht="25.5">
      <c r="A14" s="653">
        <v>9</v>
      </c>
      <c r="B14" s="643" t="s">
        <v>35</v>
      </c>
      <c r="C14" s="480">
        <v>0</v>
      </c>
      <c r="E14" s="482"/>
    </row>
    <row r="15" spans="1:5" s="4" customFormat="1">
      <c r="A15" s="653">
        <v>10</v>
      </c>
      <c r="B15" s="644" t="s">
        <v>36</v>
      </c>
      <c r="C15" s="480">
        <v>166555746.55000001</v>
      </c>
      <c r="E15" s="482"/>
    </row>
    <row r="16" spans="1:5" s="4" customFormat="1">
      <c r="A16" s="653">
        <v>11</v>
      </c>
      <c r="B16" s="645" t="s">
        <v>37</v>
      </c>
      <c r="C16" s="480">
        <v>0</v>
      </c>
      <c r="E16" s="482"/>
    </row>
    <row r="17" spans="1:5" s="4" customFormat="1">
      <c r="A17" s="653">
        <v>12</v>
      </c>
      <c r="B17" s="644" t="s">
        <v>38</v>
      </c>
      <c r="C17" s="480">
        <v>11366</v>
      </c>
      <c r="E17" s="482"/>
    </row>
    <row r="18" spans="1:5" s="4" customFormat="1">
      <c r="A18" s="653">
        <v>13</v>
      </c>
      <c r="B18" s="644" t="s">
        <v>39</v>
      </c>
      <c r="C18" s="480">
        <v>6250296.0129000004</v>
      </c>
      <c r="E18" s="482"/>
    </row>
    <row r="19" spans="1:5" s="4" customFormat="1">
      <c r="A19" s="653">
        <v>14</v>
      </c>
      <c r="B19" s="644" t="s">
        <v>40</v>
      </c>
      <c r="C19" s="480">
        <v>0</v>
      </c>
      <c r="E19" s="482"/>
    </row>
    <row r="20" spans="1:5" s="4" customFormat="1" ht="25.5">
      <c r="A20" s="653">
        <v>15</v>
      </c>
      <c r="B20" s="644" t="s">
        <v>41</v>
      </c>
      <c r="C20" s="480">
        <v>0</v>
      </c>
      <c r="E20" s="482"/>
    </row>
    <row r="21" spans="1:5" s="4" customFormat="1" ht="25.5">
      <c r="A21" s="653">
        <v>16</v>
      </c>
      <c r="B21" s="643" t="s">
        <v>42</v>
      </c>
      <c r="C21" s="480">
        <v>0</v>
      </c>
      <c r="E21" s="482"/>
    </row>
    <row r="22" spans="1:5" s="4" customFormat="1">
      <c r="A22" s="653">
        <v>17</v>
      </c>
      <c r="B22" s="646" t="s">
        <v>43</v>
      </c>
      <c r="C22" s="480">
        <v>9537976.6839702465</v>
      </c>
      <c r="E22" s="482"/>
    </row>
    <row r="23" spans="1:5" s="4" customFormat="1">
      <c r="A23" s="653">
        <v>18</v>
      </c>
      <c r="B23" s="782" t="s">
        <v>725</v>
      </c>
      <c r="C23" s="480">
        <v>6267957.8200000003</v>
      </c>
      <c r="E23" s="482"/>
    </row>
    <row r="24" spans="1:5" s="4" customFormat="1" ht="25.5">
      <c r="A24" s="653">
        <v>19</v>
      </c>
      <c r="B24" s="643" t="s">
        <v>44</v>
      </c>
      <c r="C24" s="481">
        <v>0</v>
      </c>
      <c r="E24" s="482"/>
    </row>
    <row r="25" spans="1:5" s="4" customFormat="1" ht="25.5">
      <c r="A25" s="653">
        <v>20</v>
      </c>
      <c r="B25" s="643" t="s">
        <v>45</v>
      </c>
      <c r="C25" s="481">
        <v>0</v>
      </c>
      <c r="E25" s="482"/>
    </row>
    <row r="26" spans="1:5" s="4" customFormat="1" ht="25.5">
      <c r="A26" s="653">
        <v>21</v>
      </c>
      <c r="B26" s="647" t="s">
        <v>46</v>
      </c>
      <c r="C26" s="481">
        <v>0</v>
      </c>
      <c r="E26" s="482"/>
    </row>
    <row r="27" spans="1:5" s="4" customFormat="1">
      <c r="A27" s="653">
        <v>22</v>
      </c>
      <c r="B27" s="647" t="s">
        <v>47</v>
      </c>
      <c r="C27" s="481">
        <v>0</v>
      </c>
      <c r="E27" s="482"/>
    </row>
    <row r="28" spans="1:5" s="4" customFormat="1" ht="25.5">
      <c r="A28" s="653">
        <v>23</v>
      </c>
      <c r="B28" s="647" t="s">
        <v>48</v>
      </c>
      <c r="C28" s="481"/>
      <c r="E28" s="482"/>
    </row>
    <row r="29" spans="1:5" s="4" customFormat="1">
      <c r="A29" s="653">
        <v>24</v>
      </c>
      <c r="B29" s="648" t="s">
        <v>22</v>
      </c>
      <c r="C29" s="655">
        <f>C6-C12</f>
        <v>4199942344.8335438</v>
      </c>
      <c r="D29" s="483"/>
      <c r="E29" s="482"/>
    </row>
    <row r="30" spans="1:5" s="4" customFormat="1">
      <c r="A30" s="656"/>
      <c r="B30" s="649"/>
      <c r="C30" s="481"/>
      <c r="E30" s="482"/>
    </row>
    <row r="31" spans="1:5" s="4" customFormat="1">
      <c r="A31" s="656">
        <v>25</v>
      </c>
      <c r="B31" s="648" t="s">
        <v>49</v>
      </c>
      <c r="C31" s="655">
        <f>C32+C35</f>
        <v>403410000</v>
      </c>
      <c r="D31" s="483"/>
      <c r="E31" s="482"/>
    </row>
    <row r="32" spans="1:5" s="4" customFormat="1">
      <c r="A32" s="656">
        <v>26</v>
      </c>
      <c r="B32" s="642" t="s">
        <v>50</v>
      </c>
      <c r="C32" s="657">
        <f>C33+C34</f>
        <v>0</v>
      </c>
      <c r="E32" s="482"/>
    </row>
    <row r="33" spans="1:7" s="4" customFormat="1">
      <c r="A33" s="656">
        <v>27</v>
      </c>
      <c r="B33" s="650" t="s">
        <v>51</v>
      </c>
      <c r="C33" s="481"/>
      <c r="E33" s="482"/>
    </row>
    <row r="34" spans="1:7" s="4" customFormat="1">
      <c r="A34" s="656">
        <v>28</v>
      </c>
      <c r="B34" s="650" t="s">
        <v>52</v>
      </c>
      <c r="C34" s="481"/>
      <c r="E34" s="482"/>
    </row>
    <row r="35" spans="1:7" s="4" customFormat="1">
      <c r="A35" s="656">
        <v>29</v>
      </c>
      <c r="B35" s="642" t="s">
        <v>53</v>
      </c>
      <c r="C35" s="480">
        <v>403410000</v>
      </c>
      <c r="E35" s="482"/>
    </row>
    <row r="36" spans="1:7" s="4" customFormat="1">
      <c r="A36" s="656">
        <v>30</v>
      </c>
      <c r="B36" s="648" t="s">
        <v>54</v>
      </c>
      <c r="C36" s="655">
        <f>SUM(C37:C41)</f>
        <v>0</v>
      </c>
      <c r="E36" s="482"/>
    </row>
    <row r="37" spans="1:7" s="4" customFormat="1">
      <c r="A37" s="656">
        <v>31</v>
      </c>
      <c r="B37" s="643" t="s">
        <v>55</v>
      </c>
      <c r="C37" s="481">
        <v>0</v>
      </c>
      <c r="E37" s="482"/>
    </row>
    <row r="38" spans="1:7" s="4" customFormat="1">
      <c r="A38" s="656">
        <v>32</v>
      </c>
      <c r="B38" s="644" t="s">
        <v>56</v>
      </c>
      <c r="C38" s="481">
        <v>0</v>
      </c>
      <c r="E38" s="482"/>
    </row>
    <row r="39" spans="1:7" s="4" customFormat="1" ht="25.5">
      <c r="A39" s="656">
        <v>33</v>
      </c>
      <c r="B39" s="643" t="s">
        <v>57</v>
      </c>
      <c r="C39" s="481">
        <v>0</v>
      </c>
      <c r="E39" s="482"/>
    </row>
    <row r="40" spans="1:7" s="4" customFormat="1" ht="25.5">
      <c r="A40" s="656">
        <v>34</v>
      </c>
      <c r="B40" s="643" t="s">
        <v>45</v>
      </c>
      <c r="C40" s="481"/>
      <c r="E40" s="482"/>
    </row>
    <row r="41" spans="1:7" s="4" customFormat="1" ht="25.5">
      <c r="A41" s="656">
        <v>35</v>
      </c>
      <c r="B41" s="647" t="s">
        <v>58</v>
      </c>
      <c r="C41" s="481"/>
      <c r="E41" s="482"/>
      <c r="G41" s="4">
        <v>0</v>
      </c>
    </row>
    <row r="42" spans="1:7" s="4" customFormat="1">
      <c r="A42" s="656">
        <v>36</v>
      </c>
      <c r="B42" s="648" t="s">
        <v>23</v>
      </c>
      <c r="C42" s="655">
        <f>C31-C36</f>
        <v>403410000</v>
      </c>
      <c r="E42" s="482"/>
    </row>
    <row r="43" spans="1:7" s="4" customFormat="1">
      <c r="A43" s="656"/>
      <c r="B43" s="649"/>
      <c r="C43" s="481"/>
      <c r="E43" s="482"/>
    </row>
    <row r="44" spans="1:7" s="4" customFormat="1">
      <c r="A44" s="656">
        <v>37</v>
      </c>
      <c r="B44" s="651" t="s">
        <v>59</v>
      </c>
      <c r="C44" s="655">
        <f>SUM(C45:C47)</f>
        <v>499018170</v>
      </c>
      <c r="D44" s="483"/>
      <c r="E44" s="482"/>
    </row>
    <row r="45" spans="1:7" s="4" customFormat="1">
      <c r="A45" s="656">
        <v>38</v>
      </c>
      <c r="B45" s="642" t="s">
        <v>60</v>
      </c>
      <c r="C45" s="481">
        <v>499018170</v>
      </c>
      <c r="E45" s="482"/>
    </row>
    <row r="46" spans="1:7" s="4" customFormat="1">
      <c r="A46" s="656">
        <v>39</v>
      </c>
      <c r="B46" s="642" t="s">
        <v>61</v>
      </c>
      <c r="C46" s="481"/>
      <c r="E46" s="482"/>
    </row>
    <row r="47" spans="1:7" s="4" customFormat="1">
      <c r="A47" s="656">
        <v>40</v>
      </c>
      <c r="B47" s="783" t="s">
        <v>724</v>
      </c>
      <c r="C47" s="481"/>
      <c r="E47" s="482"/>
    </row>
    <row r="48" spans="1:7" s="4" customFormat="1">
      <c r="A48" s="656">
        <v>41</v>
      </c>
      <c r="B48" s="651" t="s">
        <v>62</v>
      </c>
      <c r="C48" s="655">
        <f>SUM(C49:C52)</f>
        <v>0</v>
      </c>
      <c r="E48" s="482"/>
    </row>
    <row r="49" spans="1:5" s="4" customFormat="1">
      <c r="A49" s="656">
        <v>42</v>
      </c>
      <c r="B49" s="643" t="s">
        <v>63</v>
      </c>
      <c r="C49" s="481"/>
      <c r="E49" s="482"/>
    </row>
    <row r="50" spans="1:5" s="4" customFormat="1">
      <c r="A50" s="656">
        <v>43</v>
      </c>
      <c r="B50" s="644" t="s">
        <v>64</v>
      </c>
      <c r="C50" s="481">
        <v>0</v>
      </c>
      <c r="E50" s="482"/>
    </row>
    <row r="51" spans="1:5" s="4" customFormat="1" ht="25.5">
      <c r="A51" s="656">
        <v>44</v>
      </c>
      <c r="B51" s="643" t="s">
        <v>65</v>
      </c>
      <c r="C51" s="481">
        <v>0</v>
      </c>
      <c r="E51" s="482"/>
    </row>
    <row r="52" spans="1:5" s="4" customFormat="1" ht="25.5">
      <c r="A52" s="656">
        <v>45</v>
      </c>
      <c r="B52" s="643" t="s">
        <v>45</v>
      </c>
      <c r="C52" s="481"/>
      <c r="E52" s="482"/>
    </row>
    <row r="53" spans="1:5" s="4" customFormat="1" ht="15.75" thickBot="1">
      <c r="A53" s="658">
        <v>46</v>
      </c>
      <c r="B53" s="659" t="s">
        <v>24</v>
      </c>
      <c r="C53" s="660">
        <f>C44-C48</f>
        <v>499018170</v>
      </c>
      <c r="D53" s="483"/>
      <c r="E53" s="482"/>
    </row>
    <row r="54" spans="1:5">
      <c r="E54" s="482"/>
    </row>
    <row r="56" spans="1:5">
      <c r="B56" s="2" t="s">
        <v>141</v>
      </c>
    </row>
  </sheetData>
  <dataValidations count="1">
    <dataValidation operator="lessThanOrEqual" allowBlank="1" showInputMessage="1" showErrorMessage="1" errorTitle="Should be negative number" error="Should be whole negative number or 0" sqref="C36:C53 C24:C34"/>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zoomScaleNormal="100" workbookViewId="0"/>
  </sheetViews>
  <sheetFormatPr defaultColWidth="9.140625" defaultRowHeight="12.75"/>
  <cols>
    <col min="1" max="1" width="10.85546875" style="186" bestFit="1" customWidth="1"/>
    <col min="2" max="2" width="59" style="186" customWidth="1"/>
    <col min="3" max="3" width="16.7109375" style="186" bestFit="1" customWidth="1"/>
    <col min="4" max="4" width="22.140625" style="484" customWidth="1"/>
    <col min="5" max="5" width="14" style="186" bestFit="1" customWidth="1"/>
    <col min="6" max="6" width="10.42578125" style="186" bestFit="1" customWidth="1"/>
    <col min="7" max="16384" width="9.140625" style="186"/>
  </cols>
  <sheetData>
    <row r="1" spans="1:6" ht="15">
      <c r="A1" s="12" t="s">
        <v>108</v>
      </c>
      <c r="B1" s="11" t="str">
        <f>Info!C2</f>
        <v>სს ”საქართველოს ბანკი”</v>
      </c>
    </row>
    <row r="2" spans="1:6" s="16" customFormat="1" ht="15.75" customHeight="1">
      <c r="A2" s="16" t="s">
        <v>109</v>
      </c>
      <c r="B2" s="611">
        <f>'1. key ratios'!B2</f>
        <v>45291</v>
      </c>
      <c r="D2" s="485"/>
    </row>
    <row r="3" spans="1:6" s="16" customFormat="1" ht="15.75" customHeight="1">
      <c r="D3" s="485"/>
    </row>
    <row r="4" spans="1:6" ht="13.5" thickBot="1">
      <c r="A4" s="187" t="s">
        <v>356</v>
      </c>
      <c r="B4" s="207" t="s">
        <v>357</v>
      </c>
    </row>
    <row r="5" spans="1:6" s="208" customFormat="1">
      <c r="A5" s="830" t="s">
        <v>358</v>
      </c>
      <c r="B5" s="831"/>
      <c r="C5" s="199" t="s">
        <v>359</v>
      </c>
      <c r="D5" s="486" t="s">
        <v>360</v>
      </c>
    </row>
    <row r="6" spans="1:6" s="209" customFormat="1">
      <c r="A6" s="200">
        <v>1</v>
      </c>
      <c r="B6" s="201" t="s">
        <v>361</v>
      </c>
      <c r="C6" s="201"/>
      <c r="D6" s="487"/>
    </row>
    <row r="7" spans="1:6" s="209" customFormat="1">
      <c r="A7" s="202" t="s">
        <v>362</v>
      </c>
      <c r="B7" s="203" t="s">
        <v>363</v>
      </c>
      <c r="C7" s="251">
        <v>4.4999999999999998E-2</v>
      </c>
      <c r="D7" s="488">
        <f>C7*'5. RWA'!$C$13</f>
        <v>1037785726.7860802</v>
      </c>
      <c r="F7" s="784"/>
    </row>
    <row r="8" spans="1:6" s="209" customFormat="1">
      <c r="A8" s="202" t="s">
        <v>364</v>
      </c>
      <c r="B8" s="203" t="s">
        <v>365</v>
      </c>
      <c r="C8" s="252">
        <v>0.06</v>
      </c>
      <c r="D8" s="488">
        <f>C8*'5. RWA'!$C$13</f>
        <v>1383714302.3814404</v>
      </c>
      <c r="F8" s="784"/>
    </row>
    <row r="9" spans="1:6" s="209" customFormat="1">
      <c r="A9" s="202" t="s">
        <v>366</v>
      </c>
      <c r="B9" s="203" t="s">
        <v>367</v>
      </c>
      <c r="C9" s="252">
        <v>0.08</v>
      </c>
      <c r="D9" s="488">
        <f>C9*'5. RWA'!$C$13</f>
        <v>1844952403.1752539</v>
      </c>
      <c r="F9" s="784"/>
    </row>
    <row r="10" spans="1:6" s="209" customFormat="1">
      <c r="A10" s="200" t="s">
        <v>368</v>
      </c>
      <c r="B10" s="201" t="s">
        <v>369</v>
      </c>
      <c r="C10" s="253"/>
      <c r="D10" s="489"/>
      <c r="F10" s="784"/>
    </row>
    <row r="11" spans="1:6" s="210" customFormat="1">
      <c r="A11" s="204" t="s">
        <v>370</v>
      </c>
      <c r="B11" s="205" t="s">
        <v>432</v>
      </c>
      <c r="C11" s="254">
        <v>2.5000000000000001E-2</v>
      </c>
      <c r="D11" s="490">
        <f>C11*'5. RWA'!$C$13</f>
        <v>576547625.99226689</v>
      </c>
      <c r="F11" s="784"/>
    </row>
    <row r="12" spans="1:6" s="210" customFormat="1">
      <c r="A12" s="204" t="s">
        <v>371</v>
      </c>
      <c r="B12" s="205" t="s">
        <v>372</v>
      </c>
      <c r="C12" s="254">
        <v>0</v>
      </c>
      <c r="D12" s="490">
        <f>C12*'5. RWA'!$C$13</f>
        <v>0</v>
      </c>
      <c r="F12" s="784"/>
    </row>
    <row r="13" spans="1:6" s="210" customFormat="1">
      <c r="A13" s="204" t="s">
        <v>373</v>
      </c>
      <c r="B13" s="205" t="s">
        <v>374</v>
      </c>
      <c r="C13" s="254">
        <v>2.5000000000000001E-2</v>
      </c>
      <c r="D13" s="490">
        <f>C13*'5. RWA'!$C$13</f>
        <v>576547625.99226689</v>
      </c>
      <c r="F13" s="784"/>
    </row>
    <row r="14" spans="1:6" s="209" customFormat="1">
      <c r="A14" s="200" t="s">
        <v>375</v>
      </c>
      <c r="B14" s="201" t="s">
        <v>430</v>
      </c>
      <c r="C14" s="255"/>
      <c r="D14" s="489"/>
      <c r="F14" s="784"/>
    </row>
    <row r="15" spans="1:6" s="209" customFormat="1">
      <c r="A15" s="220" t="s">
        <v>378</v>
      </c>
      <c r="B15" s="205" t="s">
        <v>431</v>
      </c>
      <c r="C15" s="254">
        <v>4.9527654771248722E-2</v>
      </c>
      <c r="D15" s="490">
        <f>C15*'5. RWA'!$C$13</f>
        <v>1142202071.1731207</v>
      </c>
      <c r="F15" s="784"/>
    </row>
    <row r="16" spans="1:6" s="209" customFormat="1">
      <c r="A16" s="220" t="s">
        <v>379</v>
      </c>
      <c r="B16" s="205" t="s">
        <v>381</v>
      </c>
      <c r="C16" s="254">
        <v>5.6850388323925936E-2</v>
      </c>
      <c r="D16" s="490">
        <f>C16*'5. RWA'!$C$13</f>
        <v>1311078256.9959195</v>
      </c>
      <c r="F16" s="784"/>
    </row>
    <row r="17" spans="1:6" s="209" customFormat="1">
      <c r="A17" s="220" t="s">
        <v>380</v>
      </c>
      <c r="B17" s="205" t="s">
        <v>428</v>
      </c>
      <c r="C17" s="254">
        <v>6.6485564051132789E-2</v>
      </c>
      <c r="D17" s="490">
        <f>C17*'5. RWA'!$C$13</f>
        <v>1533283764.6574965</v>
      </c>
      <c r="F17" s="784"/>
    </row>
    <row r="18" spans="1:6" s="208" customFormat="1">
      <c r="A18" s="832" t="s">
        <v>429</v>
      </c>
      <c r="B18" s="833"/>
      <c r="C18" s="256" t="s">
        <v>359</v>
      </c>
      <c r="D18" s="491" t="s">
        <v>360</v>
      </c>
      <c r="F18" s="784"/>
    </row>
    <row r="19" spans="1:6" s="209" customFormat="1">
      <c r="A19" s="206">
        <v>4</v>
      </c>
      <c r="B19" s="205" t="s">
        <v>22</v>
      </c>
      <c r="C19" s="254">
        <f>C7+C11+C12+C13+C15</f>
        <v>0.14452765477124874</v>
      </c>
      <c r="D19" s="488">
        <f>C19*'5. RWA'!$C$13</f>
        <v>3333083049.9437351</v>
      </c>
      <c r="E19" s="784"/>
      <c r="F19" s="784"/>
    </row>
    <row r="20" spans="1:6" s="209" customFormat="1">
      <c r="A20" s="206">
        <v>5</v>
      </c>
      <c r="B20" s="205" t="s">
        <v>86</v>
      </c>
      <c r="C20" s="254">
        <f>C8+C11+C12+C13+C16</f>
        <v>0.16685038832392593</v>
      </c>
      <c r="D20" s="488">
        <f>C20*'5. RWA'!$C$13</f>
        <v>3847887811.3618932</v>
      </c>
      <c r="E20" s="784"/>
      <c r="F20" s="784"/>
    </row>
    <row r="21" spans="1:6" s="209" customFormat="1" ht="13.5" thickBot="1">
      <c r="A21" s="211" t="s">
        <v>376</v>
      </c>
      <c r="B21" s="212" t="s">
        <v>85</v>
      </c>
      <c r="C21" s="257">
        <f>C9+C11+C12+C13+C17</f>
        <v>0.19648556405113279</v>
      </c>
      <c r="D21" s="492">
        <f>C21*'5. RWA'!$C$13</f>
        <v>4531331419.8172836</v>
      </c>
      <c r="E21" s="784"/>
      <c r="F21" s="784"/>
    </row>
    <row r="22" spans="1:6">
      <c r="F22" s="784"/>
    </row>
    <row r="23" spans="1:6" ht="63.75">
      <c r="B23" s="18" t="s">
        <v>433</v>
      </c>
    </row>
  </sheetData>
  <mergeCells count="2">
    <mergeCell ref="A5:B5"/>
    <mergeCell ref="A18:B18"/>
  </mergeCells>
  <conditionalFormatting sqref="C21">
    <cfRule type="cellIs" dxfId="29" priority="2"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75"/>
  <sheetViews>
    <sheetView zoomScaleNormal="100" workbookViewId="0">
      <pane xSplit="1" ySplit="5" topLeftCell="B6" activePane="bottomRight" state="frozen"/>
      <selection pane="topRight"/>
      <selection pane="bottomLeft"/>
      <selection pane="bottomRight" activeCell="B6" sqref="B6"/>
    </sheetView>
  </sheetViews>
  <sheetFormatPr defaultRowHeight="15.75"/>
  <cols>
    <col min="1" max="1" width="10.7109375" style="29" customWidth="1"/>
    <col min="2" max="2" width="100.85546875" style="29" customWidth="1"/>
    <col min="3" max="3" width="51.28515625" style="582" customWidth="1"/>
    <col min="4" max="4" width="48" style="29" customWidth="1"/>
  </cols>
  <sheetData>
    <row r="1" spans="1:6">
      <c r="A1" s="12" t="s">
        <v>108</v>
      </c>
      <c r="B1" s="14" t="str">
        <f>Info!C2</f>
        <v>სს ”საქართველოს ბანკი”</v>
      </c>
      <c r="C1" s="581"/>
      <c r="E1" s="2"/>
    </row>
    <row r="2" spans="1:6" s="16" customFormat="1" ht="15">
      <c r="A2" s="16" t="s">
        <v>109</v>
      </c>
      <c r="B2" s="611">
        <f>'1. key ratios'!B2</f>
        <v>45291</v>
      </c>
      <c r="C2" s="582"/>
    </row>
    <row r="3" spans="1:6" s="16" customFormat="1" ht="15">
      <c r="A3" s="21"/>
      <c r="C3" s="583"/>
    </row>
    <row r="4" spans="1:6" s="16" customFormat="1" thickBot="1">
      <c r="A4" s="16" t="s">
        <v>257</v>
      </c>
      <c r="B4" s="110" t="s">
        <v>172</v>
      </c>
      <c r="C4" s="584"/>
      <c r="D4" s="111" t="s">
        <v>87</v>
      </c>
    </row>
    <row r="5" spans="1:6" ht="25.5">
      <c r="A5" s="602" t="s">
        <v>25</v>
      </c>
      <c r="B5" s="603" t="s">
        <v>144</v>
      </c>
      <c r="C5" s="604" t="s">
        <v>857</v>
      </c>
      <c r="D5" s="605" t="s">
        <v>173</v>
      </c>
    </row>
    <row r="6" spans="1:6">
      <c r="A6" s="550">
        <v>1</v>
      </c>
      <c r="B6" s="530" t="s">
        <v>842</v>
      </c>
      <c r="C6" s="585">
        <f>SUM(C7:C9)</f>
        <v>4389117153.6210003</v>
      </c>
      <c r="D6" s="606"/>
    </row>
    <row r="7" spans="1:6">
      <c r="A7" s="550">
        <v>1.1000000000000001</v>
      </c>
      <c r="B7" s="532" t="s">
        <v>96</v>
      </c>
      <c r="C7" s="586">
        <f>'2. SOFP'!E8</f>
        <v>870807994.02100015</v>
      </c>
      <c r="D7" s="606"/>
    </row>
    <row r="8" spans="1:6">
      <c r="A8" s="550">
        <v>1.2</v>
      </c>
      <c r="B8" s="532" t="s">
        <v>97</v>
      </c>
      <c r="C8" s="586">
        <f>'2. SOFP'!E9</f>
        <v>2317044440.0999999</v>
      </c>
      <c r="D8" s="606"/>
    </row>
    <row r="9" spans="1:6">
      <c r="A9" s="550">
        <v>1.3</v>
      </c>
      <c r="B9" s="532" t="s">
        <v>98</v>
      </c>
      <c r="C9" s="586">
        <f>'2. SOFP'!E10</f>
        <v>1201264719.5</v>
      </c>
      <c r="D9" s="606"/>
    </row>
    <row r="10" spans="1:6">
      <c r="A10" s="550">
        <v>2</v>
      </c>
      <c r="B10" s="533" t="s">
        <v>729</v>
      </c>
      <c r="C10" s="586">
        <f>'2. SOFP'!E11</f>
        <v>10942255.82</v>
      </c>
      <c r="D10" s="606"/>
    </row>
    <row r="11" spans="1:6">
      <c r="A11" s="550">
        <v>2.1</v>
      </c>
      <c r="B11" s="534" t="s">
        <v>730</v>
      </c>
      <c r="C11" s="587">
        <f>'2. SOFP'!E12</f>
        <v>10942255.82</v>
      </c>
      <c r="D11" s="607"/>
    </row>
    <row r="12" spans="1:6" ht="21">
      <c r="A12" s="550">
        <v>3</v>
      </c>
      <c r="B12" s="535" t="s">
        <v>731</v>
      </c>
      <c r="C12" s="588"/>
      <c r="D12" s="607"/>
    </row>
    <row r="13" spans="1:6" ht="21">
      <c r="A13" s="550">
        <v>4</v>
      </c>
      <c r="B13" s="536" t="s">
        <v>732</v>
      </c>
      <c r="C13" s="589"/>
      <c r="D13" s="607"/>
      <c r="F13" t="s">
        <v>992</v>
      </c>
    </row>
    <row r="14" spans="1:6">
      <c r="A14" s="550">
        <v>5</v>
      </c>
      <c r="B14" s="536" t="s">
        <v>733</v>
      </c>
      <c r="C14" s="589">
        <f>SUM(C15)+C17</f>
        <v>4302509500.1934004</v>
      </c>
      <c r="D14" s="607"/>
    </row>
    <row r="15" spans="1:6">
      <c r="A15" s="550">
        <v>5.0999999999999996</v>
      </c>
      <c r="B15" s="538" t="s">
        <v>734</v>
      </c>
      <c r="C15" s="590">
        <f>'2. SOFP'!E16</f>
        <v>7051249.0929000005</v>
      </c>
      <c r="D15" s="607"/>
    </row>
    <row r="16" spans="1:6" ht="25.5">
      <c r="A16" s="550"/>
      <c r="B16" s="31" t="s">
        <v>994</v>
      </c>
      <c r="C16" s="590">
        <f>'9. Capital'!C18</f>
        <v>6250296.0129000004</v>
      </c>
      <c r="D16" s="607" t="s">
        <v>991</v>
      </c>
    </row>
    <row r="17" spans="1:4">
      <c r="A17" s="550">
        <v>5.2</v>
      </c>
      <c r="B17" s="538" t="s">
        <v>568</v>
      </c>
      <c r="C17" s="590">
        <f>'2. SOFP'!E17</f>
        <v>4295458251.1005001</v>
      </c>
      <c r="D17" s="607"/>
    </row>
    <row r="18" spans="1:4">
      <c r="A18" s="550">
        <v>5.3</v>
      </c>
      <c r="B18" s="538" t="s">
        <v>735</v>
      </c>
      <c r="C18" s="590">
        <f>'2. SOFP'!E18</f>
        <v>0</v>
      </c>
      <c r="D18" s="607"/>
    </row>
    <row r="19" spans="1:4">
      <c r="A19" s="550">
        <v>6</v>
      </c>
      <c r="B19" s="535" t="s">
        <v>736</v>
      </c>
      <c r="C19" s="588">
        <f>SUM(C20:C21)</f>
        <v>20024952658.780499</v>
      </c>
      <c r="D19" s="607"/>
    </row>
    <row r="20" spans="1:4">
      <c r="A20" s="550">
        <v>6.1</v>
      </c>
      <c r="B20" s="538" t="s">
        <v>568</v>
      </c>
      <c r="C20" s="590">
        <f>'2. SOFP'!E20</f>
        <v>507894574.56709999</v>
      </c>
      <c r="D20" s="607"/>
    </row>
    <row r="21" spans="1:4">
      <c r="A21" s="550">
        <v>6.2</v>
      </c>
      <c r="B21" s="538" t="s">
        <v>735</v>
      </c>
      <c r="C21" s="590">
        <f>'2. SOFP'!E21</f>
        <v>19517058084.213398</v>
      </c>
      <c r="D21" s="607"/>
    </row>
    <row r="22" spans="1:4">
      <c r="A22" s="550">
        <v>7</v>
      </c>
      <c r="B22" s="539" t="s">
        <v>737</v>
      </c>
      <c r="C22" s="591">
        <f>'2. SOFP'!E22</f>
        <v>155990061.36397022</v>
      </c>
      <c r="D22" s="607">
        <v>0</v>
      </c>
    </row>
    <row r="23" spans="1:4" ht="21">
      <c r="A23" s="550"/>
      <c r="B23" s="539" t="s">
        <v>995</v>
      </c>
      <c r="C23" s="591">
        <f>'9. Capital'!C22</f>
        <v>9537976.6839702465</v>
      </c>
      <c r="D23" s="607" t="s">
        <v>987</v>
      </c>
    </row>
    <row r="24" spans="1:4">
      <c r="A24" s="550"/>
      <c r="B24" s="539"/>
      <c r="C24" s="591"/>
      <c r="D24" s="607"/>
    </row>
    <row r="25" spans="1:4">
      <c r="A25" s="550">
        <v>8</v>
      </c>
      <c r="B25" s="539" t="s">
        <v>738</v>
      </c>
      <c r="C25" s="591">
        <f>'2. SOFP'!E23</f>
        <v>25741797.130000003</v>
      </c>
      <c r="D25" s="607"/>
    </row>
    <row r="26" spans="1:4">
      <c r="A26" s="550">
        <v>9</v>
      </c>
      <c r="B26" s="536" t="s">
        <v>739</v>
      </c>
      <c r="C26" s="589">
        <f>SUM(C27:C28)</f>
        <v>624726290.04999995</v>
      </c>
      <c r="D26" s="607"/>
    </row>
    <row r="27" spans="1:4">
      <c r="A27" s="550">
        <v>9.1</v>
      </c>
      <c r="B27" s="540" t="s">
        <v>740</v>
      </c>
      <c r="C27" s="592">
        <f>'2. SOFP'!E25</f>
        <v>508860560.18000001</v>
      </c>
      <c r="D27" s="607"/>
    </row>
    <row r="28" spans="1:4">
      <c r="A28" s="550">
        <v>9.1999999999999993</v>
      </c>
      <c r="B28" s="540" t="s">
        <v>741</v>
      </c>
      <c r="C28" s="592">
        <f>'2. SOFP'!E26</f>
        <v>115865729.87</v>
      </c>
      <c r="D28" s="607"/>
    </row>
    <row r="29" spans="1:4">
      <c r="A29" s="550">
        <v>10</v>
      </c>
      <c r="B29" s="536" t="s">
        <v>36</v>
      </c>
      <c r="C29" s="589">
        <f>SUM(C30:C31)</f>
        <v>166555746.55000001</v>
      </c>
      <c r="D29" s="607"/>
    </row>
    <row r="30" spans="1:4">
      <c r="A30" s="550">
        <v>10.1</v>
      </c>
      <c r="B30" s="540" t="s">
        <v>742</v>
      </c>
      <c r="C30" s="592">
        <f>'2. SOFP'!E28</f>
        <v>33331342.84</v>
      </c>
      <c r="D30" s="607" t="s">
        <v>993</v>
      </c>
    </row>
    <row r="31" spans="1:4">
      <c r="A31" s="550">
        <v>10.199999999999999</v>
      </c>
      <c r="B31" s="540" t="s">
        <v>743</v>
      </c>
      <c r="C31" s="592">
        <f>'2. SOFP'!E29</f>
        <v>133224403.71000001</v>
      </c>
      <c r="D31" s="607" t="s">
        <v>993</v>
      </c>
    </row>
    <row r="32" spans="1:4">
      <c r="A32" s="550">
        <v>11</v>
      </c>
      <c r="B32" s="536" t="s">
        <v>744</v>
      </c>
      <c r="C32" s="589">
        <f>SUM(C33:C34)</f>
        <v>0</v>
      </c>
      <c r="D32" s="607"/>
    </row>
    <row r="33" spans="1:4">
      <c r="A33" s="550">
        <v>11.1</v>
      </c>
      <c r="B33" s="540" t="s">
        <v>745</v>
      </c>
      <c r="C33" s="592">
        <f>'2. SOFP'!E31</f>
        <v>0</v>
      </c>
      <c r="D33" s="607"/>
    </row>
    <row r="34" spans="1:4">
      <c r="A34" s="550">
        <v>11.2</v>
      </c>
      <c r="B34" s="540" t="s">
        <v>746</v>
      </c>
      <c r="C34" s="592">
        <f>'2. SOFP'!E32</f>
        <v>0</v>
      </c>
      <c r="D34" s="607"/>
    </row>
    <row r="35" spans="1:4">
      <c r="A35" s="550">
        <v>13</v>
      </c>
      <c r="B35" s="536" t="s">
        <v>99</v>
      </c>
      <c r="C35" s="592">
        <f>'2. SOFP'!E33</f>
        <v>556103147.76054704</v>
      </c>
      <c r="D35" s="607"/>
    </row>
    <row r="36" spans="1:4">
      <c r="A36" s="550">
        <v>13.1</v>
      </c>
      <c r="B36" s="541" t="s">
        <v>747</v>
      </c>
      <c r="C36" s="593">
        <f>'2. SOFP'!E34</f>
        <v>268963985.89999998</v>
      </c>
      <c r="D36" s="607"/>
    </row>
    <row r="37" spans="1:4">
      <c r="A37" s="550">
        <v>13.2</v>
      </c>
      <c r="B37" s="541" t="s">
        <v>748</v>
      </c>
      <c r="C37" s="593">
        <f>'2. SOFP'!E35</f>
        <v>0</v>
      </c>
      <c r="D37" s="607"/>
    </row>
    <row r="38" spans="1:4">
      <c r="A38" s="550">
        <v>14</v>
      </c>
      <c r="B38" s="542" t="s">
        <v>749</v>
      </c>
      <c r="C38" s="594">
        <f>SUM(C6,C10,C12,C13,C14,C19,C22,C25,C26,C29,C32,C35)</f>
        <v>30256638611.269417</v>
      </c>
      <c r="D38" s="607"/>
    </row>
    <row r="39" spans="1:4">
      <c r="A39" s="550"/>
      <c r="B39" s="543" t="s">
        <v>104</v>
      </c>
      <c r="C39" s="595"/>
      <c r="D39" s="607"/>
    </row>
    <row r="40" spans="1:4">
      <c r="A40" s="550">
        <v>15</v>
      </c>
      <c r="B40" s="539" t="s">
        <v>750</v>
      </c>
      <c r="C40" s="587">
        <f>'2. SOFP'!E38</f>
        <v>25779476.989999998</v>
      </c>
      <c r="D40" s="607"/>
    </row>
    <row r="41" spans="1:4">
      <c r="A41" s="550">
        <v>15.1</v>
      </c>
      <c r="B41" s="534" t="s">
        <v>730</v>
      </c>
      <c r="C41" s="587">
        <f>'2. SOFP'!E39</f>
        <v>25779476.989999998</v>
      </c>
      <c r="D41" s="607"/>
    </row>
    <row r="42" spans="1:4" ht="21">
      <c r="A42" s="550">
        <v>16</v>
      </c>
      <c r="B42" s="539" t="s">
        <v>751</v>
      </c>
      <c r="C42" s="591"/>
      <c r="D42" s="607"/>
    </row>
    <row r="43" spans="1:4">
      <c r="A43" s="550">
        <v>17</v>
      </c>
      <c r="B43" s="539" t="s">
        <v>752</v>
      </c>
      <c r="C43" s="591">
        <f>SUM(C44:C47)</f>
        <v>24324435947.351501</v>
      </c>
      <c r="D43" s="607"/>
    </row>
    <row r="44" spans="1:4">
      <c r="A44" s="550">
        <v>17.100000000000001</v>
      </c>
      <c r="B44" s="544" t="s">
        <v>753</v>
      </c>
      <c r="C44" s="596">
        <f>'2. SOFP'!E42</f>
        <v>20288568365.251499</v>
      </c>
      <c r="D44" s="607"/>
    </row>
    <row r="45" spans="1:4">
      <c r="A45" s="550">
        <v>17.2</v>
      </c>
      <c r="B45" s="532" t="s">
        <v>100</v>
      </c>
      <c r="C45" s="586">
        <f>'2. SOFP'!E43</f>
        <v>3847243930.7000003</v>
      </c>
      <c r="D45" s="607"/>
    </row>
    <row r="46" spans="1:4">
      <c r="A46" s="550">
        <v>17.3</v>
      </c>
      <c r="B46" s="544" t="s">
        <v>754</v>
      </c>
      <c r="C46" s="596">
        <f>'2. SOFP'!E44</f>
        <v>64278509.199999996</v>
      </c>
      <c r="D46" s="607"/>
    </row>
    <row r="47" spans="1:4">
      <c r="A47" s="550">
        <v>17.399999999999999</v>
      </c>
      <c r="B47" s="544" t="s">
        <v>755</v>
      </c>
      <c r="C47" s="596">
        <f>'2. SOFP'!E45</f>
        <v>124345142.19999999</v>
      </c>
      <c r="D47" s="607"/>
    </row>
    <row r="48" spans="1:4">
      <c r="A48" s="550">
        <v>18</v>
      </c>
      <c r="B48" s="545" t="s">
        <v>756</v>
      </c>
      <c r="C48" s="597">
        <f>'2. SOFP'!E46</f>
        <v>4924831.5112999994</v>
      </c>
      <c r="D48" s="607"/>
    </row>
    <row r="49" spans="1:4">
      <c r="A49" s="550">
        <v>19</v>
      </c>
      <c r="B49" s="545" t="s">
        <v>757</v>
      </c>
      <c r="C49" s="597">
        <f>SUM(C50:C51)</f>
        <v>194924020.2916472</v>
      </c>
      <c r="D49" s="607"/>
    </row>
    <row r="50" spans="1:4">
      <c r="A50" s="550">
        <v>19.100000000000001</v>
      </c>
      <c r="B50" s="546" t="s">
        <v>758</v>
      </c>
      <c r="C50" s="598">
        <f>'2. SOFP'!E48</f>
        <v>183930978.08164719</v>
      </c>
      <c r="D50" s="607"/>
    </row>
    <row r="51" spans="1:4">
      <c r="A51" s="550">
        <v>19.2</v>
      </c>
      <c r="B51" s="546" t="s">
        <v>759</v>
      </c>
      <c r="C51" s="598">
        <f>'2. SOFP'!E49</f>
        <v>10993042.210000001</v>
      </c>
      <c r="D51" s="607"/>
    </row>
    <row r="52" spans="1:4">
      <c r="A52" s="550">
        <v>20</v>
      </c>
      <c r="B52" s="542" t="s">
        <v>101</v>
      </c>
      <c r="C52" s="598">
        <f>'2. SOFP'!E50</f>
        <v>1048316321.1799998</v>
      </c>
      <c r="D52" s="607"/>
    </row>
    <row r="53" spans="1:4" ht="21">
      <c r="A53" s="550"/>
      <c r="B53" s="542" t="str">
        <f>'9. Capital'!B35</f>
        <v>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v>
      </c>
      <c r="C53" s="598">
        <f>'9. Capital'!C35</f>
        <v>403410000</v>
      </c>
      <c r="D53" s="607" t="s">
        <v>996</v>
      </c>
    </row>
    <row r="54" spans="1:4">
      <c r="A54" s="550"/>
      <c r="B54" s="542" t="str">
        <f>'9. Capital'!B45</f>
        <v>ინსტრუმენტები, რომლებიც აკმაყოფილებენ მეორადი კაპიტალის კრიტერიუმებს</v>
      </c>
      <c r="C54" s="598">
        <f>'9. Capital'!C45</f>
        <v>499018170</v>
      </c>
      <c r="D54" s="607" t="s">
        <v>997</v>
      </c>
    </row>
    <row r="55" spans="1:4">
      <c r="A55" s="550">
        <v>21</v>
      </c>
      <c r="B55" s="533" t="s">
        <v>89</v>
      </c>
      <c r="C55" s="598">
        <f>'2. SOFP'!E51</f>
        <v>234719988.38430691</v>
      </c>
      <c r="D55" s="607"/>
    </row>
    <row r="56" spans="1:4">
      <c r="A56" s="550">
        <v>21.1</v>
      </c>
      <c r="B56" s="532" t="s">
        <v>760</v>
      </c>
      <c r="C56" s="598">
        <f>'2. SOFP'!E52</f>
        <v>3522030.53</v>
      </c>
      <c r="D56" s="607"/>
    </row>
    <row r="57" spans="1:4">
      <c r="A57" s="550">
        <v>22</v>
      </c>
      <c r="B57" s="542" t="s">
        <v>761</v>
      </c>
      <c r="C57" s="594">
        <f>SUM(C40,C42,C43,C48,C49,C52,C55)</f>
        <v>25833100585.708759</v>
      </c>
      <c r="D57" s="607"/>
    </row>
    <row r="58" spans="1:4">
      <c r="A58" s="550"/>
      <c r="B58" s="543" t="s">
        <v>762</v>
      </c>
      <c r="C58" s="595"/>
      <c r="D58" s="607"/>
    </row>
    <row r="59" spans="1:4">
      <c r="A59" s="550">
        <v>23</v>
      </c>
      <c r="B59" s="542" t="s">
        <v>105</v>
      </c>
      <c r="C59" s="594">
        <f>'2. SOFP'!E55</f>
        <v>27993660.18</v>
      </c>
      <c r="D59" s="607" t="s">
        <v>998</v>
      </c>
    </row>
    <row r="60" spans="1:4">
      <c r="A60" s="550">
        <v>24</v>
      </c>
      <c r="B60" s="542" t="s">
        <v>763</v>
      </c>
      <c r="C60" s="594">
        <f>'2. SOFP'!E56</f>
        <v>0</v>
      </c>
      <c r="D60" s="607"/>
    </row>
    <row r="61" spans="1:4">
      <c r="A61" s="550">
        <v>25</v>
      </c>
      <c r="B61" s="547" t="s">
        <v>102</v>
      </c>
      <c r="C61" s="599">
        <f>'2. SOFP'!E57</f>
        <v>252311118.03999999</v>
      </c>
      <c r="D61" s="607" t="s">
        <v>1000</v>
      </c>
    </row>
    <row r="62" spans="1:4">
      <c r="A62" s="550">
        <v>26</v>
      </c>
      <c r="B62" s="545" t="s">
        <v>764</v>
      </c>
      <c r="C62" s="597">
        <f>'2. SOFP'!E58</f>
        <v>-11366</v>
      </c>
      <c r="D62" s="607" t="s">
        <v>999</v>
      </c>
    </row>
    <row r="63" spans="1:4">
      <c r="A63" s="550">
        <v>27</v>
      </c>
      <c r="B63" s="545" t="s">
        <v>765</v>
      </c>
      <c r="C63" s="597">
        <f>'2. SOFP'!E59</f>
        <v>0</v>
      </c>
      <c r="D63" s="607"/>
    </row>
    <row r="64" spans="1:4">
      <c r="A64" s="550">
        <v>27.1</v>
      </c>
      <c r="B64" s="548" t="s">
        <v>766</v>
      </c>
      <c r="C64" s="597">
        <f>'2. SOFP'!E60</f>
        <v>0</v>
      </c>
      <c r="D64" s="607"/>
    </row>
    <row r="65" spans="1:4">
      <c r="A65" s="550">
        <v>27.2</v>
      </c>
      <c r="B65" s="544" t="s">
        <v>767</v>
      </c>
      <c r="C65" s="597">
        <f>'2. SOFP'!E61</f>
        <v>0</v>
      </c>
      <c r="D65" s="607"/>
    </row>
    <row r="66" spans="1:4">
      <c r="A66" s="550">
        <v>28</v>
      </c>
      <c r="B66" s="533" t="s">
        <v>768</v>
      </c>
      <c r="C66" s="597">
        <f>'2. SOFP'!E62</f>
        <v>-101524217.41372287</v>
      </c>
      <c r="D66" s="607"/>
    </row>
    <row r="67" spans="1:4">
      <c r="A67" s="550">
        <v>29</v>
      </c>
      <c r="B67" s="545" t="s">
        <v>769</v>
      </c>
      <c r="C67" s="597">
        <f>SUM(C68:C70)</f>
        <v>34891060.719999999</v>
      </c>
      <c r="D67" s="608"/>
    </row>
    <row r="68" spans="1:4">
      <c r="A68" s="550">
        <v>29.1</v>
      </c>
      <c r="B68" s="538" t="s">
        <v>770</v>
      </c>
      <c r="C68" s="590">
        <f>'2. SOFP'!E64</f>
        <v>2358668.17</v>
      </c>
      <c r="D68" s="607" t="s">
        <v>1002</v>
      </c>
    </row>
    <row r="69" spans="1:4" ht="21">
      <c r="A69" s="550">
        <v>29.2</v>
      </c>
      <c r="B69" s="548" t="s">
        <v>771</v>
      </c>
      <c r="C69" s="600">
        <f>'2. SOFP'!E65</f>
        <v>2440506.41</v>
      </c>
      <c r="D69" s="607" t="s">
        <v>1002</v>
      </c>
    </row>
    <row r="70" spans="1:4" ht="21">
      <c r="A70" s="550">
        <v>29.3</v>
      </c>
      <c r="B70" s="540" t="s">
        <v>772</v>
      </c>
      <c r="C70" s="592">
        <f>'2. SOFP'!E66</f>
        <v>30091886.140000001</v>
      </c>
      <c r="D70" s="607" t="s">
        <v>1002</v>
      </c>
    </row>
    <row r="71" spans="1:4">
      <c r="A71" s="550">
        <v>30</v>
      </c>
      <c r="B71" s="536" t="s">
        <v>103</v>
      </c>
      <c r="C71" s="589">
        <f>'2. SOFP'!E67</f>
        <v>4209877770.0164165</v>
      </c>
      <c r="D71" s="564" t="s">
        <v>1001</v>
      </c>
    </row>
    <row r="72" spans="1:4">
      <c r="A72" s="550">
        <v>31</v>
      </c>
      <c r="B72" s="549" t="s">
        <v>773</v>
      </c>
      <c r="C72" s="601">
        <f>SUM(C59,C60,C61,C62,C63,C66,C67,C71)</f>
        <v>4423538025.5426941</v>
      </c>
      <c r="D72" s="608"/>
    </row>
    <row r="73" spans="1:4" ht="16.5" thickBot="1">
      <c r="A73" s="551">
        <v>32</v>
      </c>
      <c r="B73" s="552" t="s">
        <v>774</v>
      </c>
      <c r="C73" s="609">
        <f>SUM(C57,C72)</f>
        <v>30256638611.251453</v>
      </c>
      <c r="D73" s="610"/>
    </row>
    <row r="75" spans="1:4">
      <c r="C75" s="582">
        <f>C73-'2. SOFP'!E36</f>
        <v>-1.79595947265625E-2</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5"/>
  <sheetViews>
    <sheetView zoomScaleNormal="100" workbookViewId="0">
      <pane xSplit="2" ySplit="7" topLeftCell="C8" activePane="bottomRight" state="frozen"/>
      <selection pane="topRight"/>
      <selection pane="bottomLeft"/>
      <selection pane="bottomRight" activeCell="C8" sqref="C8"/>
    </sheetView>
  </sheetViews>
  <sheetFormatPr defaultColWidth="9.140625" defaultRowHeight="12.75"/>
  <cols>
    <col min="1" max="1" width="10.5703125" style="2" bestFit="1" customWidth="1"/>
    <col min="2" max="2" width="97" style="2" bestFit="1" customWidth="1"/>
    <col min="3" max="3" width="16.42578125" style="2" customWidth="1"/>
    <col min="4" max="4" width="13.28515625" style="2" bestFit="1" customWidth="1"/>
    <col min="5" max="5" width="15.42578125" style="2" customWidth="1"/>
    <col min="6" max="6" width="13.28515625" style="2" bestFit="1" customWidth="1"/>
    <col min="7" max="7" width="17.7109375" style="2" customWidth="1"/>
    <col min="8" max="8" width="13.28515625" style="2" bestFit="1" customWidth="1"/>
    <col min="9" max="9" width="13.140625" style="2" customWidth="1"/>
    <col min="10" max="10" width="13.28515625" style="2" bestFit="1" customWidth="1"/>
    <col min="11" max="11" width="18.85546875" style="2" customWidth="1"/>
    <col min="12" max="12" width="13.28515625" style="2" bestFit="1" customWidth="1"/>
    <col min="13" max="13" width="12.7109375" style="2" bestFit="1" customWidth="1"/>
    <col min="14" max="14" width="13.28515625" style="2" bestFit="1" customWidth="1"/>
    <col min="15" max="15" width="14.85546875" style="2" customWidth="1"/>
    <col min="16" max="16" width="13.28515625" style="2" bestFit="1" customWidth="1"/>
    <col min="17" max="17" width="14.140625" style="2" customWidth="1"/>
    <col min="18" max="18" width="13.28515625" style="2" bestFit="1" customWidth="1"/>
    <col min="19" max="19" width="31.5703125" style="2" bestFit="1" customWidth="1"/>
    <col min="20" max="16384" width="9.140625" style="9"/>
  </cols>
  <sheetData>
    <row r="1" spans="1:19">
      <c r="A1" s="2" t="s">
        <v>108</v>
      </c>
      <c r="B1" s="186" t="str">
        <f>Info!C2</f>
        <v>სს ”საქართველოს ბანკი”</v>
      </c>
    </row>
    <row r="2" spans="1:19">
      <c r="A2" s="2" t="s">
        <v>109</v>
      </c>
      <c r="B2" s="271">
        <f>'1. key ratios'!B2</f>
        <v>45291</v>
      </c>
    </row>
    <row r="4" spans="1:19" ht="26.25" thickBot="1">
      <c r="A4" s="28" t="s">
        <v>258</v>
      </c>
      <c r="B4" s="160" t="s">
        <v>293</v>
      </c>
      <c r="E4" s="2">
        <v>0</v>
      </c>
    </row>
    <row r="5" spans="1:19">
      <c r="A5" s="62"/>
      <c r="B5" s="64"/>
      <c r="C5" s="57" t="s">
        <v>0</v>
      </c>
      <c r="D5" s="57" t="s">
        <v>1</v>
      </c>
      <c r="E5" s="57" t="s">
        <v>2</v>
      </c>
      <c r="F5" s="57" t="s">
        <v>3</v>
      </c>
      <c r="G5" s="57" t="s">
        <v>4</v>
      </c>
      <c r="H5" s="57" t="s">
        <v>5</v>
      </c>
      <c r="I5" s="57" t="s">
        <v>145</v>
      </c>
      <c r="J5" s="57" t="s">
        <v>146</v>
      </c>
      <c r="K5" s="57" t="s">
        <v>147</v>
      </c>
      <c r="L5" s="57" t="s">
        <v>148</v>
      </c>
      <c r="M5" s="57" t="s">
        <v>149</v>
      </c>
      <c r="N5" s="57" t="s">
        <v>150</v>
      </c>
      <c r="O5" s="57" t="s">
        <v>280</v>
      </c>
      <c r="P5" s="57" t="s">
        <v>281</v>
      </c>
      <c r="Q5" s="57" t="s">
        <v>282</v>
      </c>
      <c r="R5" s="152" t="s">
        <v>283</v>
      </c>
      <c r="S5" s="58" t="s">
        <v>284</v>
      </c>
    </row>
    <row r="6" spans="1:19" ht="46.5" customHeight="1">
      <c r="A6" s="68"/>
      <c r="B6" s="838" t="s">
        <v>285</v>
      </c>
      <c r="C6" s="836">
        <v>0</v>
      </c>
      <c r="D6" s="837"/>
      <c r="E6" s="836">
        <v>0.2</v>
      </c>
      <c r="F6" s="837"/>
      <c r="G6" s="836">
        <v>0.35</v>
      </c>
      <c r="H6" s="837"/>
      <c r="I6" s="836">
        <v>0.5</v>
      </c>
      <c r="J6" s="837"/>
      <c r="K6" s="836">
        <v>0.75</v>
      </c>
      <c r="L6" s="837"/>
      <c r="M6" s="836">
        <v>1</v>
      </c>
      <c r="N6" s="837"/>
      <c r="O6" s="836">
        <v>1.5</v>
      </c>
      <c r="P6" s="837"/>
      <c r="Q6" s="836">
        <v>2.5</v>
      </c>
      <c r="R6" s="837"/>
      <c r="S6" s="834" t="s">
        <v>156</v>
      </c>
    </row>
    <row r="7" spans="1:19">
      <c r="A7" s="68"/>
      <c r="B7" s="839"/>
      <c r="C7" s="159" t="s">
        <v>278</v>
      </c>
      <c r="D7" s="159" t="s">
        <v>279</v>
      </c>
      <c r="E7" s="159" t="s">
        <v>278</v>
      </c>
      <c r="F7" s="159" t="s">
        <v>279</v>
      </c>
      <c r="G7" s="159" t="s">
        <v>278</v>
      </c>
      <c r="H7" s="159" t="s">
        <v>279</v>
      </c>
      <c r="I7" s="159" t="s">
        <v>278</v>
      </c>
      <c r="J7" s="159" t="s">
        <v>279</v>
      </c>
      <c r="K7" s="159" t="s">
        <v>278</v>
      </c>
      <c r="L7" s="159" t="s">
        <v>279</v>
      </c>
      <c r="M7" s="159" t="s">
        <v>278</v>
      </c>
      <c r="N7" s="159" t="s">
        <v>279</v>
      </c>
      <c r="O7" s="159" t="s">
        <v>278</v>
      </c>
      <c r="P7" s="159" t="s">
        <v>279</v>
      </c>
      <c r="Q7" s="159" t="s">
        <v>278</v>
      </c>
      <c r="R7" s="159" t="s">
        <v>279</v>
      </c>
      <c r="S7" s="835"/>
    </row>
    <row r="8" spans="1:19" s="71" customFormat="1">
      <c r="A8" s="61">
        <v>1</v>
      </c>
      <c r="B8" s="89" t="s">
        <v>134</v>
      </c>
      <c r="C8" s="511">
        <v>4261427982.4646997</v>
      </c>
      <c r="D8" s="511"/>
      <c r="E8" s="511">
        <v>0</v>
      </c>
      <c r="F8" s="512"/>
      <c r="G8" s="511"/>
      <c r="H8" s="511"/>
      <c r="I8" s="511">
        <v>0</v>
      </c>
      <c r="J8" s="511"/>
      <c r="K8" s="511">
        <v>0.35</v>
      </c>
      <c r="L8" s="511"/>
      <c r="M8" s="511">
        <v>1735329832.5999999</v>
      </c>
      <c r="N8" s="511"/>
      <c r="O8" s="511">
        <v>0</v>
      </c>
      <c r="P8" s="511"/>
      <c r="Q8" s="511">
        <v>0</v>
      </c>
      <c r="R8" s="512"/>
      <c r="S8" s="788">
        <f>$C$6*SUM(C8:D8)+$E$6*SUM(E8:F8)+$G$6*SUM(G8:H8)+$I$6*SUM(I8:J8)+$K$6*SUM(K8:L8)+$M$6*SUM(M8:N8)+$O$6*SUM(O8:P8)+$Q$6*SUM(Q8:R8)</f>
        <v>1735329832.8625</v>
      </c>
    </row>
    <row r="9" spans="1:19" s="71" customFormat="1">
      <c r="A9" s="61">
        <v>2</v>
      </c>
      <c r="B9" s="89" t="s">
        <v>135</v>
      </c>
      <c r="C9" s="511">
        <v>0</v>
      </c>
      <c r="D9" s="511"/>
      <c r="E9" s="511">
        <v>0</v>
      </c>
      <c r="F9" s="511"/>
      <c r="G9" s="511"/>
      <c r="H9" s="511"/>
      <c r="I9" s="511">
        <v>0</v>
      </c>
      <c r="J9" s="511"/>
      <c r="K9" s="511">
        <v>0</v>
      </c>
      <c r="L9" s="511"/>
      <c r="M9" s="511">
        <v>0</v>
      </c>
      <c r="N9" s="511"/>
      <c r="O9" s="511">
        <v>0</v>
      </c>
      <c r="P9" s="511"/>
      <c r="Q9" s="511">
        <v>0</v>
      </c>
      <c r="R9" s="512"/>
      <c r="S9" s="788">
        <f t="shared" ref="S9:S21" si="0">$C$6*SUM(C9:D9)+$E$6*SUM(E9:F9)+$G$6*SUM(G9:H9)+$I$6*SUM(I9:J9)+$K$6*SUM(K9:L9)+$M$6*SUM(M9:N9)+$O$6*SUM(O9:P9)+$Q$6*SUM(Q9:R9)</f>
        <v>0</v>
      </c>
    </row>
    <row r="10" spans="1:19" s="71" customFormat="1">
      <c r="A10" s="61">
        <v>3</v>
      </c>
      <c r="B10" s="89" t="s">
        <v>136</v>
      </c>
      <c r="C10" s="511">
        <v>0</v>
      </c>
      <c r="D10" s="511"/>
      <c r="E10" s="511">
        <v>0</v>
      </c>
      <c r="F10" s="511"/>
      <c r="G10" s="511"/>
      <c r="H10" s="511"/>
      <c r="I10" s="511">
        <v>0</v>
      </c>
      <c r="J10" s="511"/>
      <c r="K10" s="511">
        <v>0</v>
      </c>
      <c r="L10" s="511"/>
      <c r="M10" s="511">
        <v>0</v>
      </c>
      <c r="N10" s="511"/>
      <c r="O10" s="511">
        <v>0</v>
      </c>
      <c r="P10" s="511"/>
      <c r="Q10" s="511">
        <v>0</v>
      </c>
      <c r="R10" s="512"/>
      <c r="S10" s="788">
        <f t="shared" si="0"/>
        <v>0</v>
      </c>
    </row>
    <row r="11" spans="1:19" s="71" customFormat="1">
      <c r="A11" s="61">
        <v>4</v>
      </c>
      <c r="B11" s="89" t="s">
        <v>137</v>
      </c>
      <c r="C11" s="511">
        <v>992021361.25</v>
      </c>
      <c r="D11" s="511"/>
      <c r="E11" s="511">
        <v>0</v>
      </c>
      <c r="F11" s="511"/>
      <c r="G11" s="511"/>
      <c r="H11" s="511"/>
      <c r="I11" s="511">
        <v>0</v>
      </c>
      <c r="J11" s="511"/>
      <c r="K11" s="511">
        <v>0</v>
      </c>
      <c r="L11" s="511"/>
      <c r="M11" s="511">
        <v>0</v>
      </c>
      <c r="N11" s="511"/>
      <c r="O11" s="511">
        <v>0</v>
      </c>
      <c r="P11" s="511"/>
      <c r="Q11" s="511">
        <v>0</v>
      </c>
      <c r="R11" s="512"/>
      <c r="S11" s="788">
        <f t="shared" si="0"/>
        <v>0</v>
      </c>
    </row>
    <row r="12" spans="1:19" s="71" customFormat="1">
      <c r="A12" s="61">
        <v>5</v>
      </c>
      <c r="B12" s="89" t="s">
        <v>945</v>
      </c>
      <c r="C12" s="511">
        <v>0</v>
      </c>
      <c r="D12" s="511"/>
      <c r="E12" s="511">
        <v>0</v>
      </c>
      <c r="F12" s="511"/>
      <c r="G12" s="511"/>
      <c r="H12" s="511"/>
      <c r="I12" s="511">
        <v>0</v>
      </c>
      <c r="J12" s="511"/>
      <c r="K12" s="511">
        <v>0</v>
      </c>
      <c r="L12" s="511"/>
      <c r="M12" s="511">
        <v>0</v>
      </c>
      <c r="N12" s="511"/>
      <c r="O12" s="511">
        <v>0</v>
      </c>
      <c r="P12" s="511"/>
      <c r="Q12" s="511">
        <v>0</v>
      </c>
      <c r="R12" s="512"/>
      <c r="S12" s="788">
        <f t="shared" si="0"/>
        <v>0</v>
      </c>
    </row>
    <row r="13" spans="1:19" s="71" customFormat="1">
      <c r="A13" s="61">
        <v>6</v>
      </c>
      <c r="B13" s="89" t="s">
        <v>138</v>
      </c>
      <c r="C13" s="511">
        <v>0</v>
      </c>
      <c r="D13" s="511"/>
      <c r="E13" s="511">
        <v>1153219128.9536002</v>
      </c>
      <c r="F13" s="511"/>
      <c r="G13" s="511">
        <v>0</v>
      </c>
      <c r="H13" s="511"/>
      <c r="I13" s="511">
        <v>4352950.5274999999</v>
      </c>
      <c r="J13" s="511"/>
      <c r="K13" s="511">
        <v>0</v>
      </c>
      <c r="L13" s="511"/>
      <c r="M13" s="511">
        <v>54227187.939000003</v>
      </c>
      <c r="N13" s="511"/>
      <c r="O13" s="511">
        <v>0</v>
      </c>
      <c r="P13" s="511"/>
      <c r="Q13" s="511">
        <v>0</v>
      </c>
      <c r="R13" s="512"/>
      <c r="S13" s="788">
        <f t="shared" si="0"/>
        <v>287047488.99347001</v>
      </c>
    </row>
    <row r="14" spans="1:19" s="71" customFormat="1">
      <c r="A14" s="61">
        <v>7</v>
      </c>
      <c r="B14" s="89" t="s">
        <v>71</v>
      </c>
      <c r="C14" s="511"/>
      <c r="D14" s="511"/>
      <c r="E14" s="511">
        <v>0</v>
      </c>
      <c r="F14" s="511"/>
      <c r="G14" s="511">
        <v>0</v>
      </c>
      <c r="H14" s="511"/>
      <c r="I14" s="511">
        <v>0</v>
      </c>
      <c r="J14" s="511"/>
      <c r="K14" s="511">
        <v>0</v>
      </c>
      <c r="L14" s="511"/>
      <c r="M14" s="511">
        <v>7981810379.4113998</v>
      </c>
      <c r="N14" s="511">
        <v>1072057309.071703</v>
      </c>
      <c r="O14" s="511">
        <v>0</v>
      </c>
      <c r="P14" s="511"/>
      <c r="Q14" s="511">
        <v>0</v>
      </c>
      <c r="R14" s="512"/>
      <c r="S14" s="788">
        <f t="shared" si="0"/>
        <v>9053867688.4831028</v>
      </c>
    </row>
    <row r="15" spans="1:19" s="71" customFormat="1">
      <c r="A15" s="61">
        <v>8</v>
      </c>
      <c r="B15" s="89" t="s">
        <v>72</v>
      </c>
      <c r="C15" s="511"/>
      <c r="D15" s="511"/>
      <c r="E15" s="511"/>
      <c r="F15" s="511"/>
      <c r="G15" s="511">
        <v>0</v>
      </c>
      <c r="H15" s="511"/>
      <c r="I15" s="511">
        <v>0</v>
      </c>
      <c r="J15" s="511"/>
      <c r="K15" s="511">
        <v>7018697850.1688004</v>
      </c>
      <c r="L15" s="511">
        <v>117206293.78415</v>
      </c>
      <c r="M15" s="511">
        <v>0</v>
      </c>
      <c r="N15" s="511">
        <v>0</v>
      </c>
      <c r="O15" s="511"/>
      <c r="P15" s="511"/>
      <c r="Q15" s="511">
        <v>0</v>
      </c>
      <c r="R15" s="512"/>
      <c r="S15" s="788">
        <f t="shared" si="0"/>
        <v>5351928107.9647131</v>
      </c>
    </row>
    <row r="16" spans="1:19" s="71" customFormat="1">
      <c r="A16" s="61">
        <v>9</v>
      </c>
      <c r="B16" s="89" t="s">
        <v>946</v>
      </c>
      <c r="C16" s="511"/>
      <c r="D16" s="511"/>
      <c r="E16" s="511"/>
      <c r="F16" s="511"/>
      <c r="G16" s="511">
        <v>4256285653.1451001</v>
      </c>
      <c r="H16" s="511"/>
      <c r="I16" s="511">
        <v>0</v>
      </c>
      <c r="J16" s="511"/>
      <c r="K16" s="511">
        <v>0</v>
      </c>
      <c r="L16" s="511"/>
      <c r="M16" s="511">
        <v>0</v>
      </c>
      <c r="N16" s="511"/>
      <c r="O16" s="511">
        <v>0</v>
      </c>
      <c r="P16" s="511"/>
      <c r="Q16" s="511">
        <v>0</v>
      </c>
      <c r="R16" s="512"/>
      <c r="S16" s="788">
        <f t="shared" si="0"/>
        <v>1489699978.600785</v>
      </c>
    </row>
    <row r="17" spans="1:19" s="71" customFormat="1">
      <c r="A17" s="61">
        <v>10</v>
      </c>
      <c r="B17" s="89" t="s">
        <v>67</v>
      </c>
      <c r="C17" s="511"/>
      <c r="D17" s="511"/>
      <c r="E17" s="511"/>
      <c r="F17" s="511"/>
      <c r="G17" s="511">
        <v>0</v>
      </c>
      <c r="H17" s="511"/>
      <c r="I17" s="511">
        <v>8096322.3036000002</v>
      </c>
      <c r="J17" s="511"/>
      <c r="K17" s="511">
        <v>0</v>
      </c>
      <c r="L17" s="511"/>
      <c r="M17" s="511">
        <v>95255457.049999997</v>
      </c>
      <c r="N17" s="511"/>
      <c r="O17" s="511">
        <v>52030173.850900002</v>
      </c>
      <c r="P17" s="511"/>
      <c r="Q17" s="511">
        <v>0</v>
      </c>
      <c r="R17" s="512"/>
      <c r="S17" s="788">
        <f t="shared" si="0"/>
        <v>177348878.97815001</v>
      </c>
    </row>
    <row r="18" spans="1:19" s="71" customFormat="1">
      <c r="A18" s="61">
        <v>11</v>
      </c>
      <c r="B18" s="89" t="s">
        <v>68</v>
      </c>
      <c r="C18" s="511"/>
      <c r="D18" s="511"/>
      <c r="E18" s="511"/>
      <c r="F18" s="511"/>
      <c r="G18" s="511">
        <v>0</v>
      </c>
      <c r="H18" s="511"/>
      <c r="I18" s="511">
        <v>0</v>
      </c>
      <c r="J18" s="511"/>
      <c r="K18" s="511">
        <v>0</v>
      </c>
      <c r="L18" s="511"/>
      <c r="M18" s="511">
        <v>169567053.29859999</v>
      </c>
      <c r="N18" s="511"/>
      <c r="O18" s="511">
        <v>66199133.996699996</v>
      </c>
      <c r="P18" s="511"/>
      <c r="Q18" s="511">
        <v>43460280.850000083</v>
      </c>
      <c r="R18" s="512"/>
      <c r="S18" s="788">
        <f t="shared" si="0"/>
        <v>377516456.41865015</v>
      </c>
    </row>
    <row r="19" spans="1:19" s="71" customFormat="1">
      <c r="A19" s="61">
        <v>12</v>
      </c>
      <c r="B19" s="89" t="s">
        <v>69</v>
      </c>
      <c r="C19" s="511"/>
      <c r="D19" s="511"/>
      <c r="E19" s="511"/>
      <c r="F19" s="511"/>
      <c r="G19" s="511">
        <v>0</v>
      </c>
      <c r="H19" s="511"/>
      <c r="I19" s="511">
        <v>0</v>
      </c>
      <c r="J19" s="511"/>
      <c r="K19" s="511">
        <v>0</v>
      </c>
      <c r="L19" s="511"/>
      <c r="M19" s="511">
        <v>0</v>
      </c>
      <c r="N19" s="511"/>
      <c r="O19" s="511">
        <v>0</v>
      </c>
      <c r="P19" s="511"/>
      <c r="Q19" s="511">
        <v>0</v>
      </c>
      <c r="R19" s="512"/>
      <c r="S19" s="788">
        <f t="shared" si="0"/>
        <v>0</v>
      </c>
    </row>
    <row r="20" spans="1:19" s="71" customFormat="1">
      <c r="A20" s="61">
        <v>13</v>
      </c>
      <c r="B20" s="89" t="s">
        <v>70</v>
      </c>
      <c r="C20" s="511"/>
      <c r="D20" s="511"/>
      <c r="E20" s="511"/>
      <c r="F20" s="511"/>
      <c r="G20" s="511">
        <v>0</v>
      </c>
      <c r="H20" s="511"/>
      <c r="I20" s="511">
        <v>0</v>
      </c>
      <c r="J20" s="511"/>
      <c r="K20" s="511">
        <v>0</v>
      </c>
      <c r="L20" s="511"/>
      <c r="M20" s="511">
        <v>0</v>
      </c>
      <c r="N20" s="511"/>
      <c r="O20" s="511">
        <v>0</v>
      </c>
      <c r="P20" s="511"/>
      <c r="Q20" s="511">
        <v>0</v>
      </c>
      <c r="R20" s="512"/>
      <c r="S20" s="788">
        <f t="shared" si="0"/>
        <v>0</v>
      </c>
    </row>
    <row r="21" spans="1:19" s="71" customFormat="1">
      <c r="A21" s="61">
        <v>14</v>
      </c>
      <c r="B21" s="89" t="s">
        <v>154</v>
      </c>
      <c r="C21" s="511">
        <v>870807994.02100015</v>
      </c>
      <c r="D21" s="511"/>
      <c r="E21" s="511"/>
      <c r="F21" s="511"/>
      <c r="G21" s="511">
        <v>0</v>
      </c>
      <c r="H21" s="511"/>
      <c r="I21" s="511">
        <v>0</v>
      </c>
      <c r="J21" s="511"/>
      <c r="K21" s="511">
        <v>0</v>
      </c>
      <c r="L21" s="511"/>
      <c r="M21" s="511">
        <v>1162002447.5016453</v>
      </c>
      <c r="N21" s="511"/>
      <c r="O21" s="511">
        <v>0</v>
      </c>
      <c r="P21" s="511"/>
      <c r="Q21" s="511">
        <v>147144734.51999998</v>
      </c>
      <c r="R21" s="512"/>
      <c r="S21" s="788">
        <f t="shared" si="0"/>
        <v>1529864283.8016453</v>
      </c>
    </row>
    <row r="22" spans="1:19" ht="13.5" thickBot="1">
      <c r="A22" s="43"/>
      <c r="B22" s="73" t="s">
        <v>66</v>
      </c>
      <c r="C22" s="789">
        <f>SUM(C8:C21)</f>
        <v>6124257337.7356997</v>
      </c>
      <c r="D22" s="789">
        <f t="shared" ref="D22:R22" si="1">SUM(D8:D21)</f>
        <v>0</v>
      </c>
      <c r="E22" s="789">
        <f t="shared" si="1"/>
        <v>1153219128.9536002</v>
      </c>
      <c r="F22" s="789">
        <f t="shared" si="1"/>
        <v>0</v>
      </c>
      <c r="G22" s="789">
        <f t="shared" si="1"/>
        <v>4256285653.1451001</v>
      </c>
      <c r="H22" s="789">
        <f t="shared" si="1"/>
        <v>0</v>
      </c>
      <c r="I22" s="789">
        <f t="shared" si="1"/>
        <v>12449272.8311</v>
      </c>
      <c r="J22" s="789">
        <f t="shared" si="1"/>
        <v>0</v>
      </c>
      <c r="K22" s="789">
        <f t="shared" si="1"/>
        <v>7018697850.5188007</v>
      </c>
      <c r="L22" s="789">
        <f t="shared" si="1"/>
        <v>117206293.78415</v>
      </c>
      <c r="M22" s="789">
        <f t="shared" si="1"/>
        <v>11198192357.800644</v>
      </c>
      <c r="N22" s="789">
        <f t="shared" si="1"/>
        <v>1072057309.071703</v>
      </c>
      <c r="O22" s="789">
        <f t="shared" si="1"/>
        <v>118229307.8476</v>
      </c>
      <c r="P22" s="789">
        <f t="shared" si="1"/>
        <v>0</v>
      </c>
      <c r="Q22" s="789">
        <f t="shared" si="1"/>
        <v>190605015.37000006</v>
      </c>
      <c r="R22" s="789">
        <f t="shared" si="1"/>
        <v>0</v>
      </c>
      <c r="S22" s="790">
        <f>SUM(S8:S21)</f>
        <v>20002602716.10302</v>
      </c>
    </row>
    <row r="25" spans="1:19">
      <c r="S25" s="475">
        <f>S22-'[4]Risk Weighted Risk Exposures'!$P$48-'[4]Risk Weighted Risk Exposures'!$O$78</f>
        <v>0.26250195503234863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2" bestFit="1" customWidth="1"/>
    <col min="2" max="2" width="97"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9"/>
  </cols>
  <sheetData>
    <row r="1" spans="1:22">
      <c r="A1" s="2" t="s">
        <v>108</v>
      </c>
      <c r="B1" s="186" t="str">
        <f>Info!C2</f>
        <v>სს ”საქართველოს ბანკი”</v>
      </c>
    </row>
    <row r="2" spans="1:22">
      <c r="A2" s="2" t="s">
        <v>109</v>
      </c>
      <c r="B2" s="271">
        <f>'1. key ratios'!B2</f>
        <v>45291</v>
      </c>
      <c r="E2" s="2">
        <v>0</v>
      </c>
    </row>
    <row r="3" spans="1:22" ht="15">
      <c r="M3" s="516" t="s">
        <v>956</v>
      </c>
      <c r="N3" s="516"/>
      <c r="O3" s="516" t="s">
        <v>957</v>
      </c>
      <c r="P3" s="516"/>
      <c r="Q3" s="516"/>
      <c r="R3" s="516" t="s">
        <v>958</v>
      </c>
    </row>
    <row r="4" spans="1:22" ht="27.75" thickBot="1">
      <c r="A4" s="2" t="s">
        <v>259</v>
      </c>
      <c r="B4" s="161" t="s">
        <v>294</v>
      </c>
      <c r="V4" s="111" t="s">
        <v>87</v>
      </c>
    </row>
    <row r="5" spans="1:22">
      <c r="A5" s="41"/>
      <c r="B5" s="42"/>
      <c r="C5" s="840" t="s">
        <v>116</v>
      </c>
      <c r="D5" s="841"/>
      <c r="E5" s="841"/>
      <c r="F5" s="841"/>
      <c r="G5" s="841"/>
      <c r="H5" s="841"/>
      <c r="I5" s="841"/>
      <c r="J5" s="841"/>
      <c r="K5" s="841"/>
      <c r="L5" s="842"/>
      <c r="M5" s="840" t="s">
        <v>117</v>
      </c>
      <c r="N5" s="841"/>
      <c r="O5" s="841"/>
      <c r="P5" s="841"/>
      <c r="Q5" s="841"/>
      <c r="R5" s="841"/>
      <c r="S5" s="842"/>
      <c r="T5" s="845" t="s">
        <v>292</v>
      </c>
      <c r="U5" s="845" t="s">
        <v>291</v>
      </c>
      <c r="V5" s="843" t="s">
        <v>118</v>
      </c>
    </row>
    <row r="6" spans="1:22" s="28" customFormat="1" ht="127.5">
      <c r="A6" s="59"/>
      <c r="B6" s="90"/>
      <c r="C6" s="39" t="s">
        <v>119</v>
      </c>
      <c r="D6" s="38" t="s">
        <v>120</v>
      </c>
      <c r="E6" s="35" t="s">
        <v>121</v>
      </c>
      <c r="F6" s="162" t="s">
        <v>286</v>
      </c>
      <c r="G6" s="38" t="s">
        <v>122</v>
      </c>
      <c r="H6" s="38" t="s">
        <v>123</v>
      </c>
      <c r="I6" s="38" t="s">
        <v>124</v>
      </c>
      <c r="J6" s="38" t="s">
        <v>153</v>
      </c>
      <c r="K6" s="38" t="s">
        <v>125</v>
      </c>
      <c r="L6" s="40" t="s">
        <v>126</v>
      </c>
      <c r="M6" s="39" t="s">
        <v>127</v>
      </c>
      <c r="N6" s="38" t="s">
        <v>128</v>
      </c>
      <c r="O6" s="38" t="s">
        <v>129</v>
      </c>
      <c r="P6" s="38" t="s">
        <v>130</v>
      </c>
      <c r="Q6" s="38" t="s">
        <v>131</v>
      </c>
      <c r="R6" s="38" t="s">
        <v>132</v>
      </c>
      <c r="S6" s="40" t="s">
        <v>133</v>
      </c>
      <c r="T6" s="846"/>
      <c r="U6" s="846"/>
      <c r="V6" s="844"/>
    </row>
    <row r="7" spans="1:22" s="71" customFormat="1">
      <c r="A7" s="72">
        <v>1</v>
      </c>
      <c r="B7" s="89" t="s">
        <v>134</v>
      </c>
      <c r="C7" s="137"/>
      <c r="D7" s="514">
        <v>0</v>
      </c>
      <c r="E7" s="514"/>
      <c r="F7" s="514"/>
      <c r="G7" s="514"/>
      <c r="H7" s="514"/>
      <c r="I7" s="514"/>
      <c r="J7" s="514"/>
      <c r="K7" s="514"/>
      <c r="L7" s="514"/>
      <c r="M7" s="514">
        <v>0</v>
      </c>
      <c r="N7" s="514"/>
      <c r="O7" s="514"/>
      <c r="P7" s="514"/>
      <c r="Q7" s="514"/>
      <c r="R7" s="514">
        <v>0</v>
      </c>
      <c r="S7" s="514"/>
      <c r="T7" s="156"/>
      <c r="U7" s="155"/>
      <c r="V7" s="138">
        <f>SUM(C7:S7)</f>
        <v>0</v>
      </c>
    </row>
    <row r="8" spans="1:22" s="71" customFormat="1">
      <c r="A8" s="72">
        <v>2</v>
      </c>
      <c r="B8" s="89" t="s">
        <v>135</v>
      </c>
      <c r="C8" s="137"/>
      <c r="D8" s="514">
        <v>0</v>
      </c>
      <c r="E8" s="514"/>
      <c r="F8" s="514"/>
      <c r="G8" s="514"/>
      <c r="H8" s="514"/>
      <c r="I8" s="514"/>
      <c r="J8" s="514"/>
      <c r="K8" s="514"/>
      <c r="L8" s="514"/>
      <c r="M8" s="514"/>
      <c r="N8" s="514"/>
      <c r="O8" s="514"/>
      <c r="P8" s="514"/>
      <c r="Q8" s="514"/>
      <c r="R8" s="514">
        <v>0</v>
      </c>
      <c r="S8" s="514"/>
      <c r="T8" s="155"/>
      <c r="U8" s="155"/>
      <c r="V8" s="138">
        <f t="shared" ref="V8:V20" si="0">SUM(C8:S8)</f>
        <v>0</v>
      </c>
    </row>
    <row r="9" spans="1:22" s="71" customFormat="1">
      <c r="A9" s="72">
        <v>3</v>
      </c>
      <c r="B9" s="89" t="s">
        <v>136</v>
      </c>
      <c r="C9" s="137"/>
      <c r="D9" s="514">
        <v>0</v>
      </c>
      <c r="E9" s="514"/>
      <c r="F9" s="514"/>
      <c r="G9" s="514"/>
      <c r="H9" s="514"/>
      <c r="I9" s="514"/>
      <c r="J9" s="514"/>
      <c r="K9" s="514"/>
      <c r="L9" s="514"/>
      <c r="M9" s="514"/>
      <c r="N9" s="514"/>
      <c r="O9" s="514"/>
      <c r="P9" s="514"/>
      <c r="Q9" s="514"/>
      <c r="R9" s="514">
        <v>0</v>
      </c>
      <c r="S9" s="514"/>
      <c r="T9" s="155"/>
      <c r="U9" s="155"/>
      <c r="V9" s="138">
        <f>SUM(C9:S9)</f>
        <v>0</v>
      </c>
    </row>
    <row r="10" spans="1:22" s="71" customFormat="1">
      <c r="A10" s="72">
        <v>4</v>
      </c>
      <c r="B10" s="89" t="s">
        <v>137</v>
      </c>
      <c r="C10" s="137"/>
      <c r="D10" s="514">
        <v>0</v>
      </c>
      <c r="E10" s="514"/>
      <c r="F10" s="514"/>
      <c r="G10" s="514"/>
      <c r="H10" s="514"/>
      <c r="I10" s="514"/>
      <c r="J10" s="514"/>
      <c r="K10" s="514"/>
      <c r="L10" s="514"/>
      <c r="M10" s="514"/>
      <c r="N10" s="514"/>
      <c r="O10" s="514"/>
      <c r="P10" s="514"/>
      <c r="Q10" s="514"/>
      <c r="R10" s="514">
        <v>0</v>
      </c>
      <c r="S10" s="514"/>
      <c r="T10" s="155"/>
      <c r="U10" s="155"/>
      <c r="V10" s="138">
        <f t="shared" si="0"/>
        <v>0</v>
      </c>
    </row>
    <row r="11" spans="1:22" s="71" customFormat="1">
      <c r="A11" s="72">
        <v>5</v>
      </c>
      <c r="B11" s="89" t="s">
        <v>945</v>
      </c>
      <c r="C11" s="137"/>
      <c r="D11" s="514">
        <v>0</v>
      </c>
      <c r="E11" s="514"/>
      <c r="F11" s="514"/>
      <c r="G11" s="514"/>
      <c r="H11" s="514"/>
      <c r="I11" s="514"/>
      <c r="J11" s="514"/>
      <c r="K11" s="514"/>
      <c r="L11" s="514"/>
      <c r="M11" s="514"/>
      <c r="N11" s="514"/>
      <c r="O11" s="514"/>
      <c r="P11" s="514"/>
      <c r="Q11" s="514"/>
      <c r="R11" s="514">
        <v>0</v>
      </c>
      <c r="S11" s="514"/>
      <c r="T11" s="155"/>
      <c r="U11" s="155"/>
      <c r="V11" s="138">
        <f t="shared" si="0"/>
        <v>0</v>
      </c>
    </row>
    <row r="12" spans="1:22" s="71" customFormat="1">
      <c r="A12" s="72">
        <v>6</v>
      </c>
      <c r="B12" s="89" t="s">
        <v>138</v>
      </c>
      <c r="C12" s="137"/>
      <c r="D12" s="514">
        <v>0</v>
      </c>
      <c r="E12" s="514"/>
      <c r="F12" s="514"/>
      <c r="G12" s="514"/>
      <c r="H12" s="514"/>
      <c r="I12" s="514"/>
      <c r="J12" s="514"/>
      <c r="K12" s="514"/>
      <c r="L12" s="514"/>
      <c r="M12" s="514"/>
      <c r="N12" s="514"/>
      <c r="O12" s="514"/>
      <c r="P12" s="514"/>
      <c r="Q12" s="514"/>
      <c r="R12" s="514">
        <v>0</v>
      </c>
      <c r="S12" s="514"/>
      <c r="T12" s="155"/>
      <c r="U12" s="155"/>
      <c r="V12" s="138">
        <f t="shared" si="0"/>
        <v>0</v>
      </c>
    </row>
    <row r="13" spans="1:22" s="71" customFormat="1">
      <c r="A13" s="72">
        <v>7</v>
      </c>
      <c r="B13" s="89" t="s">
        <v>71</v>
      </c>
      <c r="C13" s="137"/>
      <c r="D13" s="514">
        <v>121517699.52339999</v>
      </c>
      <c r="E13" s="514"/>
      <c r="F13" s="514"/>
      <c r="G13" s="514"/>
      <c r="H13" s="514"/>
      <c r="I13" s="514"/>
      <c r="J13" s="514"/>
      <c r="K13" s="514"/>
      <c r="L13" s="514"/>
      <c r="M13" s="514">
        <v>20387150.827599999</v>
      </c>
      <c r="N13" s="514"/>
      <c r="O13" s="514">
        <v>65806921.704499997</v>
      </c>
      <c r="P13" s="514"/>
      <c r="Q13" s="514"/>
      <c r="R13" s="514">
        <v>130078907.1601</v>
      </c>
      <c r="S13" s="514"/>
      <c r="T13" s="155"/>
      <c r="U13" s="155"/>
      <c r="V13" s="138">
        <f t="shared" si="0"/>
        <v>337790679.21559995</v>
      </c>
    </row>
    <row r="14" spans="1:22" s="71" customFormat="1">
      <c r="A14" s="72">
        <v>8</v>
      </c>
      <c r="B14" s="89" t="s">
        <v>72</v>
      </c>
      <c r="C14" s="137"/>
      <c r="D14" s="514">
        <v>66199052.3574</v>
      </c>
      <c r="E14" s="514"/>
      <c r="F14" s="514"/>
      <c r="G14" s="514"/>
      <c r="H14" s="514"/>
      <c r="I14" s="514"/>
      <c r="J14" s="514">
        <v>0</v>
      </c>
      <c r="K14" s="514"/>
      <c r="L14" s="514"/>
      <c r="M14" s="514">
        <v>3906460.5186999999</v>
      </c>
      <c r="N14" s="514"/>
      <c r="O14" s="514">
        <v>1569327.2098999999</v>
      </c>
      <c r="P14" s="514"/>
      <c r="Q14" s="514"/>
      <c r="R14" s="514">
        <v>0</v>
      </c>
      <c r="S14" s="514"/>
      <c r="T14" s="155"/>
      <c r="U14" s="155"/>
      <c r="V14" s="138">
        <f t="shared" si="0"/>
        <v>71674840.08600001</v>
      </c>
    </row>
    <row r="15" spans="1:22" s="71" customFormat="1">
      <c r="A15" s="72">
        <v>9</v>
      </c>
      <c r="B15" s="89" t="s">
        <v>946</v>
      </c>
      <c r="C15" s="137"/>
      <c r="D15" s="514">
        <v>224826.7654</v>
      </c>
      <c r="E15" s="514"/>
      <c r="F15" s="514"/>
      <c r="G15" s="514"/>
      <c r="H15" s="514"/>
      <c r="I15" s="514"/>
      <c r="J15" s="514"/>
      <c r="K15" s="514"/>
      <c r="L15" s="514"/>
      <c r="M15" s="514">
        <v>893945.05980000005</v>
      </c>
      <c r="N15" s="514"/>
      <c r="O15" s="514">
        <v>259196.74979999999</v>
      </c>
      <c r="P15" s="514"/>
      <c r="Q15" s="514"/>
      <c r="R15" s="514">
        <v>0</v>
      </c>
      <c r="S15" s="514"/>
      <c r="T15" s="155"/>
      <c r="U15" s="155"/>
      <c r="V15" s="138">
        <f t="shared" si="0"/>
        <v>1377968.5750000002</v>
      </c>
    </row>
    <row r="16" spans="1:22" s="71" customFormat="1">
      <c r="A16" s="72">
        <v>10</v>
      </c>
      <c r="B16" s="89" t="s">
        <v>67</v>
      </c>
      <c r="C16" s="137"/>
      <c r="D16" s="514">
        <v>111784.5916</v>
      </c>
      <c r="E16" s="514"/>
      <c r="F16" s="514"/>
      <c r="G16" s="514"/>
      <c r="H16" s="514"/>
      <c r="I16" s="514"/>
      <c r="J16" s="514"/>
      <c r="K16" s="514"/>
      <c r="L16" s="514"/>
      <c r="M16" s="514">
        <v>823915.78200000012</v>
      </c>
      <c r="N16" s="514"/>
      <c r="O16" s="514">
        <v>0</v>
      </c>
      <c r="P16" s="514"/>
      <c r="Q16" s="514"/>
      <c r="R16" s="514">
        <v>0</v>
      </c>
      <c r="S16" s="514"/>
      <c r="T16" s="155"/>
      <c r="U16" s="155"/>
      <c r="V16" s="138">
        <f t="shared" si="0"/>
        <v>935700.37360000017</v>
      </c>
    </row>
    <row r="17" spans="1:22" s="71" customFormat="1">
      <c r="A17" s="72">
        <v>11</v>
      </c>
      <c r="B17" s="89" t="s">
        <v>68</v>
      </c>
      <c r="C17" s="137"/>
      <c r="D17" s="514">
        <v>0</v>
      </c>
      <c r="E17" s="514"/>
      <c r="F17" s="514"/>
      <c r="G17" s="514"/>
      <c r="H17" s="514"/>
      <c r="I17" s="514">
        <v>0</v>
      </c>
      <c r="J17" s="514"/>
      <c r="K17" s="514"/>
      <c r="L17" s="514"/>
      <c r="M17" s="514">
        <v>308357.43550000002</v>
      </c>
      <c r="N17" s="514"/>
      <c r="O17" s="514">
        <v>0</v>
      </c>
      <c r="P17" s="514"/>
      <c r="Q17" s="514"/>
      <c r="R17" s="514">
        <v>0</v>
      </c>
      <c r="S17" s="514"/>
      <c r="T17" s="155"/>
      <c r="U17" s="155"/>
      <c r="V17" s="138">
        <f t="shared" si="0"/>
        <v>308357.43550000002</v>
      </c>
    </row>
    <row r="18" spans="1:22" s="71" customFormat="1">
      <c r="A18" s="72">
        <v>12</v>
      </c>
      <c r="B18" s="89" t="s">
        <v>69</v>
      </c>
      <c r="C18" s="137"/>
      <c r="D18" s="514">
        <v>0</v>
      </c>
      <c r="E18" s="514"/>
      <c r="F18" s="514"/>
      <c r="G18" s="514"/>
      <c r="H18" s="514"/>
      <c r="I18" s="514"/>
      <c r="J18" s="514"/>
      <c r="K18" s="514"/>
      <c r="L18" s="514"/>
      <c r="M18" s="514"/>
      <c r="N18" s="514"/>
      <c r="O18" s="514"/>
      <c r="P18" s="514"/>
      <c r="Q18" s="514"/>
      <c r="R18" s="514">
        <v>0</v>
      </c>
      <c r="S18" s="514"/>
      <c r="T18" s="155"/>
      <c r="U18" s="155"/>
      <c r="V18" s="138">
        <f t="shared" si="0"/>
        <v>0</v>
      </c>
    </row>
    <row r="19" spans="1:22" s="71" customFormat="1">
      <c r="A19" s="72">
        <v>13</v>
      </c>
      <c r="B19" s="89" t="s">
        <v>70</v>
      </c>
      <c r="C19" s="137"/>
      <c r="D19" s="514">
        <v>0</v>
      </c>
      <c r="E19" s="514"/>
      <c r="F19" s="514"/>
      <c r="G19" s="514"/>
      <c r="H19" s="514"/>
      <c r="I19" s="514"/>
      <c r="J19" s="514"/>
      <c r="K19" s="514"/>
      <c r="L19" s="514"/>
      <c r="M19" s="514"/>
      <c r="N19" s="514"/>
      <c r="O19" s="514"/>
      <c r="P19" s="514"/>
      <c r="Q19" s="514"/>
      <c r="R19" s="514">
        <v>0</v>
      </c>
      <c r="S19" s="514"/>
      <c r="T19" s="155"/>
      <c r="U19" s="155"/>
      <c r="V19" s="138">
        <f t="shared" si="0"/>
        <v>0</v>
      </c>
    </row>
    <row r="20" spans="1:22" s="71" customFormat="1">
      <c r="A20" s="72">
        <v>14</v>
      </c>
      <c r="B20" s="89" t="s">
        <v>154</v>
      </c>
      <c r="C20" s="137"/>
      <c r="D20" s="514">
        <v>0</v>
      </c>
      <c r="E20" s="514"/>
      <c r="F20" s="514"/>
      <c r="G20" s="514"/>
      <c r="H20" s="514"/>
      <c r="I20" s="514"/>
      <c r="J20" s="514"/>
      <c r="K20" s="514"/>
      <c r="L20" s="514"/>
      <c r="M20" s="514"/>
      <c r="N20" s="514"/>
      <c r="O20" s="514"/>
      <c r="P20" s="514"/>
      <c r="Q20" s="514"/>
      <c r="R20" s="514">
        <v>0</v>
      </c>
      <c r="S20" s="514"/>
      <c r="T20" s="155"/>
      <c r="U20" s="155"/>
      <c r="V20" s="138">
        <f t="shared" si="0"/>
        <v>0</v>
      </c>
    </row>
    <row r="21" spans="1:22" ht="13.5" thickBot="1">
      <c r="A21" s="43"/>
      <c r="B21" s="44" t="s">
        <v>66</v>
      </c>
      <c r="C21" s="139">
        <f>SUM(C7:C20)</f>
        <v>0</v>
      </c>
      <c r="D21" s="136">
        <f t="shared" ref="D21:V21" si="1">SUM(D7:D20)</f>
        <v>188053363.2378</v>
      </c>
      <c r="E21" s="136">
        <f t="shared" si="1"/>
        <v>0</v>
      </c>
      <c r="F21" s="136">
        <f t="shared" si="1"/>
        <v>0</v>
      </c>
      <c r="G21" s="136">
        <f t="shared" si="1"/>
        <v>0</v>
      </c>
      <c r="H21" s="136">
        <f t="shared" si="1"/>
        <v>0</v>
      </c>
      <c r="I21" s="136">
        <f t="shared" si="1"/>
        <v>0</v>
      </c>
      <c r="J21" s="136">
        <f t="shared" si="1"/>
        <v>0</v>
      </c>
      <c r="K21" s="136">
        <f t="shared" si="1"/>
        <v>0</v>
      </c>
      <c r="L21" s="140">
        <f t="shared" si="1"/>
        <v>0</v>
      </c>
      <c r="M21" s="139">
        <f t="shared" si="1"/>
        <v>26319829.623599999</v>
      </c>
      <c r="N21" s="136">
        <f t="shared" si="1"/>
        <v>0</v>
      </c>
      <c r="O21" s="136">
        <f t="shared" si="1"/>
        <v>67635445.664199993</v>
      </c>
      <c r="P21" s="136">
        <f t="shared" si="1"/>
        <v>0</v>
      </c>
      <c r="Q21" s="136">
        <f t="shared" si="1"/>
        <v>0</v>
      </c>
      <c r="R21" s="136">
        <f t="shared" si="1"/>
        <v>130078907.1601</v>
      </c>
      <c r="S21" s="140">
        <f t="shared" si="1"/>
        <v>0</v>
      </c>
      <c r="T21" s="140">
        <f>SUM(T7:T20)</f>
        <v>0</v>
      </c>
      <c r="U21" s="140">
        <f t="shared" si="1"/>
        <v>0</v>
      </c>
      <c r="V21" s="141">
        <f t="shared" si="1"/>
        <v>412087545.6857</v>
      </c>
    </row>
    <row r="23" spans="1:22">
      <c r="V23" s="513">
        <v>0</v>
      </c>
    </row>
    <row r="24" spans="1:22">
      <c r="A24" s="13"/>
      <c r="B24" s="13"/>
      <c r="C24" s="30"/>
      <c r="D24" s="515">
        <v>0</v>
      </c>
      <c r="E24" s="30"/>
    </row>
    <row r="25" spans="1:22">
      <c r="A25" s="36"/>
      <c r="B25" s="36"/>
      <c r="C25" s="13"/>
      <c r="D25" s="30"/>
      <c r="E25" s="30"/>
    </row>
    <row r="26" spans="1:22">
      <c r="A26" s="36"/>
      <c r="B26" s="37"/>
      <c r="C26" s="13"/>
      <c r="D26" s="30"/>
      <c r="E26" s="30"/>
    </row>
    <row r="27" spans="1:22">
      <c r="A27" s="36"/>
      <c r="B27" s="36"/>
      <c r="C27" s="13"/>
      <c r="D27" s="30"/>
      <c r="E27" s="30"/>
    </row>
    <row r="28" spans="1:22">
      <c r="A28" s="36"/>
      <c r="B28" s="37"/>
      <c r="C28" s="13"/>
      <c r="D28" s="30"/>
      <c r="E28" s="3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7"/>
  <sheetViews>
    <sheetView zoomScaleNormal="100" workbookViewId="0">
      <pane xSplit="1" ySplit="7" topLeftCell="B8" activePane="bottomRight" state="frozen"/>
      <selection pane="topRight"/>
      <selection pane="bottomLeft"/>
      <selection pane="bottomRight" activeCell="B8" sqref="B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9"/>
  </cols>
  <sheetData>
    <row r="1" spans="1:9">
      <c r="A1" s="2" t="s">
        <v>108</v>
      </c>
      <c r="B1" s="186" t="str">
        <f>Info!C2</f>
        <v>სს ”საქართველოს ბანკი”</v>
      </c>
    </row>
    <row r="2" spans="1:9">
      <c r="A2" s="2" t="s">
        <v>109</v>
      </c>
      <c r="B2" s="271">
        <f>'1. key ratios'!B2</f>
        <v>45291</v>
      </c>
    </row>
    <row r="4" spans="1:9" ht="13.5" thickBot="1">
      <c r="A4" s="2" t="s">
        <v>260</v>
      </c>
      <c r="B4" s="158" t="s">
        <v>295</v>
      </c>
    </row>
    <row r="5" spans="1:9">
      <c r="A5" s="41"/>
      <c r="B5" s="69"/>
      <c r="C5" s="74" t="s">
        <v>0</v>
      </c>
      <c r="D5" s="74" t="s">
        <v>1</v>
      </c>
      <c r="E5" s="74" t="s">
        <v>2</v>
      </c>
      <c r="F5" s="74" t="s">
        <v>3</v>
      </c>
      <c r="G5" s="153" t="s">
        <v>4</v>
      </c>
      <c r="H5" s="75" t="s">
        <v>5</v>
      </c>
      <c r="I5" s="19"/>
    </row>
    <row r="6" spans="1:9" ht="15" customHeight="1">
      <c r="A6" s="68"/>
      <c r="B6" s="17"/>
      <c r="C6" s="847" t="s">
        <v>287</v>
      </c>
      <c r="D6" s="851" t="s">
        <v>308</v>
      </c>
      <c r="E6" s="852"/>
      <c r="F6" s="847" t="s">
        <v>314</v>
      </c>
      <c r="G6" s="847" t="s">
        <v>315</v>
      </c>
      <c r="H6" s="849" t="s">
        <v>289</v>
      </c>
      <c r="I6" s="19"/>
    </row>
    <row r="7" spans="1:9" ht="63.75">
      <c r="A7" s="68"/>
      <c r="B7" s="17"/>
      <c r="C7" s="848"/>
      <c r="D7" s="157" t="s">
        <v>290</v>
      </c>
      <c r="E7" s="157" t="s">
        <v>288</v>
      </c>
      <c r="F7" s="848"/>
      <c r="G7" s="848"/>
      <c r="H7" s="850"/>
      <c r="I7" s="19"/>
    </row>
    <row r="8" spans="1:9">
      <c r="A8" s="32">
        <v>1</v>
      </c>
      <c r="B8" s="89" t="s">
        <v>134</v>
      </c>
      <c r="C8" s="142">
        <v>5996757815.0647001</v>
      </c>
      <c r="D8" s="143"/>
      <c r="E8" s="142"/>
      <c r="F8" s="142">
        <f>'11. CRWA'!S8</f>
        <v>1735329832.8625</v>
      </c>
      <c r="G8" s="154">
        <f>'11. CRWA'!S8-'12. CRM'!V7</f>
        <v>1735329832.8625</v>
      </c>
      <c r="H8" s="163">
        <f>G8/(C8+E8)</f>
        <v>0.28937800831361021</v>
      </c>
    </row>
    <row r="9" spans="1:9" ht="15" customHeight="1">
      <c r="A9" s="32">
        <v>2</v>
      </c>
      <c r="B9" s="89" t="s">
        <v>135</v>
      </c>
      <c r="C9" s="142">
        <v>0</v>
      </c>
      <c r="D9" s="143"/>
      <c r="E9" s="142"/>
      <c r="F9" s="142">
        <f>'11. CRWA'!S9</f>
        <v>0</v>
      </c>
      <c r="G9" s="154">
        <f>'11. CRWA'!S9-'12. CRM'!V8</f>
        <v>0</v>
      </c>
      <c r="H9" s="163" t="e">
        <f t="shared" ref="H9:H21" si="0">G9/(C9+E9)</f>
        <v>#DIV/0!</v>
      </c>
    </row>
    <row r="10" spans="1:9">
      <c r="A10" s="32">
        <v>3</v>
      </c>
      <c r="B10" s="89" t="s">
        <v>136</v>
      </c>
      <c r="C10" s="142">
        <v>0</v>
      </c>
      <c r="D10" s="143"/>
      <c r="E10" s="142"/>
      <c r="F10" s="142">
        <f>'11. CRWA'!S10</f>
        <v>0</v>
      </c>
      <c r="G10" s="154">
        <f>'11. CRWA'!S10-'12. CRM'!V9</f>
        <v>0</v>
      </c>
      <c r="H10" s="163" t="e">
        <f t="shared" si="0"/>
        <v>#DIV/0!</v>
      </c>
    </row>
    <row r="11" spans="1:9">
      <c r="A11" s="32">
        <v>4</v>
      </c>
      <c r="B11" s="89" t="s">
        <v>137</v>
      </c>
      <c r="C11" s="142">
        <v>992021361.25</v>
      </c>
      <c r="D11" s="143"/>
      <c r="E11" s="142"/>
      <c r="F11" s="142">
        <f>'11. CRWA'!S11</f>
        <v>0</v>
      </c>
      <c r="G11" s="154">
        <f>'11. CRWA'!S11-'12. CRM'!V10</f>
        <v>0</v>
      </c>
      <c r="H11" s="163">
        <f t="shared" si="0"/>
        <v>0</v>
      </c>
    </row>
    <row r="12" spans="1:9">
      <c r="A12" s="32">
        <v>5</v>
      </c>
      <c r="B12" s="89" t="s">
        <v>945</v>
      </c>
      <c r="C12" s="142">
        <v>0</v>
      </c>
      <c r="D12" s="143"/>
      <c r="E12" s="142"/>
      <c r="F12" s="142">
        <f>'11. CRWA'!S12</f>
        <v>0</v>
      </c>
      <c r="G12" s="154">
        <f>'11. CRWA'!S12-'12. CRM'!V11</f>
        <v>0</v>
      </c>
      <c r="H12" s="163" t="e">
        <f t="shared" si="0"/>
        <v>#DIV/0!</v>
      </c>
    </row>
    <row r="13" spans="1:9">
      <c r="A13" s="32">
        <v>6</v>
      </c>
      <c r="B13" s="89" t="s">
        <v>138</v>
      </c>
      <c r="C13" s="142">
        <v>1211799267.4201</v>
      </c>
      <c r="D13" s="143"/>
      <c r="E13" s="142"/>
      <c r="F13" s="142">
        <f>'11. CRWA'!S13</f>
        <v>287047488.99347001</v>
      </c>
      <c r="G13" s="154">
        <f>'11. CRWA'!S13-'12. CRM'!V12</f>
        <v>287047488.99347001</v>
      </c>
      <c r="H13" s="163">
        <f t="shared" si="0"/>
        <v>0.23687709401292942</v>
      </c>
    </row>
    <row r="14" spans="1:9">
      <c r="A14" s="32">
        <v>7</v>
      </c>
      <c r="B14" s="89" t="s">
        <v>71</v>
      </c>
      <c r="C14" s="142">
        <v>7981810379.4113998</v>
      </c>
      <c r="D14" s="143">
        <v>2705382660.0177002</v>
      </c>
      <c r="E14" s="142">
        <v>1072057309.0717031</v>
      </c>
      <c r="F14" s="142">
        <f>'11. CRWA'!S14</f>
        <v>9053867688.4831028</v>
      </c>
      <c r="G14" s="154">
        <f>'11. CRWA'!S14-'12. CRM'!V13</f>
        <v>8716077009.2675037</v>
      </c>
      <c r="H14" s="163">
        <f>G14/(C14+E14)</f>
        <v>0.96269100777281258</v>
      </c>
    </row>
    <row r="15" spans="1:9">
      <c r="A15" s="32">
        <v>8</v>
      </c>
      <c r="B15" s="89" t="s">
        <v>72</v>
      </c>
      <c r="C15" s="142">
        <v>7018697850.1688004</v>
      </c>
      <c r="D15" s="143">
        <v>234412587.56830001</v>
      </c>
      <c r="E15" s="142">
        <v>117206293.78415</v>
      </c>
      <c r="F15" s="142">
        <f>'11. CRWA'!S15</f>
        <v>5351928107.9647131</v>
      </c>
      <c r="G15" s="154">
        <f>'11. CRWA'!S15-'12. CRM'!V14</f>
        <v>5280253267.8787127</v>
      </c>
      <c r="H15" s="163">
        <f t="shared" si="0"/>
        <v>0.73995574511090678</v>
      </c>
    </row>
    <row r="16" spans="1:9">
      <c r="A16" s="32">
        <v>9</v>
      </c>
      <c r="B16" s="89" t="s">
        <v>946</v>
      </c>
      <c r="C16" s="142">
        <v>4256285653.1451001</v>
      </c>
      <c r="D16" s="143"/>
      <c r="E16" s="142"/>
      <c r="F16" s="142">
        <f>'11. CRWA'!S16</f>
        <v>1489699978.600785</v>
      </c>
      <c r="G16" s="154">
        <f>'11. CRWA'!S16-'12. CRM'!V15</f>
        <v>1488322010.025785</v>
      </c>
      <c r="H16" s="163">
        <f t="shared" si="0"/>
        <v>0.34967625091751492</v>
      </c>
    </row>
    <row r="17" spans="1:8">
      <c r="A17" s="32">
        <v>10</v>
      </c>
      <c r="B17" s="89" t="s">
        <v>67</v>
      </c>
      <c r="C17" s="142">
        <v>155381953.20449999</v>
      </c>
      <c r="D17" s="143"/>
      <c r="E17" s="142"/>
      <c r="F17" s="142">
        <f>'11. CRWA'!S17</f>
        <v>177348878.97815001</v>
      </c>
      <c r="G17" s="154">
        <f>'11. CRWA'!S17-'12. CRM'!V16</f>
        <v>176413178.60455</v>
      </c>
      <c r="H17" s="163">
        <f t="shared" si="0"/>
        <v>1.1353517893572271</v>
      </c>
    </row>
    <row r="18" spans="1:8">
      <c r="A18" s="32">
        <v>11</v>
      </c>
      <c r="B18" s="89" t="s">
        <v>68</v>
      </c>
      <c r="C18" s="142">
        <v>279226468.14530003</v>
      </c>
      <c r="D18" s="143"/>
      <c r="E18" s="142"/>
      <c r="F18" s="142">
        <f>'11. CRWA'!S18</f>
        <v>377516456.41865015</v>
      </c>
      <c r="G18" s="154">
        <f>'11. CRWA'!S18-'12. CRM'!V17</f>
        <v>377208098.98315012</v>
      </c>
      <c r="H18" s="163">
        <f t="shared" si="0"/>
        <v>1.3509038075389894</v>
      </c>
    </row>
    <row r="19" spans="1:8">
      <c r="A19" s="32">
        <v>12</v>
      </c>
      <c r="B19" s="89" t="s">
        <v>69</v>
      </c>
      <c r="C19" s="142">
        <v>0</v>
      </c>
      <c r="D19" s="143"/>
      <c r="E19" s="142"/>
      <c r="F19" s="142">
        <f>'11. CRWA'!S19</f>
        <v>0</v>
      </c>
      <c r="G19" s="154">
        <f>'11. CRWA'!S19-'12. CRM'!V18</f>
        <v>0</v>
      </c>
      <c r="H19" s="163" t="e">
        <f t="shared" si="0"/>
        <v>#DIV/0!</v>
      </c>
    </row>
    <row r="20" spans="1:8">
      <c r="A20" s="32">
        <v>13</v>
      </c>
      <c r="B20" s="89" t="s">
        <v>70</v>
      </c>
      <c r="C20" s="142">
        <v>0</v>
      </c>
      <c r="D20" s="143"/>
      <c r="E20" s="142"/>
      <c r="F20" s="142">
        <f>'11. CRWA'!S20</f>
        <v>0</v>
      </c>
      <c r="G20" s="154">
        <f>'11. CRWA'!S20-'12. CRM'!V19</f>
        <v>0</v>
      </c>
      <c r="H20" s="163" t="e">
        <f t="shared" si="0"/>
        <v>#DIV/0!</v>
      </c>
    </row>
    <row r="21" spans="1:8">
      <c r="A21" s="32">
        <v>14</v>
      </c>
      <c r="B21" s="89" t="s">
        <v>154</v>
      </c>
      <c r="C21" s="142">
        <v>2364657863.4595132</v>
      </c>
      <c r="D21" s="143"/>
      <c r="E21" s="142"/>
      <c r="F21" s="142">
        <v>1529864283.8016427</v>
      </c>
      <c r="G21" s="154">
        <f>'11. CRWA'!S21-'12. CRM'!V20</f>
        <v>1529864283.8016453</v>
      </c>
      <c r="H21" s="163">
        <f t="shared" si="0"/>
        <v>0.64697067065907021</v>
      </c>
    </row>
    <row r="22" spans="1:8" ht="13.5" thickBot="1">
      <c r="A22" s="70"/>
      <c r="B22" s="76" t="s">
        <v>66</v>
      </c>
      <c r="C22" s="136">
        <f>SUM(C8:C21)</f>
        <v>30256638611.269417</v>
      </c>
      <c r="D22" s="136">
        <f t="shared" ref="D22:G22" si="1">SUM(D8:D21)</f>
        <v>2939795247.5860004</v>
      </c>
      <c r="E22" s="136">
        <f t="shared" si="1"/>
        <v>1189263602.8558531</v>
      </c>
      <c r="F22" s="136">
        <f t="shared" si="1"/>
        <v>20002602716.103016</v>
      </c>
      <c r="G22" s="136">
        <f t="shared" si="1"/>
        <v>19590515170.417313</v>
      </c>
      <c r="H22" s="164">
        <f>G22/(C22+E22)</f>
        <v>0.62299103511227594</v>
      </c>
    </row>
    <row r="24" spans="1:8">
      <c r="G24" s="513"/>
    </row>
    <row r="27" spans="1:8">
      <c r="C27" s="513"/>
      <c r="D27" s="513"/>
      <c r="E27" s="513"/>
      <c r="F27" s="513"/>
      <c r="G27" s="513"/>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0"/>
  <sheetViews>
    <sheetView zoomScaleNormal="10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186" bestFit="1" customWidth="1"/>
    <col min="2" max="2" width="59.5703125" style="186" customWidth="1"/>
    <col min="3" max="5" width="13.42578125" style="186" bestFit="1" customWidth="1"/>
    <col min="6" max="11" width="12.7109375" style="186" customWidth="1"/>
    <col min="12" max="16384" width="9.140625" style="186"/>
  </cols>
  <sheetData>
    <row r="1" spans="1:11">
      <c r="A1" s="186" t="s">
        <v>108</v>
      </c>
      <c r="B1" s="186" t="str">
        <f>Info!C2</f>
        <v>სს ”საქართველოს ბანკი”</v>
      </c>
    </row>
    <row r="2" spans="1:11">
      <c r="A2" s="186" t="s">
        <v>109</v>
      </c>
      <c r="B2" s="611">
        <f>'1. key ratios'!B2</f>
        <v>45291</v>
      </c>
      <c r="C2" s="187"/>
      <c r="D2" s="187"/>
    </row>
    <row r="3" spans="1:11">
      <c r="B3" s="187"/>
      <c r="C3" s="187"/>
      <c r="D3" s="187"/>
    </row>
    <row r="4" spans="1:11" ht="13.5" thickBot="1">
      <c r="A4" s="186" t="s">
        <v>351</v>
      </c>
      <c r="B4" s="158" t="s">
        <v>350</v>
      </c>
      <c r="C4" s="187"/>
      <c r="D4" s="187"/>
    </row>
    <row r="5" spans="1:11" ht="30" customHeight="1">
      <c r="A5" s="856"/>
      <c r="B5" s="857"/>
      <c r="C5" s="854" t="s">
        <v>383</v>
      </c>
      <c r="D5" s="854"/>
      <c r="E5" s="854"/>
      <c r="F5" s="854" t="s">
        <v>384</v>
      </c>
      <c r="G5" s="854"/>
      <c r="H5" s="854"/>
      <c r="I5" s="854" t="s">
        <v>385</v>
      </c>
      <c r="J5" s="854"/>
      <c r="K5" s="855"/>
    </row>
    <row r="6" spans="1:11">
      <c r="A6" s="184"/>
      <c r="B6" s="185"/>
      <c r="C6" s="188" t="s">
        <v>26</v>
      </c>
      <c r="D6" s="188" t="s">
        <v>90</v>
      </c>
      <c r="E6" s="188" t="s">
        <v>66</v>
      </c>
      <c r="F6" s="188" t="s">
        <v>26</v>
      </c>
      <c r="G6" s="188" t="s">
        <v>90</v>
      </c>
      <c r="H6" s="188" t="s">
        <v>66</v>
      </c>
      <c r="I6" s="188" t="s">
        <v>26</v>
      </c>
      <c r="J6" s="188" t="s">
        <v>90</v>
      </c>
      <c r="K6" s="190" t="s">
        <v>66</v>
      </c>
    </row>
    <row r="7" spans="1:11">
      <c r="A7" s="191" t="s">
        <v>321</v>
      </c>
      <c r="B7" s="183"/>
      <c r="C7" s="565"/>
      <c r="D7" s="565"/>
      <c r="E7" s="565"/>
      <c r="F7" s="565"/>
      <c r="G7" s="565"/>
      <c r="H7" s="565"/>
      <c r="I7" s="565"/>
      <c r="J7" s="565"/>
      <c r="K7" s="566"/>
    </row>
    <row r="8" spans="1:11">
      <c r="A8" s="182">
        <v>1</v>
      </c>
      <c r="B8" s="167" t="s">
        <v>321</v>
      </c>
      <c r="C8" s="567"/>
      <c r="D8" s="567"/>
      <c r="E8" s="567"/>
      <c r="F8" s="569">
        <v>2525094618.3015666</v>
      </c>
      <c r="G8" s="569">
        <v>5110696281.1882992</v>
      </c>
      <c r="H8" s="569">
        <v>7635790899.4898643</v>
      </c>
      <c r="I8" s="569">
        <v>2500054017.782001</v>
      </c>
      <c r="J8" s="569">
        <v>4365881630.6406622</v>
      </c>
      <c r="K8" s="570">
        <v>6865935648.4226656</v>
      </c>
    </row>
    <row r="9" spans="1:11">
      <c r="A9" s="191" t="s">
        <v>322</v>
      </c>
      <c r="B9" s="183"/>
      <c r="C9" s="565"/>
      <c r="D9" s="565"/>
      <c r="E9" s="565"/>
      <c r="F9" s="565"/>
      <c r="G9" s="565"/>
      <c r="H9" s="565"/>
      <c r="I9" s="565"/>
      <c r="J9" s="565"/>
      <c r="K9" s="566"/>
    </row>
    <row r="10" spans="1:11">
      <c r="A10" s="192">
        <v>2</v>
      </c>
      <c r="B10" s="168" t="s">
        <v>323</v>
      </c>
      <c r="C10" s="568">
        <v>3759362053.0363111</v>
      </c>
      <c r="D10" s="569">
        <v>7252708742.4734859</v>
      </c>
      <c r="E10" s="569">
        <v>10721064959.985916</v>
      </c>
      <c r="F10" s="569">
        <v>718511427.48300529</v>
      </c>
      <c r="G10" s="569">
        <v>1756693351.7991738</v>
      </c>
      <c r="H10" s="569">
        <v>2434441800.6251035</v>
      </c>
      <c r="I10" s="569">
        <v>218787316.02007276</v>
      </c>
      <c r="J10" s="569">
        <v>510067261.29045653</v>
      </c>
      <c r="K10" s="570">
        <v>712385464.80209553</v>
      </c>
    </row>
    <row r="11" spans="1:11">
      <c r="A11" s="192">
        <v>3</v>
      </c>
      <c r="B11" s="168" t="s">
        <v>324</v>
      </c>
      <c r="C11" s="568">
        <v>7796061810.4700584</v>
      </c>
      <c r="D11" s="569">
        <v>10274098516.004662</v>
      </c>
      <c r="E11" s="569">
        <v>17498841280.512184</v>
      </c>
      <c r="F11" s="569">
        <v>2406190226.4534907</v>
      </c>
      <c r="G11" s="569">
        <v>3222118181.0232921</v>
      </c>
      <c r="H11" s="569">
        <v>5628308407.4767828</v>
      </c>
      <c r="I11" s="569">
        <v>1788427259.2057691</v>
      </c>
      <c r="J11" s="569">
        <v>1817589574.4071615</v>
      </c>
      <c r="K11" s="570">
        <v>3606016833.6129317</v>
      </c>
    </row>
    <row r="12" spans="1:11">
      <c r="A12" s="192">
        <v>4</v>
      </c>
      <c r="B12" s="168" t="s">
        <v>325</v>
      </c>
      <c r="C12" s="568">
        <v>1555076086.954674</v>
      </c>
      <c r="D12" s="569">
        <v>91304347.826086953</v>
      </c>
      <c r="E12" s="569">
        <v>1486597826.0851088</v>
      </c>
      <c r="F12" s="569">
        <v>0</v>
      </c>
      <c r="G12" s="569">
        <v>0</v>
      </c>
      <c r="H12" s="569">
        <v>0</v>
      </c>
      <c r="I12" s="569">
        <v>0</v>
      </c>
      <c r="J12" s="569">
        <v>0</v>
      </c>
      <c r="K12" s="570">
        <v>0</v>
      </c>
    </row>
    <row r="13" spans="1:11">
      <c r="A13" s="192">
        <v>5</v>
      </c>
      <c r="B13" s="168" t="s">
        <v>326</v>
      </c>
      <c r="C13" s="568">
        <v>1738507056.8503721</v>
      </c>
      <c r="D13" s="569">
        <v>1211248227.399462</v>
      </c>
      <c r="E13" s="569">
        <v>2821462131.4359212</v>
      </c>
      <c r="F13" s="569">
        <v>256128584.15569949</v>
      </c>
      <c r="G13" s="569">
        <v>208592130.72866556</v>
      </c>
      <c r="H13" s="569">
        <v>464720714.8843649</v>
      </c>
      <c r="I13" s="569">
        <v>102493360.14558695</v>
      </c>
      <c r="J13" s="569">
        <v>79800198.253356025</v>
      </c>
      <c r="K13" s="570">
        <v>182293558.39894304</v>
      </c>
    </row>
    <row r="14" spans="1:11">
      <c r="A14" s="192">
        <v>6</v>
      </c>
      <c r="B14" s="168" t="s">
        <v>341</v>
      </c>
      <c r="C14" s="568"/>
      <c r="D14" s="569"/>
      <c r="E14" s="569"/>
      <c r="F14" s="569"/>
      <c r="G14" s="569"/>
      <c r="H14" s="569"/>
      <c r="I14" s="569"/>
      <c r="J14" s="569"/>
      <c r="K14" s="570"/>
    </row>
    <row r="15" spans="1:11">
      <c r="A15" s="192">
        <v>7</v>
      </c>
      <c r="B15" s="168" t="s">
        <v>328</v>
      </c>
      <c r="C15" s="568">
        <v>169666881.36353371</v>
      </c>
      <c r="D15" s="569">
        <v>1506012245.4318991</v>
      </c>
      <c r="E15" s="569">
        <v>1668577560.9598863</v>
      </c>
      <c r="F15" s="569">
        <v>112524794.37526198</v>
      </c>
      <c r="G15" s="569">
        <v>1559126105.7902305</v>
      </c>
      <c r="H15" s="569">
        <v>1671650900.1654918</v>
      </c>
      <c r="I15" s="569">
        <v>112524794.37526198</v>
      </c>
      <c r="J15" s="569">
        <v>1559126105.7902305</v>
      </c>
      <c r="K15" s="570">
        <v>1671650900.1654918</v>
      </c>
    </row>
    <row r="16" spans="1:11">
      <c r="A16" s="192">
        <v>8</v>
      </c>
      <c r="B16" s="169" t="s">
        <v>329</v>
      </c>
      <c r="C16" s="568">
        <v>11259311835.638638</v>
      </c>
      <c r="D16" s="569">
        <v>13082663336.662107</v>
      </c>
      <c r="E16" s="569">
        <v>23475478798.993099</v>
      </c>
      <c r="F16" s="569">
        <v>2774843604.9844518</v>
      </c>
      <c r="G16" s="569">
        <v>4989836417.5421877</v>
      </c>
      <c r="H16" s="569">
        <v>7764680022.5266399</v>
      </c>
      <c r="I16" s="569">
        <v>2003445413.7266181</v>
      </c>
      <c r="J16" s="569">
        <v>3456515878.450748</v>
      </c>
      <c r="K16" s="570">
        <v>5459961292.1773663</v>
      </c>
    </row>
    <row r="17" spans="1:11">
      <c r="A17" s="191" t="s">
        <v>330</v>
      </c>
      <c r="B17" s="183"/>
      <c r="C17" s="565"/>
      <c r="D17" s="565"/>
      <c r="E17" s="565"/>
      <c r="F17" s="565"/>
      <c r="G17" s="565"/>
      <c r="H17" s="565"/>
      <c r="I17" s="565"/>
      <c r="J17" s="565"/>
      <c r="K17" s="566"/>
    </row>
    <row r="18" spans="1:11">
      <c r="A18" s="192">
        <v>9</v>
      </c>
      <c r="B18" s="168" t="s">
        <v>331</v>
      </c>
      <c r="C18" s="568"/>
      <c r="D18" s="569"/>
      <c r="E18" s="569"/>
      <c r="F18" s="569"/>
      <c r="G18" s="569"/>
      <c r="H18" s="569"/>
      <c r="I18" s="569"/>
      <c r="J18" s="569"/>
      <c r="K18" s="570"/>
    </row>
    <row r="19" spans="1:11">
      <c r="A19" s="192">
        <v>10</v>
      </c>
      <c r="B19" s="168" t="s">
        <v>332</v>
      </c>
      <c r="C19" s="568">
        <v>434955342.47468358</v>
      </c>
      <c r="D19" s="569">
        <v>215171922.04739022</v>
      </c>
      <c r="E19" s="569">
        <v>617669659.94580662</v>
      </c>
      <c r="F19" s="569">
        <v>213825055.09498578</v>
      </c>
      <c r="G19" s="569">
        <v>102900513.64450216</v>
      </c>
      <c r="H19" s="569">
        <v>316725568.73948801</v>
      </c>
      <c r="I19" s="569">
        <v>239140225.03944236</v>
      </c>
      <c r="J19" s="569">
        <v>889802461.68300366</v>
      </c>
      <c r="K19" s="570">
        <v>1128942686.722446</v>
      </c>
    </row>
    <row r="20" spans="1:11">
      <c r="A20" s="192">
        <v>11</v>
      </c>
      <c r="B20" s="168" t="s">
        <v>333</v>
      </c>
      <c r="C20" s="568">
        <v>320167317.85823482</v>
      </c>
      <c r="D20" s="569">
        <v>1094566196.4235964</v>
      </c>
      <c r="E20" s="569">
        <v>1395673840.7771583</v>
      </c>
      <c r="F20" s="569">
        <v>278599193.9198913</v>
      </c>
      <c r="G20" s="569">
        <v>1125053307.5270486</v>
      </c>
      <c r="H20" s="569">
        <v>1403652501.4469407</v>
      </c>
      <c r="I20" s="569">
        <v>278599193.9198913</v>
      </c>
      <c r="J20" s="569">
        <v>1125053307.5270486</v>
      </c>
      <c r="K20" s="570">
        <v>1403652501.4469407</v>
      </c>
    </row>
    <row r="21" spans="1:11" ht="13.5" thickBot="1">
      <c r="A21" s="117">
        <v>12</v>
      </c>
      <c r="B21" s="193" t="s">
        <v>334</v>
      </c>
      <c r="C21" s="678">
        <v>755122660.33291841</v>
      </c>
      <c r="D21" s="679">
        <v>1309738118.4709866</v>
      </c>
      <c r="E21" s="678">
        <v>2013343500.7229648</v>
      </c>
      <c r="F21" s="679">
        <v>492424249.01487708</v>
      </c>
      <c r="G21" s="679">
        <v>1227953821.1715508</v>
      </c>
      <c r="H21" s="679">
        <v>1720378070.1864285</v>
      </c>
      <c r="I21" s="679">
        <v>517739418.95933366</v>
      </c>
      <c r="J21" s="679">
        <v>2014855769.2100523</v>
      </c>
      <c r="K21" s="680">
        <v>2532595188.1693869</v>
      </c>
    </row>
    <row r="22" spans="1:11" ht="38.25" customHeight="1" thickBot="1">
      <c r="A22" s="180"/>
      <c r="B22" s="181"/>
      <c r="C22" s="181"/>
      <c r="D22" s="181"/>
      <c r="E22" s="181"/>
      <c r="F22" s="853" t="s">
        <v>335</v>
      </c>
      <c r="G22" s="854"/>
      <c r="H22" s="854"/>
      <c r="I22" s="853" t="s">
        <v>336</v>
      </c>
      <c r="J22" s="854"/>
      <c r="K22" s="855"/>
    </row>
    <row r="23" spans="1:11">
      <c r="A23" s="173">
        <v>13</v>
      </c>
      <c r="B23" s="170" t="s">
        <v>321</v>
      </c>
      <c r="C23" s="179"/>
      <c r="D23" s="179"/>
      <c r="E23" s="179"/>
      <c r="F23" s="569">
        <f>F8</f>
        <v>2525094618.3015666</v>
      </c>
      <c r="G23" s="569">
        <f t="shared" ref="G23:K23" si="0">G8</f>
        <v>5110696281.1882992</v>
      </c>
      <c r="H23" s="569">
        <f t="shared" si="0"/>
        <v>7635790899.4898643</v>
      </c>
      <c r="I23" s="569">
        <f t="shared" si="0"/>
        <v>2500054017.782001</v>
      </c>
      <c r="J23" s="569">
        <f t="shared" si="0"/>
        <v>4365881630.6406622</v>
      </c>
      <c r="K23" s="569">
        <f t="shared" si="0"/>
        <v>6865935648.4226656</v>
      </c>
    </row>
    <row r="24" spans="1:11" ht="13.5" thickBot="1">
      <c r="A24" s="174">
        <v>14</v>
      </c>
      <c r="B24" s="171" t="s">
        <v>337</v>
      </c>
      <c r="C24" s="194"/>
      <c r="D24" s="177"/>
      <c r="E24" s="178"/>
      <c r="F24" s="569">
        <f>F16-F21</f>
        <v>2282419355.9695749</v>
      </c>
      <c r="G24" s="569">
        <f t="shared" ref="G24:K24" si="1">G16-G21</f>
        <v>3761882596.3706369</v>
      </c>
      <c r="H24" s="569">
        <f t="shared" si="1"/>
        <v>6044301952.3402119</v>
      </c>
      <c r="I24" s="569">
        <f t="shared" si="1"/>
        <v>1485705994.7672844</v>
      </c>
      <c r="J24" s="569">
        <f t="shared" si="1"/>
        <v>1441660109.2406957</v>
      </c>
      <c r="K24" s="569">
        <f t="shared" si="1"/>
        <v>2927366104.0079794</v>
      </c>
    </row>
    <row r="25" spans="1:11" ht="13.5" thickBot="1">
      <c r="A25" s="175">
        <v>15</v>
      </c>
      <c r="B25" s="172" t="s">
        <v>338</v>
      </c>
      <c r="C25" s="176"/>
      <c r="D25" s="176"/>
      <c r="E25" s="176"/>
      <c r="F25" s="571">
        <f>F23/F24</f>
        <v>1.1063236962555913</v>
      </c>
      <c r="G25" s="571">
        <f t="shared" ref="G25:K25" si="2">G23/G24</f>
        <v>1.3585475224875336</v>
      </c>
      <c r="H25" s="571">
        <f t="shared" si="2"/>
        <v>1.2633040109012861</v>
      </c>
      <c r="I25" s="571">
        <f t="shared" si="2"/>
        <v>1.6827380562421439</v>
      </c>
      <c r="J25" s="571">
        <f t="shared" si="2"/>
        <v>3.0283709750005618</v>
      </c>
      <c r="K25" s="571">
        <f t="shared" si="2"/>
        <v>2.3454311502145995</v>
      </c>
    </row>
    <row r="28" spans="1:11" ht="51">
      <c r="B28" s="18" t="s">
        <v>382</v>
      </c>
    </row>
    <row r="33" spans="6:11">
      <c r="F33" s="475"/>
      <c r="G33" s="475"/>
      <c r="H33" s="475"/>
      <c r="I33" s="475"/>
      <c r="J33" s="475"/>
      <c r="K33" s="475"/>
    </row>
    <row r="34" spans="6:11">
      <c r="F34" s="475"/>
      <c r="G34" s="475"/>
      <c r="H34" s="475"/>
      <c r="I34" s="475"/>
      <c r="J34" s="475"/>
      <c r="K34" s="475"/>
    </row>
    <row r="35" spans="6:11">
      <c r="F35" s="475"/>
      <c r="G35" s="475"/>
      <c r="H35" s="475"/>
      <c r="I35" s="475"/>
      <c r="J35" s="475"/>
      <c r="K35" s="475"/>
    </row>
    <row r="37" spans="6:11">
      <c r="F37" s="475"/>
      <c r="G37" s="475"/>
      <c r="H37" s="475"/>
      <c r="I37" s="475"/>
      <c r="J37" s="475"/>
      <c r="K37" s="475"/>
    </row>
    <row r="38" spans="6:11">
      <c r="F38" s="475"/>
      <c r="G38" s="475"/>
      <c r="H38" s="475"/>
      <c r="I38" s="475"/>
      <c r="J38" s="475"/>
      <c r="K38" s="475"/>
    </row>
    <row r="39" spans="6:11">
      <c r="F39" s="475"/>
      <c r="G39" s="475"/>
      <c r="H39" s="475"/>
      <c r="I39" s="475"/>
      <c r="J39" s="475"/>
      <c r="K39" s="475"/>
    </row>
    <row r="40" spans="6:11">
      <c r="F40" s="475"/>
      <c r="G40" s="475"/>
      <c r="H40" s="475"/>
      <c r="I40" s="475"/>
      <c r="J40" s="475"/>
      <c r="K40" s="475"/>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5"/>
  <cols>
    <col min="1" max="1" width="10.5703125" style="29" bestFit="1" customWidth="1"/>
    <col min="2" max="2" width="95" style="29" customWidth="1"/>
    <col min="3" max="3" width="18.7109375" style="29" customWidth="1"/>
    <col min="4" max="4" width="10" style="29" bestFit="1" customWidth="1"/>
    <col min="5" max="5" width="18.28515625" style="29" bestFit="1" customWidth="1"/>
    <col min="6" max="13" width="10.7109375" style="29" customWidth="1"/>
    <col min="14" max="14" width="31" style="29" bestFit="1" customWidth="1"/>
    <col min="15" max="16384" width="9.140625" style="9"/>
  </cols>
  <sheetData>
    <row r="1" spans="1:14">
      <c r="A1" s="5" t="s">
        <v>108</v>
      </c>
      <c r="B1" s="29" t="str">
        <f>Info!C2</f>
        <v>სს ”საქართველოს ბანკი”</v>
      </c>
    </row>
    <row r="2" spans="1:14" ht="14.25" customHeight="1">
      <c r="A2" s="29" t="s">
        <v>109</v>
      </c>
      <c r="B2" s="611">
        <f>'1. key ratios'!B2</f>
        <v>45291</v>
      </c>
    </row>
    <row r="3" spans="1:14" ht="14.25" customHeight="1"/>
    <row r="4" spans="1:14" ht="15.75" thickBot="1">
      <c r="A4" s="2" t="s">
        <v>261</v>
      </c>
      <c r="B4" s="34" t="s">
        <v>74</v>
      </c>
    </row>
    <row r="5" spans="1:14" s="20" customFormat="1" ht="12.75">
      <c r="A5" s="85"/>
      <c r="B5" s="86"/>
      <c r="C5" s="87" t="s">
        <v>0</v>
      </c>
      <c r="D5" s="87" t="s">
        <v>1</v>
      </c>
      <c r="E5" s="87" t="s">
        <v>2</v>
      </c>
      <c r="F5" s="87" t="s">
        <v>3</v>
      </c>
      <c r="G5" s="87" t="s">
        <v>4</v>
      </c>
      <c r="H5" s="87" t="s">
        <v>5</v>
      </c>
      <c r="I5" s="87" t="s">
        <v>145</v>
      </c>
      <c r="J5" s="87" t="s">
        <v>146</v>
      </c>
      <c r="K5" s="87" t="s">
        <v>147</v>
      </c>
      <c r="L5" s="87" t="s">
        <v>148</v>
      </c>
      <c r="M5" s="87" t="s">
        <v>149</v>
      </c>
      <c r="N5" s="88" t="s">
        <v>150</v>
      </c>
    </row>
    <row r="6" spans="1:14" ht="45">
      <c r="A6" s="77"/>
      <c r="B6" s="46"/>
      <c r="C6" s="47" t="s">
        <v>84</v>
      </c>
      <c r="D6" s="48" t="s">
        <v>73</v>
      </c>
      <c r="E6" s="49" t="s">
        <v>83</v>
      </c>
      <c r="F6" s="50">
        <v>0</v>
      </c>
      <c r="G6" s="50">
        <v>0.2</v>
      </c>
      <c r="H6" s="50">
        <v>0.35</v>
      </c>
      <c r="I6" s="50">
        <v>0.5</v>
      </c>
      <c r="J6" s="50">
        <v>0.75</v>
      </c>
      <c r="K6" s="50">
        <v>1</v>
      </c>
      <c r="L6" s="50">
        <v>1.5</v>
      </c>
      <c r="M6" s="50">
        <v>2.5</v>
      </c>
      <c r="N6" s="78" t="s">
        <v>74</v>
      </c>
    </row>
    <row r="7" spans="1:14">
      <c r="A7" s="79">
        <v>1</v>
      </c>
      <c r="B7" s="51" t="s">
        <v>75</v>
      </c>
      <c r="C7" s="144">
        <f>SUM(C8:C13)</f>
        <v>1604170013.5298998</v>
      </c>
      <c r="D7" s="46"/>
      <c r="E7" s="147">
        <f t="shared" ref="E7:M7" si="0">SUM(E8:E13)</f>
        <v>33042166.881986998</v>
      </c>
      <c r="F7" s="144">
        <f>SUM(F8:F13)</f>
        <v>0</v>
      </c>
      <c r="G7" s="144">
        <f t="shared" si="0"/>
        <v>23241294.625732001</v>
      </c>
      <c r="H7" s="144">
        <f t="shared" si="0"/>
        <v>0</v>
      </c>
      <c r="I7" s="144">
        <f t="shared" si="0"/>
        <v>3678357.0646779998</v>
      </c>
      <c r="J7" s="144">
        <f t="shared" si="0"/>
        <v>0</v>
      </c>
      <c r="K7" s="144">
        <f t="shared" si="0"/>
        <v>6122515.1915769987</v>
      </c>
      <c r="L7" s="144">
        <f t="shared" si="0"/>
        <v>0</v>
      </c>
      <c r="M7" s="144">
        <f t="shared" si="0"/>
        <v>0</v>
      </c>
      <c r="N7" s="80">
        <f>SUM(N8:N13)</f>
        <v>12609952.649062399</v>
      </c>
    </row>
    <row r="8" spans="1:14">
      <c r="A8" s="79">
        <v>1.1000000000000001</v>
      </c>
      <c r="B8" s="52" t="s">
        <v>76</v>
      </c>
      <c r="C8" s="145">
        <v>1583496287.5785999</v>
      </c>
      <c r="D8" s="53">
        <v>0.02</v>
      </c>
      <c r="E8" s="147">
        <f>C8*D8</f>
        <v>31669925.751571998</v>
      </c>
      <c r="F8" s="145">
        <v>0</v>
      </c>
      <c r="G8" s="145">
        <v>23241294.625732001</v>
      </c>
      <c r="H8" s="145">
        <v>0</v>
      </c>
      <c r="I8" s="145">
        <v>3678357.0646779998</v>
      </c>
      <c r="J8" s="145">
        <v>0</v>
      </c>
      <c r="K8" s="145">
        <v>4750274.0611619996</v>
      </c>
      <c r="L8" s="145">
        <v>0</v>
      </c>
      <c r="M8" s="145">
        <v>0</v>
      </c>
      <c r="N8" s="80">
        <f>SUMPRODUCT($F$6:$M$6,F8:M8)</f>
        <v>11237711.518647399</v>
      </c>
    </row>
    <row r="9" spans="1:14">
      <c r="A9" s="79">
        <v>1.2</v>
      </c>
      <c r="B9" s="52" t="s">
        <v>77</v>
      </c>
      <c r="C9" s="145">
        <v>15367605.1843</v>
      </c>
      <c r="D9" s="53">
        <v>0.05</v>
      </c>
      <c r="E9" s="147">
        <f>C9*D9</f>
        <v>768380.25921500009</v>
      </c>
      <c r="F9" s="145">
        <v>0</v>
      </c>
      <c r="G9" s="145">
        <v>0</v>
      </c>
      <c r="H9" s="145">
        <v>0</v>
      </c>
      <c r="I9" s="145">
        <v>0</v>
      </c>
      <c r="J9" s="145">
        <v>0</v>
      </c>
      <c r="K9" s="145">
        <v>768380.25921499997</v>
      </c>
      <c r="L9" s="145">
        <v>0</v>
      </c>
      <c r="M9" s="145">
        <v>0</v>
      </c>
      <c r="N9" s="80">
        <f t="shared" ref="N9:N12" si="1">SUMPRODUCT($F$6:$M$6,F9:M9)</f>
        <v>768380.25921499997</v>
      </c>
    </row>
    <row r="10" spans="1:14">
      <c r="A10" s="79">
        <v>1.3</v>
      </c>
      <c r="B10" s="52" t="s">
        <v>78</v>
      </c>
      <c r="C10" s="145">
        <v>1186357.2720999999</v>
      </c>
      <c r="D10" s="53">
        <v>0.08</v>
      </c>
      <c r="E10" s="147">
        <f>C10*D10</f>
        <v>94908.581768000004</v>
      </c>
      <c r="F10" s="145">
        <v>0</v>
      </c>
      <c r="G10" s="145">
        <v>0</v>
      </c>
      <c r="H10" s="145">
        <v>0</v>
      </c>
      <c r="I10" s="145">
        <v>0</v>
      </c>
      <c r="J10" s="145">
        <v>0</v>
      </c>
      <c r="K10" s="145">
        <v>94908.581768000004</v>
      </c>
      <c r="L10" s="145">
        <v>0</v>
      </c>
      <c r="M10" s="145">
        <v>0</v>
      </c>
      <c r="N10" s="80">
        <f>SUMPRODUCT($F$6:$M$6,F10:M10)</f>
        <v>94908.581768000004</v>
      </c>
    </row>
    <row r="11" spans="1:14">
      <c r="A11" s="79">
        <v>1.4</v>
      </c>
      <c r="B11" s="52" t="s">
        <v>79</v>
      </c>
      <c r="C11" s="145">
        <v>2260486.6617999999</v>
      </c>
      <c r="D11" s="53">
        <v>0.11</v>
      </c>
      <c r="E11" s="147">
        <f>C11*D11</f>
        <v>248653.532798</v>
      </c>
      <c r="F11" s="145">
        <v>0</v>
      </c>
      <c r="G11" s="145">
        <v>0</v>
      </c>
      <c r="H11" s="145">
        <v>0</v>
      </c>
      <c r="I11" s="145">
        <v>0</v>
      </c>
      <c r="J11" s="145">
        <v>0</v>
      </c>
      <c r="K11" s="145">
        <v>248653.532798</v>
      </c>
      <c r="L11" s="145">
        <v>0</v>
      </c>
      <c r="M11" s="145">
        <v>0</v>
      </c>
      <c r="N11" s="80">
        <f t="shared" si="1"/>
        <v>248653.532798</v>
      </c>
    </row>
    <row r="12" spans="1:14">
      <c r="A12" s="79">
        <v>1.5</v>
      </c>
      <c r="B12" s="52" t="s">
        <v>80</v>
      </c>
      <c r="C12" s="145">
        <v>1859276.8330999999</v>
      </c>
      <c r="D12" s="53">
        <v>0.14000000000000001</v>
      </c>
      <c r="E12" s="147">
        <f>C12*D12</f>
        <v>260298.75663400002</v>
      </c>
      <c r="F12" s="145">
        <v>0</v>
      </c>
      <c r="G12" s="145">
        <v>0</v>
      </c>
      <c r="H12" s="145">
        <v>0</v>
      </c>
      <c r="I12" s="145">
        <v>0</v>
      </c>
      <c r="J12" s="145">
        <v>0</v>
      </c>
      <c r="K12" s="145">
        <v>260298.75663400002</v>
      </c>
      <c r="L12" s="145">
        <v>0</v>
      </c>
      <c r="M12" s="145">
        <v>0</v>
      </c>
      <c r="N12" s="80">
        <f t="shared" si="1"/>
        <v>260298.75663400002</v>
      </c>
    </row>
    <row r="13" spans="1:14">
      <c r="A13" s="79">
        <v>1.6</v>
      </c>
      <c r="B13" s="54" t="s">
        <v>81</v>
      </c>
      <c r="C13" s="145">
        <v>0</v>
      </c>
      <c r="D13" s="55"/>
      <c r="E13" s="145"/>
      <c r="F13" s="145">
        <v>0</v>
      </c>
      <c r="G13" s="145">
        <v>0</v>
      </c>
      <c r="H13" s="145">
        <v>0</v>
      </c>
      <c r="I13" s="145">
        <v>0</v>
      </c>
      <c r="J13" s="145">
        <v>0</v>
      </c>
      <c r="K13" s="145">
        <v>0</v>
      </c>
      <c r="L13" s="145">
        <v>0</v>
      </c>
      <c r="M13" s="145">
        <v>0</v>
      </c>
      <c r="N13" s="80">
        <f>SUMPRODUCT($F$6:$M$6,F13:M13)</f>
        <v>0</v>
      </c>
    </row>
    <row r="14" spans="1:14">
      <c r="A14" s="79">
        <v>2</v>
      </c>
      <c r="B14" s="56" t="s">
        <v>82</v>
      </c>
      <c r="C14" s="144">
        <f>SUM(C15:C20)</f>
        <v>0</v>
      </c>
      <c r="D14" s="46"/>
      <c r="E14" s="147">
        <f t="shared" ref="E14:M14" si="2">SUM(E15:E20)</f>
        <v>0</v>
      </c>
      <c r="F14" s="145">
        <f t="shared" si="2"/>
        <v>0</v>
      </c>
      <c r="G14" s="145">
        <f t="shared" si="2"/>
        <v>0</v>
      </c>
      <c r="H14" s="145">
        <f t="shared" si="2"/>
        <v>0</v>
      </c>
      <c r="I14" s="145">
        <f t="shared" si="2"/>
        <v>0</v>
      </c>
      <c r="J14" s="145">
        <f t="shared" si="2"/>
        <v>0</v>
      </c>
      <c r="K14" s="145">
        <f t="shared" si="2"/>
        <v>0</v>
      </c>
      <c r="L14" s="145">
        <f t="shared" si="2"/>
        <v>0</v>
      </c>
      <c r="M14" s="145">
        <f t="shared" si="2"/>
        <v>0</v>
      </c>
      <c r="N14" s="80">
        <f>SUM(N15:N20)</f>
        <v>0</v>
      </c>
    </row>
    <row r="15" spans="1:14">
      <c r="A15" s="79">
        <v>2.1</v>
      </c>
      <c r="B15" s="54" t="s">
        <v>76</v>
      </c>
      <c r="C15" s="145"/>
      <c r="D15" s="53">
        <v>5.0000000000000001E-3</v>
      </c>
      <c r="E15" s="147">
        <f>C15*D15</f>
        <v>0</v>
      </c>
      <c r="F15" s="145"/>
      <c r="G15" s="145"/>
      <c r="H15" s="145"/>
      <c r="I15" s="145"/>
      <c r="J15" s="145"/>
      <c r="K15" s="145"/>
      <c r="L15" s="145"/>
      <c r="M15" s="145"/>
      <c r="N15" s="80">
        <f>SUMPRODUCT($F$6:$M$6,F15:M15)</f>
        <v>0</v>
      </c>
    </row>
    <row r="16" spans="1:14">
      <c r="A16" s="79">
        <v>2.2000000000000002</v>
      </c>
      <c r="B16" s="54" t="s">
        <v>77</v>
      </c>
      <c r="C16" s="145"/>
      <c r="D16" s="53">
        <v>0.01</v>
      </c>
      <c r="E16" s="147">
        <f>C16*D16</f>
        <v>0</v>
      </c>
      <c r="F16" s="145"/>
      <c r="G16" s="145"/>
      <c r="H16" s="145"/>
      <c r="I16" s="145"/>
      <c r="J16" s="145"/>
      <c r="K16" s="145"/>
      <c r="L16" s="145"/>
      <c r="M16" s="145"/>
      <c r="N16" s="80">
        <f t="shared" ref="N16:N20" si="3">SUMPRODUCT($F$6:$M$6,F16:M16)</f>
        <v>0</v>
      </c>
    </row>
    <row r="17" spans="1:14">
      <c r="A17" s="79">
        <v>2.2999999999999998</v>
      </c>
      <c r="B17" s="54" t="s">
        <v>78</v>
      </c>
      <c r="C17" s="145"/>
      <c r="D17" s="53">
        <v>0.02</v>
      </c>
      <c r="E17" s="147">
        <f>C17*D17</f>
        <v>0</v>
      </c>
      <c r="F17" s="145"/>
      <c r="G17" s="145"/>
      <c r="H17" s="145"/>
      <c r="I17" s="145"/>
      <c r="J17" s="145"/>
      <c r="K17" s="145"/>
      <c r="L17" s="145"/>
      <c r="M17" s="145"/>
      <c r="N17" s="80">
        <f t="shared" si="3"/>
        <v>0</v>
      </c>
    </row>
    <row r="18" spans="1:14">
      <c r="A18" s="79">
        <v>2.4</v>
      </c>
      <c r="B18" s="54" t="s">
        <v>79</v>
      </c>
      <c r="C18" s="145"/>
      <c r="D18" s="53">
        <v>0.03</v>
      </c>
      <c r="E18" s="147">
        <f>C18*D18</f>
        <v>0</v>
      </c>
      <c r="F18" s="145"/>
      <c r="G18" s="145"/>
      <c r="H18" s="145"/>
      <c r="I18" s="145"/>
      <c r="J18" s="145"/>
      <c r="K18" s="145"/>
      <c r="L18" s="145"/>
      <c r="M18" s="145"/>
      <c r="N18" s="80">
        <f t="shared" si="3"/>
        <v>0</v>
      </c>
    </row>
    <row r="19" spans="1:14">
      <c r="A19" s="79">
        <v>2.5</v>
      </c>
      <c r="B19" s="54" t="s">
        <v>80</v>
      </c>
      <c r="C19" s="145"/>
      <c r="D19" s="53">
        <v>0.04</v>
      </c>
      <c r="E19" s="147">
        <f>C19*D19</f>
        <v>0</v>
      </c>
      <c r="F19" s="145"/>
      <c r="G19" s="145"/>
      <c r="H19" s="145"/>
      <c r="I19" s="145"/>
      <c r="J19" s="145"/>
      <c r="K19" s="145"/>
      <c r="L19" s="145"/>
      <c r="M19" s="145"/>
      <c r="N19" s="80">
        <f t="shared" si="3"/>
        <v>0</v>
      </c>
    </row>
    <row r="20" spans="1:14">
      <c r="A20" s="79">
        <v>2.6</v>
      </c>
      <c r="B20" s="54" t="s">
        <v>81</v>
      </c>
      <c r="C20" s="145"/>
      <c r="D20" s="55"/>
      <c r="E20" s="148"/>
      <c r="F20" s="145"/>
      <c r="G20" s="145"/>
      <c r="H20" s="145"/>
      <c r="I20" s="145"/>
      <c r="J20" s="145"/>
      <c r="K20" s="145"/>
      <c r="L20" s="145"/>
      <c r="M20" s="145"/>
      <c r="N20" s="80">
        <f t="shared" si="3"/>
        <v>0</v>
      </c>
    </row>
    <row r="21" spans="1:14" ht="15.75" thickBot="1">
      <c r="A21" s="81">
        <v>3</v>
      </c>
      <c r="B21" s="82" t="s">
        <v>66</v>
      </c>
      <c r="C21" s="146">
        <f>C14+C7</f>
        <v>1604170013.5298998</v>
      </c>
      <c r="D21" s="83"/>
      <c r="E21" s="149">
        <f>E14+E7</f>
        <v>33042166.881986998</v>
      </c>
      <c r="F21" s="150">
        <f>F7+F14</f>
        <v>0</v>
      </c>
      <c r="G21" s="150">
        <f t="shared" ref="G21:L21" si="4">G7+G14</f>
        <v>23241294.625732001</v>
      </c>
      <c r="H21" s="150">
        <f t="shared" si="4"/>
        <v>0</v>
      </c>
      <c r="I21" s="150">
        <f t="shared" si="4"/>
        <v>3678357.0646779998</v>
      </c>
      <c r="J21" s="150">
        <f t="shared" si="4"/>
        <v>0</v>
      </c>
      <c r="K21" s="150">
        <f t="shared" si="4"/>
        <v>6122515.1915769987</v>
      </c>
      <c r="L21" s="150">
        <f t="shared" si="4"/>
        <v>0</v>
      </c>
      <c r="M21" s="150">
        <f>M7+M14</f>
        <v>0</v>
      </c>
      <c r="N21" s="84">
        <f>N14+N7</f>
        <v>12609952.649062399</v>
      </c>
    </row>
    <row r="22" spans="1:14">
      <c r="E22" s="151"/>
      <c r="F22" s="151"/>
      <c r="G22" s="151"/>
      <c r="H22" s="151"/>
      <c r="I22" s="151"/>
      <c r="J22" s="151"/>
      <c r="K22" s="151"/>
      <c r="L22" s="151"/>
      <c r="M22" s="151"/>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Normal="100" workbookViewId="0"/>
  </sheetViews>
  <sheetFormatPr defaultRowHeight="15"/>
  <cols>
    <col min="1" max="1" width="11.42578125" customWidth="1"/>
    <col min="2" max="2" width="76.85546875" style="4" customWidth="1"/>
    <col min="3" max="3" width="22.85546875" customWidth="1"/>
  </cols>
  <sheetData>
    <row r="1" spans="1:3">
      <c r="A1" s="186" t="s">
        <v>108</v>
      </c>
      <c r="B1" t="str">
        <f>Info!C2</f>
        <v>სს ”საქართველოს ბანკი”</v>
      </c>
    </row>
    <row r="2" spans="1:3">
      <c r="A2" s="186" t="s">
        <v>109</v>
      </c>
      <c r="B2" s="271">
        <f>'1. key ratios'!B2</f>
        <v>45291</v>
      </c>
    </row>
    <row r="3" spans="1:3">
      <c r="A3" s="186"/>
      <c r="B3"/>
    </row>
    <row r="4" spans="1:3">
      <c r="A4" s="186" t="s">
        <v>427</v>
      </c>
      <c r="B4" t="s">
        <v>386</v>
      </c>
    </row>
    <row r="5" spans="1:3">
      <c r="A5" s="229"/>
      <c r="B5" s="229" t="s">
        <v>387</v>
      </c>
      <c r="C5" s="241"/>
    </row>
    <row r="6" spans="1:3">
      <c r="A6" s="230">
        <v>1</v>
      </c>
      <c r="B6" s="242" t="s">
        <v>439</v>
      </c>
      <c r="C6" s="612">
        <v>30256638611.269417</v>
      </c>
    </row>
    <row r="7" spans="1:3">
      <c r="A7" s="230">
        <v>2</v>
      </c>
      <c r="B7" s="242" t="s">
        <v>388</v>
      </c>
      <c r="C7" s="612">
        <v>-223607046.52807024</v>
      </c>
    </row>
    <row r="8" spans="1:3">
      <c r="A8" s="231">
        <v>3</v>
      </c>
      <c r="B8" s="243" t="s">
        <v>389</v>
      </c>
      <c r="C8" s="612">
        <v>30033031564.741348</v>
      </c>
    </row>
    <row r="9" spans="1:3">
      <c r="A9" s="232"/>
      <c r="B9" s="232" t="s">
        <v>390</v>
      </c>
      <c r="C9" s="613"/>
    </row>
    <row r="10" spans="1:3">
      <c r="A10" s="233">
        <v>4</v>
      </c>
      <c r="B10" s="245" t="s">
        <v>391</v>
      </c>
      <c r="C10" s="614"/>
    </row>
    <row r="11" spans="1:3">
      <c r="A11" s="233">
        <v>5</v>
      </c>
      <c r="B11" s="246" t="s">
        <v>392</v>
      </c>
      <c r="C11" s="614"/>
    </row>
    <row r="12" spans="1:3">
      <c r="A12" s="233" t="s">
        <v>393</v>
      </c>
      <c r="B12" s="242" t="s">
        <v>394</v>
      </c>
      <c r="C12" s="612">
        <v>33042166.881986998</v>
      </c>
    </row>
    <row r="13" spans="1:3">
      <c r="A13" s="234">
        <v>6</v>
      </c>
      <c r="B13" s="247" t="s">
        <v>395</v>
      </c>
      <c r="C13" s="614"/>
    </row>
    <row r="14" spans="1:3">
      <c r="A14" s="234">
        <v>7</v>
      </c>
      <c r="B14" s="248" t="s">
        <v>396</v>
      </c>
      <c r="C14" s="614"/>
    </row>
    <row r="15" spans="1:3">
      <c r="A15" s="235">
        <v>8</v>
      </c>
      <c r="B15" s="242" t="s">
        <v>397</v>
      </c>
      <c r="C15" s="614"/>
    </row>
    <row r="16" spans="1:3" ht="24">
      <c r="A16" s="234">
        <v>9</v>
      </c>
      <c r="B16" s="248" t="s">
        <v>398</v>
      </c>
      <c r="C16" s="614"/>
    </row>
    <row r="17" spans="1:3">
      <c r="A17" s="234">
        <v>10</v>
      </c>
      <c r="B17" s="248" t="s">
        <v>399</v>
      </c>
      <c r="C17" s="614"/>
    </row>
    <row r="18" spans="1:3">
      <c r="A18" s="236">
        <v>11</v>
      </c>
      <c r="B18" s="249" t="s">
        <v>400</v>
      </c>
      <c r="C18" s="612">
        <v>33042166.881986998</v>
      </c>
    </row>
    <row r="19" spans="1:3">
      <c r="A19" s="232"/>
      <c r="B19" s="232" t="s">
        <v>401</v>
      </c>
      <c r="C19" s="613"/>
    </row>
    <row r="20" spans="1:3">
      <c r="A20" s="234">
        <v>12</v>
      </c>
      <c r="B20" s="245" t="s">
        <v>402</v>
      </c>
      <c r="C20" s="614"/>
    </row>
    <row r="21" spans="1:3">
      <c r="A21" s="234">
        <v>13</v>
      </c>
      <c r="B21" s="245" t="s">
        <v>403</v>
      </c>
      <c r="C21" s="614"/>
    </row>
    <row r="22" spans="1:3">
      <c r="A22" s="234">
        <v>14</v>
      </c>
      <c r="B22" s="245" t="s">
        <v>404</v>
      </c>
      <c r="C22" s="614"/>
    </row>
    <row r="23" spans="1:3" ht="24">
      <c r="A23" s="234" t="s">
        <v>405</v>
      </c>
      <c r="B23" s="245" t="s">
        <v>406</v>
      </c>
      <c r="C23" s="614"/>
    </row>
    <row r="24" spans="1:3">
      <c r="A24" s="234">
        <v>15</v>
      </c>
      <c r="B24" s="245" t="s">
        <v>407</v>
      </c>
      <c r="C24" s="614"/>
    </row>
    <row r="25" spans="1:3">
      <c r="A25" s="234" t="s">
        <v>408</v>
      </c>
      <c r="B25" s="242" t="s">
        <v>409</v>
      </c>
      <c r="C25" s="614"/>
    </row>
    <row r="26" spans="1:3">
      <c r="A26" s="236">
        <v>16</v>
      </c>
      <c r="B26" s="249" t="s">
        <v>410</v>
      </c>
      <c r="C26" s="612">
        <v>0</v>
      </c>
    </row>
    <row r="27" spans="1:3">
      <c r="A27" s="232"/>
      <c r="B27" s="232" t="s">
        <v>411</v>
      </c>
      <c r="C27" s="613"/>
    </row>
    <row r="28" spans="1:3">
      <c r="A28" s="233">
        <v>17</v>
      </c>
      <c r="B28" s="242" t="s">
        <v>412</v>
      </c>
      <c r="C28" s="615"/>
    </row>
    <row r="29" spans="1:3">
      <c r="A29" s="233">
        <v>18</v>
      </c>
      <c r="B29" s="242" t="s">
        <v>413</v>
      </c>
      <c r="C29" s="615"/>
    </row>
    <row r="30" spans="1:3">
      <c r="A30" s="236">
        <v>19</v>
      </c>
      <c r="B30" s="249" t="s">
        <v>414</v>
      </c>
      <c r="C30" s="612">
        <v>0</v>
      </c>
    </row>
    <row r="31" spans="1:3">
      <c r="A31" s="237"/>
      <c r="B31" s="232" t="s">
        <v>415</v>
      </c>
      <c r="C31" s="613"/>
    </row>
    <row r="32" spans="1:3">
      <c r="A32" s="233" t="s">
        <v>416</v>
      </c>
      <c r="B32" s="245" t="s">
        <v>417</v>
      </c>
      <c r="C32" s="616"/>
    </row>
    <row r="33" spans="1:3">
      <c r="A33" s="233" t="s">
        <v>418</v>
      </c>
      <c r="B33" s="246" t="s">
        <v>419</v>
      </c>
      <c r="C33" s="616"/>
    </row>
    <row r="34" spans="1:3">
      <c r="A34" s="232"/>
      <c r="B34" s="232" t="s">
        <v>420</v>
      </c>
      <c r="C34" s="613"/>
    </row>
    <row r="35" spans="1:3">
      <c r="A35" s="236">
        <v>20</v>
      </c>
      <c r="B35" s="249" t="s">
        <v>86</v>
      </c>
      <c r="C35" s="612">
        <v>4603352345.0146236</v>
      </c>
    </row>
    <row r="36" spans="1:3">
      <c r="A36" s="236">
        <v>21</v>
      </c>
      <c r="B36" s="249" t="s">
        <v>421</v>
      </c>
      <c r="C36" s="612">
        <v>30066073731.623337</v>
      </c>
    </row>
    <row r="37" spans="1:3">
      <c r="A37" s="238"/>
      <c r="B37" s="238" t="s">
        <v>386</v>
      </c>
      <c r="C37" s="617"/>
    </row>
    <row r="38" spans="1:3">
      <c r="A38" s="236">
        <v>22</v>
      </c>
      <c r="B38" s="249" t="s">
        <v>386</v>
      </c>
      <c r="C38" s="618">
        <f>IFERROR(C35/C36,0)</f>
        <v>0.15310786456872291</v>
      </c>
    </row>
    <row r="39" spans="1:3">
      <c r="A39" s="238"/>
      <c r="B39" s="238" t="s">
        <v>422</v>
      </c>
      <c r="C39" s="244"/>
    </row>
    <row r="40" spans="1:3">
      <c r="A40" s="239" t="s">
        <v>423</v>
      </c>
      <c r="B40" s="245" t="s">
        <v>424</v>
      </c>
      <c r="C40" s="250"/>
    </row>
    <row r="41" spans="1:3">
      <c r="A41" s="240" t="s">
        <v>425</v>
      </c>
      <c r="B41" s="246" t="s">
        <v>426</v>
      </c>
      <c r="C41" s="250"/>
    </row>
    <row r="43" spans="1:3">
      <c r="B43" s="259" t="s">
        <v>440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2"/>
  <sheetViews>
    <sheetView zoomScaleNormal="100" workbookViewId="0">
      <pane xSplit="2" ySplit="6" topLeftCell="C7" activePane="bottomRight" state="frozen"/>
      <selection pane="topRight"/>
      <selection pane="bottomLeft"/>
      <selection pane="bottomRight" activeCell="C7" sqref="C7"/>
    </sheetView>
  </sheetViews>
  <sheetFormatPr defaultRowHeight="15"/>
  <cols>
    <col min="1" max="1" width="9.85546875" style="186" bestFit="1" customWidth="1"/>
    <col min="2" max="2" width="82.5703125" style="18" customWidth="1"/>
    <col min="3" max="3" width="21.85546875" style="186" customWidth="1"/>
    <col min="4" max="5" width="17.5703125" style="186" customWidth="1"/>
    <col min="6" max="6" width="22" style="186" customWidth="1"/>
    <col min="7" max="7" width="23.140625" style="186" bestFit="1" customWidth="1"/>
  </cols>
  <sheetData>
    <row r="1" spans="1:7">
      <c r="A1" s="186" t="s">
        <v>108</v>
      </c>
      <c r="B1" s="186" t="str">
        <f>Info!C2</f>
        <v>სს ”საქართველოს ბანკი”</v>
      </c>
    </row>
    <row r="2" spans="1:7">
      <c r="A2" s="186" t="s">
        <v>109</v>
      </c>
      <c r="B2" s="271">
        <f>'1. key ratios'!B2</f>
        <v>45291</v>
      </c>
    </row>
    <row r="3" spans="1:7">
      <c r="B3" s="271"/>
    </row>
    <row r="4" spans="1:7" ht="15.75" thickBot="1">
      <c r="A4" s="186" t="s">
        <v>487</v>
      </c>
      <c r="B4" s="272" t="s">
        <v>452</v>
      </c>
    </row>
    <row r="5" spans="1:7" ht="15" customHeight="1">
      <c r="A5" s="273"/>
      <c r="B5" s="274"/>
      <c r="C5" s="858" t="s">
        <v>453</v>
      </c>
      <c r="D5" s="858"/>
      <c r="E5" s="858"/>
      <c r="F5" s="858"/>
      <c r="G5" s="859" t="s">
        <v>454</v>
      </c>
    </row>
    <row r="6" spans="1:7">
      <c r="A6" s="275"/>
      <c r="B6" s="276"/>
      <c r="C6" s="277" t="s">
        <v>455</v>
      </c>
      <c r="D6" s="278" t="s">
        <v>456</v>
      </c>
      <c r="E6" s="278" t="s">
        <v>457</v>
      </c>
      <c r="F6" s="278" t="s">
        <v>458</v>
      </c>
      <c r="G6" s="860"/>
    </row>
    <row r="7" spans="1:7">
      <c r="A7" s="279"/>
      <c r="B7" s="280" t="s">
        <v>459</v>
      </c>
      <c r="C7" s="281"/>
      <c r="D7" s="281"/>
      <c r="E7" s="281"/>
      <c r="F7" s="281"/>
      <c r="G7" s="282"/>
    </row>
    <row r="8" spans="1:7">
      <c r="A8" s="283">
        <v>1</v>
      </c>
      <c r="B8" s="284" t="s">
        <v>460</v>
      </c>
      <c r="C8" s="285">
        <f>SUM(C9:C10)</f>
        <v>4603352345.0146236</v>
      </c>
      <c r="D8" s="285">
        <f>SUM(D9:D10)</f>
        <v>0</v>
      </c>
      <c r="E8" s="285">
        <f>SUM(E9:E10)</f>
        <v>0</v>
      </c>
      <c r="F8" s="285">
        <f>SUM(F9:F10)</f>
        <v>3156615867.6210003</v>
      </c>
      <c r="G8" s="286">
        <f>SUM(G9:G10)</f>
        <v>7759968212.6356239</v>
      </c>
    </row>
    <row r="9" spans="1:7">
      <c r="A9" s="283">
        <v>2</v>
      </c>
      <c r="B9" s="287" t="s">
        <v>85</v>
      </c>
      <c r="C9" s="285">
        <v>4603352345.0146236</v>
      </c>
      <c r="D9" s="285"/>
      <c r="E9" s="285"/>
      <c r="F9" s="285">
        <v>499018170</v>
      </c>
      <c r="G9" s="286">
        <f>SUM(C9:F9)</f>
        <v>5102370515.0146236</v>
      </c>
    </row>
    <row r="10" spans="1:7">
      <c r="A10" s="283">
        <v>3</v>
      </c>
      <c r="B10" s="287" t="s">
        <v>461</v>
      </c>
      <c r="C10" s="288"/>
      <c r="D10" s="288"/>
      <c r="E10" s="288"/>
      <c r="F10" s="285">
        <v>2657597697.6210003</v>
      </c>
      <c r="G10" s="286">
        <v>2657597697.6210003</v>
      </c>
    </row>
    <row r="11" spans="1:7" ht="26.25">
      <c r="A11" s="283">
        <v>4</v>
      </c>
      <c r="B11" s="284" t="s">
        <v>462</v>
      </c>
      <c r="C11" s="285">
        <f t="shared" ref="C11:F11" si="0">SUM(C12:C13)</f>
        <v>5830922566.4949999</v>
      </c>
      <c r="D11" s="285">
        <f t="shared" si="0"/>
        <v>4082629641.4099998</v>
      </c>
      <c r="E11" s="285">
        <f t="shared" si="0"/>
        <v>1616586334.3299999</v>
      </c>
      <c r="F11" s="285">
        <f t="shared" si="0"/>
        <v>423861847.07999998</v>
      </c>
      <c r="G11" s="286">
        <f>SUM(G12:G13)</f>
        <v>9533427625.3212433</v>
      </c>
    </row>
    <row r="12" spans="1:7">
      <c r="A12" s="283">
        <v>5</v>
      </c>
      <c r="B12" s="287" t="s">
        <v>463</v>
      </c>
      <c r="C12" s="285">
        <v>3223435034.645</v>
      </c>
      <c r="D12" s="289">
        <v>3079137980.23</v>
      </c>
      <c r="E12" s="285">
        <v>1265661540.5</v>
      </c>
      <c r="F12" s="285">
        <v>334937373.08999997</v>
      </c>
      <c r="G12" s="286">
        <v>7508013394.8462458</v>
      </c>
    </row>
    <row r="13" spans="1:7">
      <c r="A13" s="283">
        <v>6</v>
      </c>
      <c r="B13" s="287" t="s">
        <v>464</v>
      </c>
      <c r="C13" s="285">
        <v>2607487531.8499999</v>
      </c>
      <c r="D13" s="289">
        <v>1003491661.1799999</v>
      </c>
      <c r="E13" s="285">
        <v>350924793.82999998</v>
      </c>
      <c r="F13" s="285">
        <v>88924473.989999995</v>
      </c>
      <c r="G13" s="286">
        <v>2025414230.4749985</v>
      </c>
    </row>
    <row r="14" spans="1:7">
      <c r="A14" s="283">
        <v>7</v>
      </c>
      <c r="B14" s="284" t="s">
        <v>465</v>
      </c>
      <c r="C14" s="285">
        <f t="shared" ref="C14:F14" si="1">SUM(C15:C16)</f>
        <v>6256401581.1865015</v>
      </c>
      <c r="D14" s="285">
        <f t="shared" si="1"/>
        <v>2943168037.9596</v>
      </c>
      <c r="E14" s="285">
        <f t="shared" si="1"/>
        <v>343003279.81</v>
      </c>
      <c r="F14" s="285">
        <f t="shared" si="1"/>
        <v>6725541.4699999997</v>
      </c>
      <c r="G14" s="286">
        <f>SUM(G15:G16)</f>
        <v>3246054861.9332509</v>
      </c>
    </row>
    <row r="15" spans="1:7" ht="51.75">
      <c r="A15" s="283">
        <v>8</v>
      </c>
      <c r="B15" s="287" t="s">
        <v>466</v>
      </c>
      <c r="C15" s="285">
        <v>5672723149.9465017</v>
      </c>
      <c r="D15" s="289">
        <v>469657752.63999999</v>
      </c>
      <c r="E15" s="285">
        <v>34093679.859999999</v>
      </c>
      <c r="F15" s="285">
        <v>6725541.4699999997</v>
      </c>
      <c r="G15" s="286">
        <v>3091600061.958251</v>
      </c>
    </row>
    <row r="16" spans="1:7" ht="26.25">
      <c r="A16" s="283">
        <v>9</v>
      </c>
      <c r="B16" s="287" t="s">
        <v>467</v>
      </c>
      <c r="C16" s="285">
        <v>583678431.24000001</v>
      </c>
      <c r="D16" s="289">
        <v>2473510285.3196001</v>
      </c>
      <c r="E16" s="285">
        <v>308909599.94999999</v>
      </c>
      <c r="F16" s="285">
        <v>0</v>
      </c>
      <c r="G16" s="286">
        <v>154454799.97499999</v>
      </c>
    </row>
    <row r="17" spans="1:9">
      <c r="A17" s="283">
        <v>10</v>
      </c>
      <c r="B17" s="284" t="s">
        <v>468</v>
      </c>
      <c r="C17" s="285"/>
      <c r="D17" s="289"/>
      <c r="E17" s="285"/>
      <c r="F17" s="285"/>
      <c r="G17" s="286"/>
    </row>
    <row r="18" spans="1:9">
      <c r="A18" s="283">
        <v>11</v>
      </c>
      <c r="B18" s="284" t="s">
        <v>89</v>
      </c>
      <c r="C18" s="285">
        <f>SUM(C19:C20)</f>
        <v>0</v>
      </c>
      <c r="D18" s="289">
        <f t="shared" ref="D18:G18" si="2">SUM(D19:D20)</f>
        <v>763424104.70535374</v>
      </c>
      <c r="E18" s="285">
        <f t="shared" si="2"/>
        <v>249836.42</v>
      </c>
      <c r="F18" s="285">
        <f t="shared" si="2"/>
        <v>1177115.71</v>
      </c>
      <c r="G18" s="286">
        <f t="shared" si="2"/>
        <v>0</v>
      </c>
    </row>
    <row r="19" spans="1:9">
      <c r="A19" s="283">
        <v>12</v>
      </c>
      <c r="B19" s="287" t="s">
        <v>469</v>
      </c>
      <c r="C19" s="288"/>
      <c r="D19" s="289">
        <v>24352524.859999996</v>
      </c>
      <c r="E19" s="285">
        <v>249836.42</v>
      </c>
      <c r="F19" s="285">
        <v>1177115.71</v>
      </c>
      <c r="G19" s="286">
        <v>0</v>
      </c>
    </row>
    <row r="20" spans="1:9" ht="26.25">
      <c r="A20" s="283">
        <v>13</v>
      </c>
      <c r="B20" s="287" t="s">
        <v>470</v>
      </c>
      <c r="C20" s="285"/>
      <c r="D20" s="285">
        <v>739071579.84535372</v>
      </c>
      <c r="E20" s="285">
        <v>0</v>
      </c>
      <c r="F20" s="285">
        <v>0</v>
      </c>
      <c r="G20" s="286">
        <v>0</v>
      </c>
    </row>
    <row r="21" spans="1:9">
      <c r="A21" s="290">
        <v>14</v>
      </c>
      <c r="B21" s="291" t="s">
        <v>471</v>
      </c>
      <c r="C21" s="292">
        <f>SUM(C8,C11,C14,C17,C18)</f>
        <v>16690676492.696125</v>
      </c>
      <c r="D21" s="292">
        <f t="shared" ref="D21:F21" si="3">SUM(D8,D11,D14,D17,D18)</f>
        <v>7789221784.074954</v>
      </c>
      <c r="E21" s="292">
        <f t="shared" si="3"/>
        <v>1959839450.5599999</v>
      </c>
      <c r="F21" s="292">
        <f t="shared" si="3"/>
        <v>3588380371.881</v>
      </c>
      <c r="G21" s="292">
        <f>SUM(G8,G11,G14,G17,G18)</f>
        <v>20539450699.890118</v>
      </c>
      <c r="I21" s="572">
        <f>G21-'1. key ratios'!C46</f>
        <v>0</v>
      </c>
    </row>
    <row r="22" spans="1:9">
      <c r="A22" s="293"/>
      <c r="B22" s="307" t="s">
        <v>472</v>
      </c>
      <c r="C22" s="294"/>
      <c r="D22" s="295"/>
      <c r="E22" s="294"/>
      <c r="F22" s="294"/>
      <c r="G22" s="296"/>
    </row>
    <row r="23" spans="1:9">
      <c r="A23" s="283">
        <v>15</v>
      </c>
      <c r="B23" s="284" t="s">
        <v>321</v>
      </c>
      <c r="C23" s="297">
        <v>4274000853.9009991</v>
      </c>
      <c r="D23" s="298">
        <v>5217138245.3850002</v>
      </c>
      <c r="E23" s="297"/>
      <c r="F23" s="297"/>
      <c r="G23" s="286">
        <v>317132081.36875004</v>
      </c>
    </row>
    <row r="24" spans="1:9">
      <c r="A24" s="283">
        <v>16</v>
      </c>
      <c r="B24" s="284" t="s">
        <v>473</v>
      </c>
      <c r="C24" s="285">
        <f>SUM(C25:C27,C29,C31)</f>
        <v>0</v>
      </c>
      <c r="D24" s="289">
        <f>SUM(D25:D27,D29,D31)</f>
        <v>2984501651.1073098</v>
      </c>
      <c r="E24" s="285">
        <f t="shared" ref="E24:G24" si="4">SUM(E25:E27,E29,E31)</f>
        <v>2299854394.2664533</v>
      </c>
      <c r="F24" s="285">
        <f t="shared" si="4"/>
        <v>12380850045.713398</v>
      </c>
      <c r="G24" s="286">
        <f t="shared" si="4"/>
        <v>12598223664.417934</v>
      </c>
    </row>
    <row r="25" spans="1:9" ht="26.25">
      <c r="A25" s="283">
        <v>17</v>
      </c>
      <c r="B25" s="287" t="s">
        <v>474</v>
      </c>
      <c r="C25" s="285">
        <v>0</v>
      </c>
      <c r="D25" s="289"/>
      <c r="E25" s="285"/>
      <c r="F25" s="285"/>
      <c r="G25" s="286"/>
    </row>
    <row r="26" spans="1:9" ht="26.25">
      <c r="A26" s="283">
        <v>18</v>
      </c>
      <c r="B26" s="287" t="s">
        <v>475</v>
      </c>
      <c r="C26" s="285">
        <v>0</v>
      </c>
      <c r="D26" s="289">
        <v>132099731.64</v>
      </c>
      <c r="E26" s="285">
        <v>68000873.640000001</v>
      </c>
      <c r="F26" s="285">
        <v>49972169.740000002</v>
      </c>
      <c r="G26" s="286">
        <v>103787566.30599999</v>
      </c>
    </row>
    <row r="27" spans="1:9">
      <c r="A27" s="283">
        <v>19</v>
      </c>
      <c r="B27" s="287" t="s">
        <v>476</v>
      </c>
      <c r="C27" s="285">
        <v>0</v>
      </c>
      <c r="D27" s="289">
        <v>2514472523.1464162</v>
      </c>
      <c r="E27" s="285">
        <v>1916857238.8125291</v>
      </c>
      <c r="F27" s="285">
        <v>7766152973.7992935</v>
      </c>
      <c r="G27" s="286">
        <v>8820074372.7736664</v>
      </c>
    </row>
    <row r="28" spans="1:9">
      <c r="A28" s="283">
        <v>20</v>
      </c>
      <c r="B28" s="299" t="s">
        <v>477</v>
      </c>
      <c r="C28" s="285"/>
      <c r="D28" s="289"/>
      <c r="E28" s="285"/>
      <c r="F28" s="285"/>
      <c r="G28" s="286"/>
    </row>
    <row r="29" spans="1:9">
      <c r="A29" s="283">
        <v>21</v>
      </c>
      <c r="B29" s="287" t="s">
        <v>478</v>
      </c>
      <c r="C29" s="285">
        <v>0</v>
      </c>
      <c r="D29" s="289">
        <v>332979396.32089365</v>
      </c>
      <c r="E29" s="285">
        <v>295357847.25252396</v>
      </c>
      <c r="F29" s="285">
        <v>4268287835.981905</v>
      </c>
      <c r="G29" s="286">
        <v>3410096001.794199</v>
      </c>
    </row>
    <row r="30" spans="1:9">
      <c r="A30" s="283">
        <v>22</v>
      </c>
      <c r="B30" s="299" t="s">
        <v>477</v>
      </c>
      <c r="C30" s="285"/>
      <c r="D30" s="289">
        <v>224059096.39832896</v>
      </c>
      <c r="E30" s="285">
        <v>205194240.80504617</v>
      </c>
      <c r="F30" s="285">
        <v>2731453019.3937249</v>
      </c>
      <c r="G30" s="286">
        <v>1994222759.3020177</v>
      </c>
    </row>
    <row r="31" spans="1:9" ht="26.25">
      <c r="A31" s="283">
        <v>23</v>
      </c>
      <c r="B31" s="287" t="s">
        <v>479</v>
      </c>
      <c r="C31" s="285"/>
      <c r="D31" s="289">
        <v>4950000</v>
      </c>
      <c r="E31" s="285">
        <v>19638434.561399996</v>
      </c>
      <c r="F31" s="285">
        <v>296437066.19219995</v>
      </c>
      <c r="G31" s="286">
        <v>264265723.54406995</v>
      </c>
    </row>
    <row r="32" spans="1:9">
      <c r="A32" s="283">
        <v>24</v>
      </c>
      <c r="B32" s="284" t="s">
        <v>480</v>
      </c>
      <c r="C32" s="285"/>
      <c r="D32" s="289"/>
      <c r="E32" s="285"/>
      <c r="F32" s="285"/>
      <c r="G32" s="286"/>
    </row>
    <row r="33" spans="1:9">
      <c r="A33" s="283">
        <v>25</v>
      </c>
      <c r="B33" s="284" t="s">
        <v>99</v>
      </c>
      <c r="C33" s="285">
        <f>SUM(C34:C35)</f>
        <v>1051007235.7571</v>
      </c>
      <c r="D33" s="285">
        <f>SUM(D34:D35)</f>
        <v>757974596.60953093</v>
      </c>
      <c r="E33" s="285">
        <f>SUM(E34:E35)</f>
        <v>165372731.26717341</v>
      </c>
      <c r="F33" s="285">
        <f>SUM(F34:F35)</f>
        <v>915438849.74614108</v>
      </c>
      <c r="G33" s="286">
        <f>SUM(G34:G35)</f>
        <v>2539818521.1391363</v>
      </c>
    </row>
    <row r="34" spans="1:9">
      <c r="A34" s="283">
        <v>26</v>
      </c>
      <c r="B34" s="287" t="s">
        <v>481</v>
      </c>
      <c r="C34" s="288"/>
      <c r="D34" s="289">
        <v>9891982.9600000009</v>
      </c>
      <c r="E34" s="285">
        <v>1031031.16</v>
      </c>
      <c r="F34" s="285">
        <v>19241.7</v>
      </c>
      <c r="G34" s="286">
        <v>10942255.82</v>
      </c>
    </row>
    <row r="35" spans="1:9">
      <c r="A35" s="283">
        <v>27</v>
      </c>
      <c r="B35" s="287" t="s">
        <v>482</v>
      </c>
      <c r="C35" s="285">
        <v>1051007235.7571</v>
      </c>
      <c r="D35" s="289">
        <v>748082613.64953089</v>
      </c>
      <c r="E35" s="285">
        <v>164341700.10717341</v>
      </c>
      <c r="F35" s="285">
        <v>915419608.04614103</v>
      </c>
      <c r="G35" s="286">
        <v>2528876265.3191361</v>
      </c>
    </row>
    <row r="36" spans="1:9">
      <c r="A36" s="283">
        <v>28</v>
      </c>
      <c r="B36" s="284" t="s">
        <v>483</v>
      </c>
      <c r="C36" s="285">
        <v>967295372.62620008</v>
      </c>
      <c r="D36" s="289">
        <v>521242623.33830005</v>
      </c>
      <c r="E36" s="285">
        <v>360478843.3064</v>
      </c>
      <c r="F36" s="285">
        <v>1090778439.2651</v>
      </c>
      <c r="G36" s="286">
        <v>300153681.18554503</v>
      </c>
    </row>
    <row r="37" spans="1:9">
      <c r="A37" s="290">
        <v>29</v>
      </c>
      <c r="B37" s="291" t="s">
        <v>484</v>
      </c>
      <c r="C37" s="292">
        <f>SUM(C23:C24,C32:C33,C36)</f>
        <v>6292303462.2842989</v>
      </c>
      <c r="D37" s="292">
        <f>SUM(D23:D24,D32:D33,D36)</f>
        <v>9480857116.4401417</v>
      </c>
      <c r="E37" s="292">
        <f>SUM(E23:E24,E32:E33,E36)</f>
        <v>2825705968.8400264</v>
      </c>
      <c r="F37" s="292">
        <f>SUM(F23:F24,F32:F33,F36)</f>
        <v>14387067334.72464</v>
      </c>
      <c r="G37" s="292">
        <f>SUM(G23:G24,G32:G33,G36)</f>
        <v>15755327948.111364</v>
      </c>
      <c r="I37" s="572">
        <f>G37-'1. key ratios'!C47</f>
        <v>0</v>
      </c>
    </row>
    <row r="38" spans="1:9">
      <c r="A38" s="279"/>
      <c r="B38" s="300"/>
      <c r="C38" s="301"/>
      <c r="D38" s="301"/>
      <c r="E38" s="301"/>
      <c r="F38" s="301"/>
      <c r="G38" s="302"/>
    </row>
    <row r="39" spans="1:9" ht="15.75" thickBot="1">
      <c r="A39" s="303">
        <v>30</v>
      </c>
      <c r="B39" s="304" t="s">
        <v>452</v>
      </c>
      <c r="C39" s="194"/>
      <c r="D39" s="177"/>
      <c r="E39" s="177"/>
      <c r="F39" s="305"/>
      <c r="G39" s="306">
        <f>IFERROR(G21/G37,0)</f>
        <v>1.3036511056789675</v>
      </c>
    </row>
    <row r="41" spans="1:9">
      <c r="G41" s="664"/>
    </row>
    <row r="42" spans="1:9" ht="39">
      <c r="B42" s="18" t="s">
        <v>485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2"/>
  <sheetViews>
    <sheetView zoomScaleNormal="100" workbookViewId="0">
      <pane xSplit="1" ySplit="5" topLeftCell="B9" activePane="bottomRight" state="frozen"/>
      <selection pane="topRight"/>
      <selection pane="bottomLeft"/>
      <selection pane="bottomRight" activeCell="B6" sqref="B6"/>
    </sheetView>
  </sheetViews>
  <sheetFormatPr defaultRowHeight="30.75" customHeight="1"/>
  <cols>
    <col min="1" max="1" width="9.5703125" style="14" bestFit="1" customWidth="1"/>
    <col min="2" max="2" width="88.42578125" style="11" customWidth="1"/>
    <col min="3" max="3" width="17.85546875" style="11" customWidth="1"/>
    <col min="4" max="4" width="17.7109375" style="2" customWidth="1"/>
    <col min="5" max="5" width="18.140625" style="2" customWidth="1"/>
    <col min="6" max="6" width="19.7109375" style="2" customWidth="1"/>
    <col min="7" max="7" width="17.5703125" style="2" customWidth="1"/>
    <col min="8" max="8" width="21.85546875" customWidth="1"/>
    <col min="9" max="9" width="23.28515625" style="186" customWidth="1"/>
    <col min="10" max="10" width="12.28515625" bestFit="1" customWidth="1"/>
    <col min="11" max="11" width="10.42578125" bestFit="1" customWidth="1"/>
  </cols>
  <sheetData>
    <row r="1" spans="1:11" ht="30.75" customHeight="1">
      <c r="A1" s="12" t="s">
        <v>108</v>
      </c>
      <c r="B1" s="258" t="str">
        <f>Info!C2</f>
        <v>სს ”საქართველოს ბანკი”</v>
      </c>
      <c r="H1" s="477"/>
      <c r="I1" s="475"/>
    </row>
    <row r="2" spans="1:11" ht="30.75" customHeight="1">
      <c r="A2" s="12" t="s">
        <v>109</v>
      </c>
      <c r="B2" s="611">
        <v>45291</v>
      </c>
      <c r="D2" s="186"/>
      <c r="E2" s="186"/>
      <c r="F2" s="186"/>
      <c r="G2" s="186"/>
      <c r="H2" s="477"/>
      <c r="I2" s="475"/>
    </row>
    <row r="3" spans="1:11" ht="30.75" customHeight="1" thickBot="1">
      <c r="A3" s="12"/>
      <c r="C3" s="22"/>
      <c r="D3" s="13"/>
      <c r="E3" s="13"/>
      <c r="F3" s="13"/>
      <c r="G3" s="13"/>
      <c r="H3" s="1"/>
      <c r="I3" s="13"/>
    </row>
    <row r="4" spans="1:11" ht="76.5" customHeight="1" thickBot="1">
      <c r="A4" s="713" t="s">
        <v>251</v>
      </c>
      <c r="B4" s="714" t="s">
        <v>139</v>
      </c>
      <c r="C4" s="22"/>
      <c r="D4" s="22"/>
      <c r="E4" s="22"/>
      <c r="F4" s="22"/>
      <c r="G4" s="22"/>
      <c r="H4" s="1"/>
      <c r="I4" s="802" t="s">
        <v>933</v>
      </c>
    </row>
    <row r="5" spans="1:11" ht="30.75" customHeight="1">
      <c r="A5" s="165" t="s">
        <v>25</v>
      </c>
      <c r="B5" s="166"/>
      <c r="C5" s="269" t="str">
        <f>INT((MONTH($B$2))/3)&amp;"Q"&amp;"-"&amp;YEAR($B$2)</f>
        <v>4Q-2023</v>
      </c>
      <c r="D5" s="269" t="str">
        <f>IF(INT(MONTH($B$2))=3, "4"&amp;"Q"&amp;"-"&amp;YEAR($B$2)-1, IF(INT(MONTH($B$2))=6, "1"&amp;"Q"&amp;"-"&amp;YEAR($B$2), IF(INT(MONTH($B$2))=9, "2"&amp;"Q"&amp;"-"&amp;YEAR($B$2),IF(INT(MONTH($B$2))=12, "3"&amp;"Q"&amp;"-"&amp;YEAR($B$2), 0))))</f>
        <v>3Q-2023</v>
      </c>
      <c r="E5" s="269" t="str">
        <f>IF(INT(MONTH($B$2))=3, "3"&amp;"Q"&amp;"-"&amp;YEAR($B$2)-1, IF(INT(MONTH($B$2))=6, "4"&amp;"Q"&amp;"-"&amp;YEAR($B$2)-1, IF(INT(MONTH($B$2))=9, "1"&amp;"Q"&amp;"-"&amp;YEAR($B$2),IF(INT(MONTH($B$2))=12, "2"&amp;"Q"&amp;"-"&amp;YEAR($B$2), 0))))</f>
        <v>2Q-2023</v>
      </c>
      <c r="F5" s="269" t="str">
        <f>IF(INT(MONTH($B$2))=3, "2"&amp;"Q"&amp;"-"&amp;YEAR($B$2)-1, IF(INT(MONTH($B$2))=6, "3"&amp;"Q"&amp;"-"&amp;YEAR($B$2)-1, IF(INT(MONTH($B$2))=9, "4"&amp;"Q"&amp;"-"&amp;YEAR($B$2)-1,IF(INT(MONTH($B$2))=12, "1"&amp;"Q"&amp;"-"&amp;YEAR($B$2), 0))))</f>
        <v>1Q-2023</v>
      </c>
      <c r="G5" s="270" t="str">
        <f>IF(INT(MONTH($B$2))=3, "1"&amp;"Q"&amp;"-"&amp;YEAR($B$2)-1, IF(INT(MONTH($B$2))=6, "2"&amp;"Q"&amp;"-"&amp;YEAR($B$2)-1, IF(INT(MONTH($B$2))=9, "3"&amp;"Q"&amp;"-"&amp;YEAR($B$2)-1,IF(INT(MONTH($B$2))=12, "4"&amp;"Q"&amp;"-"&amp;YEAR($B$2)-1, 0))))</f>
        <v>4Q-2022</v>
      </c>
      <c r="I5" s="734" t="s">
        <v>1006</v>
      </c>
    </row>
    <row r="6" spans="1:11" ht="30.75" customHeight="1">
      <c r="A6" s="723"/>
      <c r="B6" s="716" t="s">
        <v>106</v>
      </c>
      <c r="C6" s="717"/>
      <c r="D6" s="717"/>
      <c r="E6" s="717"/>
      <c r="F6" s="717"/>
      <c r="G6" s="724"/>
      <c r="I6" s="735"/>
    </row>
    <row r="7" spans="1:11" ht="30.75" customHeight="1">
      <c r="A7" s="723"/>
      <c r="B7" s="718" t="s">
        <v>110</v>
      </c>
      <c r="C7" s="717"/>
      <c r="D7" s="717"/>
      <c r="E7" s="717"/>
      <c r="F7" s="717"/>
      <c r="G7" s="724"/>
      <c r="I7" s="735"/>
    </row>
    <row r="8" spans="1:11" ht="30.75" customHeight="1">
      <c r="A8" s="725">
        <v>1</v>
      </c>
      <c r="B8" s="715" t="s">
        <v>22</v>
      </c>
      <c r="C8" s="493">
        <v>4199942345.0146236</v>
      </c>
      <c r="D8" s="777">
        <v>3867685014.0982533</v>
      </c>
      <c r="E8" s="756">
        <v>3757669543.8987885</v>
      </c>
      <c r="F8" s="756">
        <v>3819677641.2357626</v>
      </c>
      <c r="G8" s="756">
        <v>3557672511.5713964</v>
      </c>
      <c r="I8" s="736">
        <v>2982748457.1136999</v>
      </c>
      <c r="K8" s="482"/>
    </row>
    <row r="9" spans="1:11" ht="30.75" customHeight="1">
      <c r="A9" s="725">
        <v>2</v>
      </c>
      <c r="B9" s="715" t="s">
        <v>86</v>
      </c>
      <c r="C9" s="493">
        <v>4603352345.0146236</v>
      </c>
      <c r="D9" s="757">
        <v>4269430014.0982533</v>
      </c>
      <c r="E9" s="758">
        <v>4150324543.8987885</v>
      </c>
      <c r="F9" s="758">
        <v>4203737641.2357626</v>
      </c>
      <c r="G9" s="758">
        <v>3962972511.5713964</v>
      </c>
      <c r="I9" s="736">
        <v>3388048457.1136999</v>
      </c>
      <c r="K9" s="482"/>
    </row>
    <row r="10" spans="1:11" ht="30.75" customHeight="1">
      <c r="A10" s="725">
        <v>3</v>
      </c>
      <c r="B10" s="715" t="s">
        <v>85</v>
      </c>
      <c r="C10" s="493">
        <v>5102370515.0146236</v>
      </c>
      <c r="D10" s="757">
        <v>4724071439.0982533</v>
      </c>
      <c r="E10" s="758">
        <v>4535126443.8987885</v>
      </c>
      <c r="F10" s="758">
        <v>4580116441.2357626</v>
      </c>
      <c r="G10" s="758">
        <v>4360166511.5713959</v>
      </c>
      <c r="I10" s="736">
        <v>4006280547.7389746</v>
      </c>
      <c r="K10" s="482"/>
    </row>
    <row r="11" spans="1:11" ht="30.75" customHeight="1">
      <c r="A11" s="725">
        <v>4</v>
      </c>
      <c r="B11" s="715" t="s">
        <v>444</v>
      </c>
      <c r="C11" s="493">
        <v>3333083049.9437351</v>
      </c>
      <c r="D11" s="757">
        <v>3065433713.2246437</v>
      </c>
      <c r="E11" s="758">
        <v>2940685916.6694717</v>
      </c>
      <c r="F11" s="758">
        <v>2855134659.7230096</v>
      </c>
      <c r="G11" s="758">
        <v>2914110647.4147873</v>
      </c>
      <c r="I11" s="736">
        <v>2353590996.5320168</v>
      </c>
      <c r="K11" s="482"/>
    </row>
    <row r="12" spans="1:11" ht="30.75" customHeight="1">
      <c r="A12" s="725">
        <v>5</v>
      </c>
      <c r="B12" s="715" t="s">
        <v>445</v>
      </c>
      <c r="C12" s="493">
        <v>3847887811.3618932</v>
      </c>
      <c r="D12" s="757">
        <v>3529285843.6501536</v>
      </c>
      <c r="E12" s="758">
        <v>3389368477.255054</v>
      </c>
      <c r="F12" s="758">
        <v>3290269862.0242205</v>
      </c>
      <c r="G12" s="758">
        <v>3358592822.0696516</v>
      </c>
      <c r="I12" s="736">
        <v>2801374929.8888588</v>
      </c>
      <c r="K12" s="482"/>
    </row>
    <row r="13" spans="1:11" ht="30.75" customHeight="1">
      <c r="A13" s="725">
        <v>6</v>
      </c>
      <c r="B13" s="715" t="s">
        <v>446</v>
      </c>
      <c r="C13" s="493">
        <v>4531331419.8172836</v>
      </c>
      <c r="D13" s="757">
        <v>4145112699.3201041</v>
      </c>
      <c r="E13" s="758">
        <v>3985030826.5030212</v>
      </c>
      <c r="F13" s="758">
        <v>3867981827.7161779</v>
      </c>
      <c r="G13" s="758">
        <v>4045687486.3451557</v>
      </c>
      <c r="I13" s="736">
        <v>3494089019.8147717</v>
      </c>
      <c r="K13" s="482"/>
    </row>
    <row r="14" spans="1:11" ht="30.75" customHeight="1">
      <c r="A14" s="723"/>
      <c r="B14" s="716" t="s">
        <v>448</v>
      </c>
      <c r="C14" s="717"/>
      <c r="D14" s="759"/>
      <c r="E14" s="759"/>
      <c r="F14" s="759"/>
      <c r="G14" s="759"/>
      <c r="I14" s="735"/>
      <c r="K14" s="482"/>
    </row>
    <row r="15" spans="1:11" ht="30.75" customHeight="1">
      <c r="A15" s="725">
        <v>7</v>
      </c>
      <c r="B15" s="715" t="s">
        <v>447</v>
      </c>
      <c r="C15" s="494">
        <v>23061905039.690674</v>
      </c>
      <c r="D15" s="778">
        <v>20881399418.256905</v>
      </c>
      <c r="E15" s="760">
        <v>20104124214.365334</v>
      </c>
      <c r="F15" s="760">
        <v>19629458123.386345</v>
      </c>
      <c r="G15" s="760">
        <v>20067386138.757961</v>
      </c>
      <c r="I15" s="737">
        <v>20279423868.18718</v>
      </c>
      <c r="K15" s="482"/>
    </row>
    <row r="16" spans="1:11" ht="30.75" customHeight="1">
      <c r="A16" s="723"/>
      <c r="B16" s="716" t="s">
        <v>451</v>
      </c>
      <c r="C16" s="717"/>
      <c r="D16" s="759"/>
      <c r="E16" s="759"/>
      <c r="F16" s="759"/>
      <c r="G16" s="759"/>
      <c r="I16" s="735"/>
      <c r="K16" s="482"/>
    </row>
    <row r="17" spans="1:11" s="3" customFormat="1" ht="30.75" customHeight="1">
      <c r="A17" s="725"/>
      <c r="B17" s="718" t="s">
        <v>434</v>
      </c>
      <c r="C17" s="717"/>
      <c r="D17" s="759"/>
      <c r="E17" s="759"/>
      <c r="F17" s="759"/>
      <c r="G17" s="759"/>
      <c r="I17" s="735"/>
      <c r="K17" s="482"/>
    </row>
    <row r="18" spans="1:11" ht="30.75" customHeight="1">
      <c r="A18" s="726">
        <v>8</v>
      </c>
      <c r="B18" s="719" t="s">
        <v>442</v>
      </c>
      <c r="C18" s="495">
        <v>0.18211601937421545</v>
      </c>
      <c r="D18" s="779">
        <f>D8/D15</f>
        <v>0.1852215427054511</v>
      </c>
      <c r="E18" s="761">
        <v>0.18691038235894694</v>
      </c>
      <c r="F18" s="761">
        <v>0.19458905168070004</v>
      </c>
      <c r="G18" s="761">
        <v>0.17728629363941631</v>
      </c>
      <c r="I18" s="738">
        <v>0.14708250473490073</v>
      </c>
      <c r="K18" s="482"/>
    </row>
    <row r="19" spans="1:11" ht="30.75" customHeight="1">
      <c r="A19" s="726">
        <v>9</v>
      </c>
      <c r="B19" s="719" t="s">
        <v>441</v>
      </c>
      <c r="C19" s="787">
        <v>0.19960850316103668</v>
      </c>
      <c r="D19" s="780">
        <f>D9/D15</f>
        <v>0.20446091416485382</v>
      </c>
      <c r="E19" s="762">
        <v>0.20644144950781732</v>
      </c>
      <c r="F19" s="762">
        <v>0.21415454338128012</v>
      </c>
      <c r="G19" s="762">
        <v>0.1974832439147293</v>
      </c>
      <c r="I19" s="739">
        <v>0.16706827960870294</v>
      </c>
      <c r="K19" s="482"/>
    </row>
    <row r="20" spans="1:11" ht="30.75" customHeight="1">
      <c r="A20" s="726">
        <v>10</v>
      </c>
      <c r="B20" s="719" t="s">
        <v>443</v>
      </c>
      <c r="C20" s="495">
        <v>0.22124670560533455</v>
      </c>
      <c r="D20" s="779">
        <f>D10/D15</f>
        <v>0.22623346953307785</v>
      </c>
      <c r="E20" s="764">
        <v>0.22558189531371028</v>
      </c>
      <c r="F20" s="764">
        <v>0.23332872524784862</v>
      </c>
      <c r="G20" s="764">
        <v>0.21727625518453603</v>
      </c>
      <c r="I20" s="738">
        <v>0.19755396276438225</v>
      </c>
      <c r="K20" s="482"/>
    </row>
    <row r="21" spans="1:11" ht="30.75" customHeight="1">
      <c r="A21" s="726">
        <v>11</v>
      </c>
      <c r="B21" s="715" t="s">
        <v>444</v>
      </c>
      <c r="C21" s="495">
        <v>0.14452765477124874</v>
      </c>
      <c r="D21" s="779">
        <f>D11/D15</f>
        <v>0.14680212048166136</v>
      </c>
      <c r="E21" s="764">
        <v>0.14627276897584102</v>
      </c>
      <c r="F21" s="764">
        <v>0.14545152707610559</v>
      </c>
      <c r="G21" s="764">
        <v>0.14521625423784024</v>
      </c>
      <c r="I21" s="738">
        <v>0.1160580799449708</v>
      </c>
      <c r="K21" s="482"/>
    </row>
    <row r="22" spans="1:11" ht="30.75" customHeight="1">
      <c r="A22" s="726">
        <v>12</v>
      </c>
      <c r="B22" s="715" t="s">
        <v>445</v>
      </c>
      <c r="C22" s="495">
        <v>0.16685038832392593</v>
      </c>
      <c r="D22" s="779">
        <f>D12/D15</f>
        <v>0.16901577202553048</v>
      </c>
      <c r="E22" s="764">
        <v>0.16859070512672183</v>
      </c>
      <c r="F22" s="764">
        <v>0.16761898577853379</v>
      </c>
      <c r="G22" s="764">
        <v>0.16736573457281997</v>
      </c>
      <c r="I22" s="738">
        <v>0.13813878284202358</v>
      </c>
      <c r="K22" s="482"/>
    </row>
    <row r="23" spans="1:11" ht="30.75" customHeight="1">
      <c r="A23" s="726">
        <v>13</v>
      </c>
      <c r="B23" s="715" t="s">
        <v>446</v>
      </c>
      <c r="C23" s="495">
        <v>0.19648556405113277</v>
      </c>
      <c r="D23" s="779">
        <f>D13/D15</f>
        <v>0.19850741879377937</v>
      </c>
      <c r="E23" s="764">
        <v>0.19821956848314393</v>
      </c>
      <c r="F23" s="764">
        <v>0.1970498524922551</v>
      </c>
      <c r="G23" s="764">
        <v>0.20160510483880872</v>
      </c>
      <c r="I23" s="738">
        <v>0.17229725274868549</v>
      </c>
      <c r="K23" s="482"/>
    </row>
    <row r="24" spans="1:11" ht="30.75" customHeight="1">
      <c r="A24" s="723"/>
      <c r="B24" s="716" t="s">
        <v>6</v>
      </c>
      <c r="C24" s="717"/>
      <c r="D24" s="759"/>
      <c r="E24" s="759"/>
      <c r="F24" s="759"/>
      <c r="G24" s="759"/>
      <c r="I24" s="735"/>
      <c r="K24" s="482"/>
    </row>
    <row r="25" spans="1:11" ht="30.75" customHeight="1">
      <c r="A25" s="727">
        <v>14</v>
      </c>
      <c r="B25" s="720" t="s">
        <v>7</v>
      </c>
      <c r="C25" s="496">
        <v>9.5912904617694611E-2</v>
      </c>
      <c r="D25" s="781">
        <v>9.5621622798280084E-2</v>
      </c>
      <c r="E25" s="733">
        <v>9.542477006575549E-2</v>
      </c>
      <c r="F25" s="733">
        <v>9.2768633717890223E-2</v>
      </c>
      <c r="G25" s="733">
        <v>8.8114790879296287E-2</v>
      </c>
      <c r="I25" s="740">
        <v>8.8767534418935784E-2</v>
      </c>
      <c r="J25" s="626"/>
      <c r="K25" s="482"/>
    </row>
    <row r="26" spans="1:11" ht="30.75" customHeight="1">
      <c r="A26" s="727">
        <v>15</v>
      </c>
      <c r="B26" s="720" t="s">
        <v>8</v>
      </c>
      <c r="C26" s="496">
        <v>4.0483391251019643E-2</v>
      </c>
      <c r="D26" s="765">
        <v>3.9800840818655869E-2</v>
      </c>
      <c r="E26" s="766">
        <v>3.9707953374135393E-2</v>
      </c>
      <c r="F26" s="766">
        <v>3.861247605381958E-2</v>
      </c>
      <c r="G26" s="766">
        <v>4.1973210181174024E-2</v>
      </c>
      <c r="I26" s="740">
        <v>4.2714003128115741E-2</v>
      </c>
      <c r="J26" s="733"/>
      <c r="K26" s="482"/>
    </row>
    <row r="27" spans="1:11" ht="30.75" customHeight="1">
      <c r="A27" s="726">
        <v>16</v>
      </c>
      <c r="B27" s="715" t="s">
        <v>9</v>
      </c>
      <c r="C27" s="495">
        <v>6.062485553969045E-2</v>
      </c>
      <c r="D27" s="763">
        <v>6.2371009903326544E-2</v>
      </c>
      <c r="E27" s="764">
        <v>6.3631443990687792E-2</v>
      </c>
      <c r="F27" s="764">
        <v>5.7088555461420276E-2</v>
      </c>
      <c r="G27" s="764">
        <v>5.2087845896672279E-2</v>
      </c>
      <c r="I27" s="738">
        <v>4.9921691511836966E-2</v>
      </c>
      <c r="K27" s="482"/>
    </row>
    <row r="28" spans="1:11" ht="30.75" customHeight="1">
      <c r="A28" s="727">
        <v>17</v>
      </c>
      <c r="B28" s="720" t="s">
        <v>140</v>
      </c>
      <c r="C28" s="496">
        <v>5.5429513366674968E-2</v>
      </c>
      <c r="D28" s="765">
        <v>5.5820781979624222E-2</v>
      </c>
      <c r="E28" s="766">
        <v>5.571681669162009E-2</v>
      </c>
      <c r="F28" s="766">
        <v>5.4156157664070642E-2</v>
      </c>
      <c r="G28" s="766">
        <v>4.614158069812227E-2</v>
      </c>
      <c r="I28" s="740">
        <v>4.605353129082005E-2</v>
      </c>
      <c r="J28" s="626"/>
      <c r="K28" s="482"/>
    </row>
    <row r="29" spans="1:11" ht="30.75" customHeight="1">
      <c r="A29" s="727">
        <v>18</v>
      </c>
      <c r="B29" s="720" t="s">
        <v>10</v>
      </c>
      <c r="C29" s="496">
        <v>4.7119370007571708E-2</v>
      </c>
      <c r="D29" s="765">
        <v>4.8575042235387556E-2</v>
      </c>
      <c r="E29" s="766">
        <v>4.9556593938525649E-2</v>
      </c>
      <c r="F29" s="766">
        <v>4.2890222353269288E-2</v>
      </c>
      <c r="G29" s="766">
        <v>3.9388602337700328E-2</v>
      </c>
      <c r="I29" s="740">
        <v>3.5783648087918236E-2</v>
      </c>
      <c r="K29" s="482"/>
    </row>
    <row r="30" spans="1:11" ht="30.75" customHeight="1">
      <c r="A30" s="727">
        <v>19</v>
      </c>
      <c r="B30" s="720" t="s">
        <v>11</v>
      </c>
      <c r="C30" s="496">
        <v>0.32394660698539385</v>
      </c>
      <c r="D30" s="765">
        <v>0.33319876429370743</v>
      </c>
      <c r="E30" s="766">
        <v>0.3363102400231765</v>
      </c>
      <c r="F30" s="766">
        <v>0.28951508462138309</v>
      </c>
      <c r="G30" s="766">
        <v>0.28544320613548568</v>
      </c>
      <c r="I30" s="740">
        <v>0.3099131705906864</v>
      </c>
      <c r="K30" s="482"/>
    </row>
    <row r="31" spans="1:11" ht="30.75" customHeight="1">
      <c r="A31" s="723"/>
      <c r="B31" s="716" t="s">
        <v>12</v>
      </c>
      <c r="C31" s="717"/>
      <c r="D31" s="759"/>
      <c r="E31" s="759"/>
      <c r="F31" s="759"/>
      <c r="G31" s="759"/>
      <c r="I31" s="735"/>
      <c r="K31" s="482"/>
    </row>
    <row r="32" spans="1:11" ht="30.75" customHeight="1">
      <c r="A32" s="727">
        <v>20</v>
      </c>
      <c r="B32" s="720" t="s">
        <v>13</v>
      </c>
      <c r="C32" s="496">
        <v>2.5819119989013685E-2</v>
      </c>
      <c r="D32" s="781">
        <v>2.9089580205901949E-2</v>
      </c>
      <c r="E32" s="733">
        <v>2.8564705143315616E-2</v>
      </c>
      <c r="F32" s="733">
        <v>2.9565552885403388E-2</v>
      </c>
      <c r="G32" s="733">
        <v>3.4341868541323976E-2</v>
      </c>
      <c r="I32" s="740">
        <v>4.160824196181083E-2</v>
      </c>
      <c r="K32" s="482"/>
    </row>
    <row r="33" spans="1:11" ht="30.75" customHeight="1">
      <c r="A33" s="727">
        <v>21</v>
      </c>
      <c r="B33" s="720" t="s">
        <v>954</v>
      </c>
      <c r="C33" s="496">
        <v>1.5432078902176854E-2</v>
      </c>
      <c r="D33" s="765">
        <v>1.6470366676108669E-2</v>
      </c>
      <c r="E33" s="766">
        <v>1.6378397881122254E-2</v>
      </c>
      <c r="F33" s="766">
        <v>1.7318520868615354E-2</v>
      </c>
      <c r="G33" s="766">
        <v>1.8249052034021183E-2</v>
      </c>
      <c r="I33" s="740">
        <v>3.8135547399584725E-2</v>
      </c>
      <c r="K33" s="482"/>
    </row>
    <row r="34" spans="1:11" ht="30.75" customHeight="1">
      <c r="A34" s="727">
        <v>22</v>
      </c>
      <c r="B34" s="720" t="s">
        <v>14</v>
      </c>
      <c r="C34" s="496">
        <v>0.4437783669269505</v>
      </c>
      <c r="D34" s="765">
        <v>0.43565972197540165</v>
      </c>
      <c r="E34" s="767">
        <v>0.44148960193291531</v>
      </c>
      <c r="F34" s="767">
        <v>0.44381708047734547</v>
      </c>
      <c r="G34" s="767">
        <v>0.4539183591186205</v>
      </c>
      <c r="I34" s="741">
        <v>0.45452891981612425</v>
      </c>
      <c r="K34" s="482"/>
    </row>
    <row r="35" spans="1:11" ht="30.75" customHeight="1">
      <c r="A35" s="727">
        <v>23</v>
      </c>
      <c r="B35" s="720" t="s">
        <v>15</v>
      </c>
      <c r="C35" s="496">
        <v>0.46116405653742409</v>
      </c>
      <c r="D35" s="765">
        <v>0.4630507727380872</v>
      </c>
      <c r="E35" s="767">
        <v>0.47051533695238551</v>
      </c>
      <c r="F35" s="767">
        <v>0.48443837898142</v>
      </c>
      <c r="G35" s="767">
        <v>0.50365280888491037</v>
      </c>
      <c r="I35" s="741">
        <v>0.50488933534922864</v>
      </c>
      <c r="K35" s="482"/>
    </row>
    <row r="36" spans="1:11" ht="30.75" customHeight="1">
      <c r="A36" s="727">
        <v>24</v>
      </c>
      <c r="B36" s="720" t="s">
        <v>16</v>
      </c>
      <c r="C36" s="496">
        <v>0.19683180983835172</v>
      </c>
      <c r="D36" s="765">
        <v>0.11379827273917548</v>
      </c>
      <c r="E36" s="767">
        <v>7.8812286782515159E-2</v>
      </c>
      <c r="F36" s="767">
        <v>8.0734668738815935E-3</v>
      </c>
      <c r="G36" s="767">
        <v>5.8608812799010784E-2</v>
      </c>
      <c r="I36" s="740">
        <v>6.0565284854615729E-2</v>
      </c>
      <c r="K36" s="482"/>
    </row>
    <row r="37" spans="1:11" ht="30.75" customHeight="1">
      <c r="A37" s="723"/>
      <c r="B37" s="716" t="s">
        <v>17</v>
      </c>
      <c r="C37" s="717"/>
      <c r="D37" s="759"/>
      <c r="E37" s="759"/>
      <c r="F37" s="759"/>
      <c r="G37" s="759"/>
      <c r="I37" s="735"/>
      <c r="K37" s="482"/>
    </row>
    <row r="38" spans="1:11" ht="30.75" customHeight="1">
      <c r="A38" s="727">
        <v>25</v>
      </c>
      <c r="B38" s="720" t="s">
        <v>18</v>
      </c>
      <c r="C38" s="496">
        <v>0.2192173479973267</v>
      </c>
      <c r="D38" s="781">
        <v>0.26793038643016054</v>
      </c>
      <c r="E38" s="733">
        <v>0.22827240674996019</v>
      </c>
      <c r="F38" s="733">
        <v>0.24676003258559462</v>
      </c>
      <c r="G38" s="733">
        <v>0.22100453014507843</v>
      </c>
      <c r="I38" s="740">
        <v>0.22531195922271671</v>
      </c>
      <c r="K38" s="482"/>
    </row>
    <row r="39" spans="1:11" ht="30.75" customHeight="1">
      <c r="A39" s="727">
        <v>26</v>
      </c>
      <c r="B39" s="720" t="s">
        <v>19</v>
      </c>
      <c r="C39" s="496">
        <v>0.51954603307624481</v>
      </c>
      <c r="D39" s="765">
        <v>0.5232191096151273</v>
      </c>
      <c r="E39" s="766">
        <v>0.53343425724843652</v>
      </c>
      <c r="F39" s="766">
        <v>0.55011265662741282</v>
      </c>
      <c r="G39" s="766">
        <v>0.55655054270938875</v>
      </c>
      <c r="I39" s="742">
        <v>0.56278921149536698</v>
      </c>
      <c r="K39" s="482"/>
    </row>
    <row r="40" spans="1:11" ht="30.75" customHeight="1">
      <c r="A40" s="727">
        <v>27</v>
      </c>
      <c r="B40" s="720" t="s">
        <v>20</v>
      </c>
      <c r="C40" s="661">
        <v>0.38674709849438088</v>
      </c>
      <c r="D40" s="765">
        <v>0.40880755484973363</v>
      </c>
      <c r="E40" s="766">
        <v>0.40433456515363331</v>
      </c>
      <c r="F40" s="766">
        <v>0.38906478334319772</v>
      </c>
      <c r="G40" s="766">
        <v>0.38096756107627328</v>
      </c>
      <c r="I40" s="740">
        <v>0.38921943366681128</v>
      </c>
      <c r="K40" s="482"/>
    </row>
    <row r="41" spans="1:11" ht="30.75" customHeight="1">
      <c r="A41" s="728"/>
      <c r="B41" s="716" t="s">
        <v>355</v>
      </c>
      <c r="C41" s="717"/>
      <c r="D41" s="759"/>
      <c r="E41" s="759"/>
      <c r="F41" s="759"/>
      <c r="G41" s="759"/>
      <c r="I41" s="735"/>
      <c r="K41" s="482"/>
    </row>
    <row r="42" spans="1:11" ht="30.75" customHeight="1">
      <c r="A42" s="727">
        <v>28</v>
      </c>
      <c r="B42" s="721" t="s">
        <v>339</v>
      </c>
      <c r="C42" s="662">
        <f>'14. LCR'!H23</f>
        <v>7635790899.4898643</v>
      </c>
      <c r="D42" s="768">
        <v>7198479965.8504152</v>
      </c>
      <c r="E42" s="769">
        <v>6701507805.3842936</v>
      </c>
      <c r="F42" s="769">
        <v>6952177514.1958275</v>
      </c>
      <c r="G42" s="769"/>
      <c r="I42" s="743">
        <v>6988272509.9606028</v>
      </c>
      <c r="K42" s="482"/>
    </row>
    <row r="43" spans="1:11" ht="30.75" customHeight="1">
      <c r="A43" s="727">
        <v>29</v>
      </c>
      <c r="B43" s="720" t="s">
        <v>340</v>
      </c>
      <c r="C43" s="662">
        <f>'14. LCR'!H24</f>
        <v>6044301952.3402119</v>
      </c>
      <c r="D43" s="770">
        <v>5859332623.5676775</v>
      </c>
      <c r="E43" s="771">
        <v>5592369356.7278357</v>
      </c>
      <c r="F43" s="772">
        <v>5391049989.3087015</v>
      </c>
      <c r="G43" s="772"/>
      <c r="I43" s="744">
        <v>5540173711.2260056</v>
      </c>
      <c r="K43" s="482"/>
    </row>
    <row r="44" spans="1:11" ht="30.75" customHeight="1">
      <c r="A44" s="727">
        <v>30</v>
      </c>
      <c r="B44" s="720" t="s">
        <v>338</v>
      </c>
      <c r="C44" s="722">
        <f>C42/C43</f>
        <v>1.2633040109012861</v>
      </c>
      <c r="D44" s="773">
        <v>1.2285494660085277</v>
      </c>
      <c r="E44" s="774">
        <v>1.1983306856014655</v>
      </c>
      <c r="F44" s="766">
        <v>1.2895776384902917</v>
      </c>
      <c r="G44" s="771"/>
      <c r="I44" s="742">
        <v>1.2613814790320252</v>
      </c>
      <c r="K44" s="482"/>
    </row>
    <row r="45" spans="1:11" ht="30.75" customHeight="1">
      <c r="A45" s="727"/>
      <c r="B45" s="716" t="s">
        <v>452</v>
      </c>
      <c r="C45" s="717"/>
      <c r="D45" s="759"/>
      <c r="E45" s="759"/>
      <c r="F45" s="759"/>
      <c r="G45" s="759"/>
      <c r="I45" s="735"/>
      <c r="K45" s="482"/>
    </row>
    <row r="46" spans="1:11" ht="30.75" customHeight="1">
      <c r="A46" s="727">
        <v>31</v>
      </c>
      <c r="B46" s="720" t="s">
        <v>459</v>
      </c>
      <c r="C46" s="493">
        <v>20539450699.890114</v>
      </c>
      <c r="D46" s="777">
        <v>19746511087.860947</v>
      </c>
      <c r="E46" s="756">
        <v>17926162385.25201</v>
      </c>
      <c r="F46" s="756">
        <v>17292859996.864712</v>
      </c>
      <c r="G46" s="756">
        <v>17279930786.49155</v>
      </c>
      <c r="I46" s="736">
        <v>16753276419.491652</v>
      </c>
      <c r="K46" s="482"/>
    </row>
    <row r="47" spans="1:11" ht="30.75" customHeight="1">
      <c r="A47" s="727">
        <v>32</v>
      </c>
      <c r="B47" s="720" t="s">
        <v>472</v>
      </c>
      <c r="C47" s="493">
        <v>15755327948.111364</v>
      </c>
      <c r="D47" s="757">
        <v>14684325366.465359</v>
      </c>
      <c r="E47" s="758">
        <v>13978780620.87665</v>
      </c>
      <c r="F47" s="758">
        <v>13287959775.311371</v>
      </c>
      <c r="G47" s="758">
        <v>13224505886.799133</v>
      </c>
      <c r="I47" s="736">
        <v>12699282366.869549</v>
      </c>
      <c r="K47" s="482"/>
    </row>
    <row r="48" spans="1:11" ht="30.75" customHeight="1" thickBot="1">
      <c r="A48" s="729">
        <v>33</v>
      </c>
      <c r="B48" s="730" t="s">
        <v>486</v>
      </c>
      <c r="C48" s="731">
        <v>1.3036511056789672</v>
      </c>
      <c r="D48" s="775">
        <v>1.3447339659849895</v>
      </c>
      <c r="E48" s="776">
        <v>1.2823838410111488</v>
      </c>
      <c r="F48" s="776">
        <v>1.3013931626278945</v>
      </c>
      <c r="G48" s="776">
        <v>1.3066598430524798</v>
      </c>
      <c r="H48" s="732"/>
      <c r="I48" s="745">
        <v>1.319230168721844</v>
      </c>
      <c r="K48" s="482"/>
    </row>
    <row r="49" spans="1:7" ht="30.75" customHeight="1">
      <c r="A49" s="15"/>
    </row>
    <row r="50" spans="1:7" ht="30.75" customHeight="1">
      <c r="B50" s="18" t="s">
        <v>941</v>
      </c>
      <c r="F50" s="513"/>
    </row>
    <row r="51" spans="1:7" ht="30.75" customHeight="1">
      <c r="B51" s="198" t="s">
        <v>354</v>
      </c>
      <c r="D51" s="186"/>
      <c r="E51" s="186"/>
      <c r="F51" s="513"/>
      <c r="G51" s="186"/>
    </row>
    <row r="52" spans="1:7" ht="30.75" customHeight="1">
      <c r="F52" s="51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45"/>
  <sheetViews>
    <sheetView showGridLines="0" zoomScaleNormal="100" workbookViewId="0"/>
  </sheetViews>
  <sheetFormatPr defaultColWidth="9.140625" defaultRowHeight="12.75"/>
  <cols>
    <col min="1" max="1" width="11.85546875" style="312" bestFit="1" customWidth="1"/>
    <col min="2" max="2" width="105.140625" style="312" bestFit="1" customWidth="1"/>
    <col min="3" max="3" width="19.42578125" style="498" bestFit="1" customWidth="1"/>
    <col min="4" max="4" width="22.42578125" style="498" bestFit="1" customWidth="1"/>
    <col min="5" max="6" width="19.42578125" style="498" bestFit="1" customWidth="1"/>
    <col min="7" max="7" width="36" style="498" bestFit="1" customWidth="1"/>
    <col min="8" max="8" width="20.7109375" style="498" customWidth="1"/>
    <col min="9" max="9" width="14.5703125" style="312" bestFit="1" customWidth="1"/>
    <col min="10" max="16384" width="9.140625" style="312"/>
  </cols>
  <sheetData>
    <row r="1" spans="1:8" ht="13.5">
      <c r="A1" s="311" t="s">
        <v>108</v>
      </c>
      <c r="B1" s="258" t="str">
        <f>Info!C2</f>
        <v>სს ”საქართველოს ბანკი”</v>
      </c>
    </row>
    <row r="2" spans="1:8">
      <c r="A2" s="313" t="s">
        <v>109</v>
      </c>
      <c r="B2" s="315">
        <f>'1. key ratios'!B2</f>
        <v>45291</v>
      </c>
    </row>
    <row r="3" spans="1:8">
      <c r="A3" s="314" t="s">
        <v>492</v>
      </c>
    </row>
    <row r="5" spans="1:8">
      <c r="A5" s="861" t="s">
        <v>493</v>
      </c>
      <c r="B5" s="862"/>
      <c r="C5" s="867" t="s">
        <v>494</v>
      </c>
      <c r="D5" s="868"/>
      <c r="E5" s="868"/>
      <c r="F5" s="868"/>
      <c r="G5" s="868"/>
      <c r="H5" s="869"/>
    </row>
    <row r="6" spans="1:8">
      <c r="A6" s="863"/>
      <c r="B6" s="864"/>
      <c r="C6" s="870"/>
      <c r="D6" s="871"/>
      <c r="E6" s="871"/>
      <c r="F6" s="871"/>
      <c r="G6" s="871"/>
      <c r="H6" s="872"/>
    </row>
    <row r="7" spans="1:8">
      <c r="A7" s="865"/>
      <c r="B7" s="866"/>
      <c r="C7" s="791" t="s">
        <v>495</v>
      </c>
      <c r="D7" s="791" t="s">
        <v>496</v>
      </c>
      <c r="E7" s="791" t="s">
        <v>497</v>
      </c>
      <c r="F7" s="791" t="s">
        <v>498</v>
      </c>
      <c r="G7" s="792" t="s">
        <v>678</v>
      </c>
      <c r="H7" s="791" t="s">
        <v>66</v>
      </c>
    </row>
    <row r="8" spans="1:8" ht="15">
      <c r="A8" s="338">
        <v>1</v>
      </c>
      <c r="B8" s="337" t="s">
        <v>134</v>
      </c>
      <c r="C8" s="499">
        <v>2317044440.0999999</v>
      </c>
      <c r="D8" s="499">
        <v>1830154260.8288999</v>
      </c>
      <c r="E8" s="499">
        <v>1428311496.5555997</v>
      </c>
      <c r="F8" s="499">
        <v>421247617.58020002</v>
      </c>
      <c r="G8" s="499">
        <v>0</v>
      </c>
      <c r="H8" s="793">
        <f t="shared" ref="H8:H20" si="0">SUM(C8:G8)</f>
        <v>5996757815.0646992</v>
      </c>
    </row>
    <row r="9" spans="1:8" ht="15">
      <c r="A9" s="338">
        <v>2</v>
      </c>
      <c r="B9" s="337" t="s">
        <v>135</v>
      </c>
      <c r="C9" s="499">
        <v>0</v>
      </c>
      <c r="D9" s="499"/>
      <c r="E9" s="499"/>
      <c r="F9" s="499"/>
      <c r="G9" s="499">
        <v>0</v>
      </c>
      <c r="H9" s="793">
        <f t="shared" si="0"/>
        <v>0</v>
      </c>
    </row>
    <row r="10" spans="1:8" ht="15">
      <c r="A10" s="338">
        <v>3</v>
      </c>
      <c r="B10" s="337" t="s">
        <v>136</v>
      </c>
      <c r="C10" s="499"/>
      <c r="D10" s="499"/>
      <c r="E10" s="499"/>
      <c r="F10" s="499"/>
      <c r="G10" s="499"/>
      <c r="H10" s="793">
        <f t="shared" si="0"/>
        <v>0</v>
      </c>
    </row>
    <row r="11" spans="1:8" ht="15">
      <c r="A11" s="338">
        <v>4</v>
      </c>
      <c r="B11" s="337" t="s">
        <v>137</v>
      </c>
      <c r="C11" s="499"/>
      <c r="D11" s="499">
        <v>182702040.06</v>
      </c>
      <c r="E11" s="499">
        <v>809319321.18999994</v>
      </c>
      <c r="F11" s="499">
        <v>0</v>
      </c>
      <c r="G11" s="499"/>
      <c r="H11" s="793">
        <f t="shared" si="0"/>
        <v>992021361.25</v>
      </c>
    </row>
    <row r="12" spans="1:8" ht="15">
      <c r="A12" s="338">
        <v>5</v>
      </c>
      <c r="B12" s="337" t="s">
        <v>945</v>
      </c>
      <c r="C12" s="499"/>
      <c r="D12" s="499"/>
      <c r="E12" s="499"/>
      <c r="F12" s="499"/>
      <c r="G12" s="499"/>
      <c r="H12" s="793">
        <f t="shared" si="0"/>
        <v>0</v>
      </c>
    </row>
    <row r="13" spans="1:8" ht="15">
      <c r="A13" s="338">
        <v>6</v>
      </c>
      <c r="B13" s="337" t="s">
        <v>138</v>
      </c>
      <c r="C13" s="499">
        <v>516780242.86000001</v>
      </c>
      <c r="D13" s="499">
        <v>670009227.64579999</v>
      </c>
      <c r="E13" s="499">
        <v>25009796.914300002</v>
      </c>
      <c r="F13" s="499"/>
      <c r="G13" s="499">
        <v>0</v>
      </c>
      <c r="H13" s="793">
        <f t="shared" si="0"/>
        <v>1211799267.4201</v>
      </c>
    </row>
    <row r="14" spans="1:8" ht="15">
      <c r="A14" s="338">
        <v>7</v>
      </c>
      <c r="B14" s="337" t="s">
        <v>71</v>
      </c>
      <c r="C14" s="499">
        <v>0</v>
      </c>
      <c r="D14" s="499">
        <v>1948623161.2314093</v>
      </c>
      <c r="E14" s="499">
        <v>2503758534.3013458</v>
      </c>
      <c r="F14" s="499">
        <v>3550350231.613142</v>
      </c>
      <c r="G14" s="499">
        <v>30780827.046473399</v>
      </c>
      <c r="H14" s="793">
        <f t="shared" si="0"/>
        <v>8033512754.1923704</v>
      </c>
    </row>
    <row r="15" spans="1:8" ht="15">
      <c r="A15" s="338">
        <v>8</v>
      </c>
      <c r="B15" s="339" t="s">
        <v>72</v>
      </c>
      <c r="C15" s="499">
        <v>0</v>
      </c>
      <c r="D15" s="499">
        <v>773781265.46891463</v>
      </c>
      <c r="E15" s="499">
        <v>3442259459.0203571</v>
      </c>
      <c r="F15" s="499">
        <v>2855506630.5398469</v>
      </c>
      <c r="G15" s="499">
        <v>27146368.780378807</v>
      </c>
      <c r="H15" s="793">
        <f t="shared" si="0"/>
        <v>7098693723.8094969</v>
      </c>
    </row>
    <row r="16" spans="1:8" ht="15">
      <c r="A16" s="338">
        <v>9</v>
      </c>
      <c r="B16" s="337" t="s">
        <v>946</v>
      </c>
      <c r="C16" s="499"/>
      <c r="D16" s="499">
        <v>111337795.71682234</v>
      </c>
      <c r="E16" s="499">
        <v>1064181203.9670089</v>
      </c>
      <c r="F16" s="499">
        <v>3101609437.2310209</v>
      </c>
      <c r="G16" s="499">
        <v>2840921.0130738271</v>
      </c>
      <c r="H16" s="793">
        <f t="shared" si="0"/>
        <v>4279969357.9279261</v>
      </c>
    </row>
    <row r="17" spans="1:10" ht="15">
      <c r="A17" s="338">
        <v>10</v>
      </c>
      <c r="B17" s="341" t="s">
        <v>513</v>
      </c>
      <c r="C17" s="499"/>
      <c r="D17" s="499">
        <v>8354845.4608939998</v>
      </c>
      <c r="E17" s="499">
        <v>42535373.278201938</v>
      </c>
      <c r="F17" s="499">
        <v>61609890.961390004</v>
      </c>
      <c r="G17" s="499">
        <v>42881843.504007041</v>
      </c>
      <c r="H17" s="793">
        <f t="shared" si="0"/>
        <v>155381953.20449299</v>
      </c>
    </row>
    <row r="18" spans="1:10" ht="15">
      <c r="A18" s="338">
        <v>11</v>
      </c>
      <c r="B18" s="337" t="s">
        <v>68</v>
      </c>
      <c r="C18" s="499"/>
      <c r="D18" s="499">
        <v>1562315.37683796</v>
      </c>
      <c r="E18" s="499">
        <v>39839602.636367097</v>
      </c>
      <c r="F18" s="499">
        <v>194282903.96213502</v>
      </c>
      <c r="G18" s="499">
        <v>43541646.170000084</v>
      </c>
      <c r="H18" s="793">
        <f t="shared" si="0"/>
        <v>279226468.14534014</v>
      </c>
    </row>
    <row r="19" spans="1:10" ht="15">
      <c r="A19" s="338">
        <v>12</v>
      </c>
      <c r="B19" s="337" t="s">
        <v>69</v>
      </c>
      <c r="C19" s="499"/>
      <c r="D19" s="499"/>
      <c r="E19" s="499"/>
      <c r="F19" s="499"/>
      <c r="G19" s="499"/>
      <c r="H19" s="793">
        <f t="shared" si="0"/>
        <v>0</v>
      </c>
    </row>
    <row r="20" spans="1:10" ht="15">
      <c r="A20" s="340">
        <v>13</v>
      </c>
      <c r="B20" s="339" t="s">
        <v>70</v>
      </c>
      <c r="C20" s="499"/>
      <c r="D20" s="499"/>
      <c r="E20" s="499"/>
      <c r="F20" s="499"/>
      <c r="G20" s="499"/>
      <c r="H20" s="793">
        <f t="shared" si="0"/>
        <v>0</v>
      </c>
    </row>
    <row r="21" spans="1:10" ht="15">
      <c r="A21" s="338">
        <v>14</v>
      </c>
      <c r="B21" s="337" t="s">
        <v>499</v>
      </c>
      <c r="C21" s="499">
        <v>870807994.02100015</v>
      </c>
      <c r="D21" s="499">
        <v>417259242.64164281</v>
      </c>
      <c r="E21" s="499"/>
      <c r="F21" s="499"/>
      <c r="G21" s="499">
        <v>891887939.37996292</v>
      </c>
      <c r="H21" s="793">
        <f>SUM(C21:G21)</f>
        <v>2179955176.0426059</v>
      </c>
    </row>
    <row r="22" spans="1:10">
      <c r="A22" s="336">
        <v>15</v>
      </c>
      <c r="B22" s="335" t="s">
        <v>66</v>
      </c>
      <c r="C22" s="793">
        <f>SUM(C18:C21)+SUM(C8:C16)</f>
        <v>3704632676.9809999</v>
      </c>
      <c r="D22" s="793">
        <f t="shared" ref="D22:H22" si="1">SUM(D18:D21)+SUM(D8:D16)</f>
        <v>5935429308.9703274</v>
      </c>
      <c r="E22" s="793">
        <f t="shared" si="1"/>
        <v>9312679414.58498</v>
      </c>
      <c r="F22" s="793">
        <f t="shared" si="1"/>
        <v>10122996820.926346</v>
      </c>
      <c r="G22" s="793">
        <f t="shared" si="1"/>
        <v>996197702.389889</v>
      </c>
      <c r="H22" s="793">
        <f t="shared" si="1"/>
        <v>30071935923.852539</v>
      </c>
      <c r="I22" s="498"/>
    </row>
    <row r="26" spans="1:10" ht="38.25">
      <c r="B26" s="330" t="s">
        <v>677</v>
      </c>
    </row>
    <row r="29" spans="1:10">
      <c r="I29" s="498"/>
      <c r="J29" s="498"/>
    </row>
    <row r="30" spans="1:10">
      <c r="I30" s="498"/>
      <c r="J30" s="498"/>
    </row>
    <row r="31" spans="1:10">
      <c r="I31" s="498"/>
      <c r="J31" s="498"/>
    </row>
    <row r="32" spans="1:10">
      <c r="I32" s="498"/>
      <c r="J32" s="498"/>
    </row>
    <row r="33" spans="9:10">
      <c r="I33" s="498"/>
      <c r="J33" s="498"/>
    </row>
    <row r="34" spans="9:10">
      <c r="I34" s="498"/>
      <c r="J34" s="498"/>
    </row>
    <row r="35" spans="9:10">
      <c r="I35" s="498"/>
      <c r="J35" s="498"/>
    </row>
    <row r="36" spans="9:10">
      <c r="I36" s="498"/>
      <c r="J36" s="498"/>
    </row>
    <row r="37" spans="9:10">
      <c r="I37" s="498"/>
      <c r="J37" s="498"/>
    </row>
    <row r="38" spans="9:10">
      <c r="I38" s="498"/>
      <c r="J38" s="498"/>
    </row>
    <row r="39" spans="9:10">
      <c r="I39" s="498"/>
      <c r="J39" s="498"/>
    </row>
    <row r="40" spans="9:10">
      <c r="I40" s="498"/>
      <c r="J40" s="498"/>
    </row>
    <row r="41" spans="9:10">
      <c r="I41" s="498"/>
      <c r="J41" s="498"/>
    </row>
    <row r="42" spans="9:10">
      <c r="I42" s="498"/>
      <c r="J42" s="498"/>
    </row>
    <row r="43" spans="9:10">
      <c r="I43" s="498"/>
      <c r="J43" s="498"/>
    </row>
    <row r="44" spans="9:10">
      <c r="I44" s="498"/>
      <c r="J44" s="498"/>
    </row>
    <row r="45" spans="9:10">
      <c r="I45" s="498"/>
      <c r="J45" s="498"/>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3"/>
  <sheetViews>
    <sheetView showGridLines="0" zoomScaleNormal="100" workbookViewId="0"/>
  </sheetViews>
  <sheetFormatPr defaultColWidth="9.140625" defaultRowHeight="12.75"/>
  <cols>
    <col min="1" max="1" width="11.85546875" style="316" bestFit="1" customWidth="1"/>
    <col min="2" max="2" width="86.85546875" style="312" customWidth="1"/>
    <col min="3" max="4" width="31.5703125" style="312" customWidth="1"/>
    <col min="5" max="5" width="16.42578125" style="318" bestFit="1" customWidth="1"/>
    <col min="6" max="6" width="14.28515625" style="318" bestFit="1" customWidth="1"/>
    <col min="7" max="7" width="20" style="312" bestFit="1" customWidth="1"/>
    <col min="8" max="8" width="25.140625" style="312" bestFit="1" customWidth="1"/>
    <col min="9" max="9" width="14.85546875" style="312" bestFit="1" customWidth="1"/>
    <col min="10" max="16384" width="9.140625" style="312"/>
  </cols>
  <sheetData>
    <row r="1" spans="1:9" ht="13.5">
      <c r="A1" s="311" t="s">
        <v>108</v>
      </c>
      <c r="B1" s="258" t="str">
        <f>Info!C2</f>
        <v>სს ”საქართველოს ბანკი”</v>
      </c>
      <c r="C1" s="354"/>
      <c r="D1" s="354"/>
      <c r="E1" s="354"/>
      <c r="F1" s="354"/>
      <c r="G1" s="354"/>
      <c r="H1" s="354"/>
    </row>
    <row r="2" spans="1:9">
      <c r="A2" s="313" t="s">
        <v>109</v>
      </c>
      <c r="B2" s="315">
        <f>'1. key ratios'!B2</f>
        <v>45291</v>
      </c>
      <c r="C2" s="354"/>
      <c r="D2" s="354"/>
      <c r="E2" s="354"/>
      <c r="F2" s="354"/>
      <c r="G2" s="354"/>
      <c r="H2" s="354"/>
    </row>
    <row r="3" spans="1:9">
      <c r="A3" s="314" t="s">
        <v>500</v>
      </c>
      <c r="B3" s="354"/>
      <c r="C3" s="354"/>
      <c r="D3" s="354"/>
      <c r="E3" s="354"/>
      <c r="F3" s="354"/>
      <c r="G3" s="354"/>
      <c r="H3" s="354"/>
    </row>
    <row r="4" spans="1:9">
      <c r="A4" s="355"/>
      <c r="B4" s="354"/>
      <c r="C4" s="353" t="s">
        <v>501</v>
      </c>
      <c r="D4" s="353" t="s">
        <v>502</v>
      </c>
      <c r="E4" s="353" t="s">
        <v>503</v>
      </c>
      <c r="F4" s="353" t="s">
        <v>504</v>
      </c>
      <c r="G4" s="353" t="s">
        <v>505</v>
      </c>
      <c r="H4" s="353" t="s">
        <v>506</v>
      </c>
    </row>
    <row r="5" spans="1:9" ht="33.950000000000003" customHeight="1">
      <c r="A5" s="861" t="s">
        <v>866</v>
      </c>
      <c r="B5" s="862"/>
      <c r="C5" s="875" t="s">
        <v>595</v>
      </c>
      <c r="D5" s="875"/>
      <c r="E5" s="875" t="s">
        <v>865</v>
      </c>
      <c r="F5" s="873" t="s">
        <v>864</v>
      </c>
      <c r="G5" s="873" t="s">
        <v>510</v>
      </c>
      <c r="H5" s="351" t="s">
        <v>863</v>
      </c>
    </row>
    <row r="6" spans="1:9" ht="25.5">
      <c r="A6" s="865"/>
      <c r="B6" s="866"/>
      <c r="C6" s="352" t="s">
        <v>511</v>
      </c>
      <c r="D6" s="352" t="s">
        <v>512</v>
      </c>
      <c r="E6" s="875"/>
      <c r="F6" s="874"/>
      <c r="G6" s="874"/>
      <c r="H6" s="351" t="s">
        <v>862</v>
      </c>
    </row>
    <row r="7" spans="1:9" ht="15">
      <c r="A7" s="349">
        <v>1</v>
      </c>
      <c r="B7" s="337" t="s">
        <v>134</v>
      </c>
      <c r="C7" s="794"/>
      <c r="D7" s="794">
        <v>6001398488.1446991</v>
      </c>
      <c r="E7" s="794">
        <v>4640673.08</v>
      </c>
      <c r="F7" s="795"/>
      <c r="G7" s="794"/>
      <c r="H7" s="796">
        <f t="shared" ref="H7:H20" si="0">C7+D7-E7-F7</f>
        <v>5996757815.0646992</v>
      </c>
      <c r="I7" s="785"/>
    </row>
    <row r="8" spans="1:9" ht="14.45" customHeight="1">
      <c r="A8" s="349">
        <v>2</v>
      </c>
      <c r="B8" s="337" t="s">
        <v>135</v>
      </c>
      <c r="C8" s="794"/>
      <c r="D8" s="794"/>
      <c r="E8" s="794"/>
      <c r="F8" s="795"/>
      <c r="G8" s="794"/>
      <c r="H8" s="796">
        <f t="shared" si="0"/>
        <v>0</v>
      </c>
      <c r="I8" s="785"/>
    </row>
    <row r="9" spans="1:9" ht="15">
      <c r="A9" s="349">
        <v>3</v>
      </c>
      <c r="B9" s="337" t="s">
        <v>136</v>
      </c>
      <c r="C9" s="794"/>
      <c r="D9" s="794"/>
      <c r="E9" s="794"/>
      <c r="F9" s="795"/>
      <c r="G9" s="794"/>
      <c r="H9" s="796">
        <f t="shared" si="0"/>
        <v>0</v>
      </c>
      <c r="I9" s="785"/>
    </row>
    <row r="10" spans="1:9" ht="15">
      <c r="A10" s="349">
        <v>4</v>
      </c>
      <c r="B10" s="337" t="s">
        <v>137</v>
      </c>
      <c r="C10" s="794"/>
      <c r="D10" s="794">
        <v>992021361.25000012</v>
      </c>
      <c r="E10" s="794">
        <v>0</v>
      </c>
      <c r="F10" s="795"/>
      <c r="G10" s="794"/>
      <c r="H10" s="796">
        <f t="shared" si="0"/>
        <v>992021361.25000012</v>
      </c>
      <c r="I10" s="785"/>
    </row>
    <row r="11" spans="1:9" ht="15">
      <c r="A11" s="349">
        <v>5</v>
      </c>
      <c r="B11" s="337" t="s">
        <v>945</v>
      </c>
      <c r="C11" s="794"/>
      <c r="D11" s="794"/>
      <c r="E11" s="794"/>
      <c r="F11" s="795"/>
      <c r="G11" s="794"/>
      <c r="H11" s="796">
        <f t="shared" si="0"/>
        <v>0</v>
      </c>
      <c r="I11" s="785"/>
    </row>
    <row r="12" spans="1:9" ht="15">
      <c r="A12" s="349">
        <v>6</v>
      </c>
      <c r="B12" s="337" t="s">
        <v>138</v>
      </c>
      <c r="C12" s="794"/>
      <c r="D12" s="794">
        <f>' 17. Residual Maturity'!H13+E12</f>
        <v>1211939215.4101</v>
      </c>
      <c r="E12" s="794">
        <v>139947.99</v>
      </c>
      <c r="F12" s="795"/>
      <c r="G12" s="794"/>
      <c r="H12" s="796">
        <f t="shared" si="0"/>
        <v>1211799267.4201</v>
      </c>
      <c r="I12" s="785"/>
    </row>
    <row r="13" spans="1:9" ht="15">
      <c r="A13" s="349">
        <v>7</v>
      </c>
      <c r="B13" s="337" t="s">
        <v>71</v>
      </c>
      <c r="C13" s="794">
        <v>148462861.06419998</v>
      </c>
      <c r="D13" s="794">
        <v>7993258185.8851357</v>
      </c>
      <c r="E13" s="794">
        <v>108208292.75696519</v>
      </c>
      <c r="F13" s="795"/>
      <c r="G13" s="794">
        <v>799752.07</v>
      </c>
      <c r="H13" s="796">
        <f t="shared" si="0"/>
        <v>8033512754.1923704</v>
      </c>
      <c r="I13" s="785"/>
    </row>
    <row r="14" spans="1:9" ht="15">
      <c r="A14" s="349">
        <v>8</v>
      </c>
      <c r="B14" s="339" t="s">
        <v>72</v>
      </c>
      <c r="C14" s="794">
        <v>272715914.56</v>
      </c>
      <c r="D14" s="794">
        <v>7004542679.9700003</v>
      </c>
      <c r="E14" s="794">
        <v>178564870.71810234</v>
      </c>
      <c r="F14" s="795"/>
      <c r="G14" s="794">
        <v>29931450.70000001</v>
      </c>
      <c r="H14" s="796">
        <f t="shared" si="0"/>
        <v>7098693723.8118982</v>
      </c>
      <c r="I14" s="785"/>
    </row>
    <row r="15" spans="1:9" ht="15">
      <c r="A15" s="349">
        <v>9</v>
      </c>
      <c r="B15" s="337" t="s">
        <v>946</v>
      </c>
      <c r="C15" s="794">
        <v>91604022.900000006</v>
      </c>
      <c r="D15" s="794">
        <v>4210103431.3099999</v>
      </c>
      <c r="E15" s="794">
        <v>21738096.279368885</v>
      </c>
      <c r="F15" s="795"/>
      <c r="G15" s="794">
        <v>181339.69999999998</v>
      </c>
      <c r="H15" s="796">
        <f t="shared" si="0"/>
        <v>4279969357.9306312</v>
      </c>
      <c r="I15" s="785"/>
    </row>
    <row r="16" spans="1:9" ht="15">
      <c r="A16" s="349">
        <v>10</v>
      </c>
      <c r="B16" s="341" t="s">
        <v>513</v>
      </c>
      <c r="C16" s="794">
        <v>247662387.38999999</v>
      </c>
      <c r="D16" s="794">
        <v>2189742.61</v>
      </c>
      <c r="E16" s="794">
        <v>94470176.799907058</v>
      </c>
      <c r="F16" s="795"/>
      <c r="G16" s="794">
        <f>(SUM(G13:G15)+G17)</f>
        <v>31111909.030000009</v>
      </c>
      <c r="H16" s="796">
        <f t="shared" si="0"/>
        <v>155381953.20009294</v>
      </c>
      <c r="I16" s="785"/>
    </row>
    <row r="17" spans="1:9" ht="15">
      <c r="A17" s="349">
        <v>11</v>
      </c>
      <c r="B17" s="337" t="s">
        <v>68</v>
      </c>
      <c r="C17" s="794">
        <v>2062058.5899999999</v>
      </c>
      <c r="D17" s="794">
        <v>279460082.88740039</v>
      </c>
      <c r="E17" s="794">
        <v>2295673.332060229</v>
      </c>
      <c r="F17" s="795"/>
      <c r="G17" s="794">
        <v>199366.56</v>
      </c>
      <c r="H17" s="796">
        <f t="shared" si="0"/>
        <v>279226468.14534014</v>
      </c>
      <c r="I17" s="785"/>
    </row>
    <row r="18" spans="1:9" ht="15">
      <c r="A18" s="349">
        <v>12</v>
      </c>
      <c r="B18" s="337" t="s">
        <v>69</v>
      </c>
      <c r="C18" s="794"/>
      <c r="D18" s="794"/>
      <c r="E18" s="794"/>
      <c r="F18" s="795"/>
      <c r="G18" s="794"/>
      <c r="H18" s="796">
        <f t="shared" si="0"/>
        <v>0</v>
      </c>
      <c r="I18" s="785"/>
    </row>
    <row r="19" spans="1:9" ht="15">
      <c r="A19" s="350">
        <v>13</v>
      </c>
      <c r="B19" s="339" t="s">
        <v>70</v>
      </c>
      <c r="C19" s="794"/>
      <c r="D19" s="794"/>
      <c r="E19" s="794"/>
      <c r="F19" s="795"/>
      <c r="G19" s="794"/>
      <c r="H19" s="796">
        <f t="shared" si="0"/>
        <v>0</v>
      </c>
      <c r="I19" s="785"/>
    </row>
    <row r="20" spans="1:9" ht="15">
      <c r="A20" s="349">
        <v>14</v>
      </c>
      <c r="B20" s="337" t="s">
        <v>499</v>
      </c>
      <c r="C20" s="794">
        <v>15214356.987459</v>
      </c>
      <c r="D20" s="794">
        <v>2365561892.3085189</v>
      </c>
      <c r="E20" s="794">
        <v>16118385.841603503</v>
      </c>
      <c r="F20" s="795"/>
      <c r="G20" s="794">
        <f>'19. Assets by Risk Sectors'!G33</f>
        <v>607564.45000000019</v>
      </c>
      <c r="H20" s="796">
        <f t="shared" si="0"/>
        <v>2364657863.4543748</v>
      </c>
      <c r="I20" s="785"/>
    </row>
    <row r="21" spans="1:9" s="317" customFormat="1">
      <c r="A21" s="348">
        <v>15</v>
      </c>
      <c r="B21" s="347" t="s">
        <v>66</v>
      </c>
      <c r="C21" s="797">
        <f>SUM(C7:C15)+SUM(C17:C20)</f>
        <v>530059214.10165894</v>
      </c>
      <c r="D21" s="798">
        <f t="shared" ref="D21:H21" si="1">SUM(D7:D15)+SUM(D17:D20)</f>
        <v>30058285337.165855</v>
      </c>
      <c r="E21" s="797">
        <f>SUM(E7:E15)+SUM(E17:E20)</f>
        <v>331705939.99810016</v>
      </c>
      <c r="F21" s="798">
        <f t="shared" si="1"/>
        <v>0</v>
      </c>
      <c r="G21" s="797">
        <f>SUM(G7:G15)+SUM(G17:G20)</f>
        <v>31719473.480000012</v>
      </c>
      <c r="H21" s="796">
        <f t="shared" si="1"/>
        <v>30256638611.269413</v>
      </c>
      <c r="I21" s="786"/>
    </row>
    <row r="22" spans="1:9">
      <c r="A22" s="346">
        <v>16</v>
      </c>
      <c r="B22" s="345" t="s">
        <v>514</v>
      </c>
      <c r="C22" s="799">
        <v>511904664.75089997</v>
      </c>
      <c r="D22" s="800">
        <v>19314668238.149002</v>
      </c>
      <c r="E22" s="801">
        <v>309514818.68650007</v>
      </c>
      <c r="F22" s="795"/>
      <c r="G22" s="799">
        <f>G21-G20</f>
        <v>31111909.030000012</v>
      </c>
      <c r="H22" s="796">
        <f>C22+D22-E22-F22</f>
        <v>19517058084.213402</v>
      </c>
      <c r="I22" s="785"/>
    </row>
    <row r="23" spans="1:9">
      <c r="A23" s="346">
        <v>17</v>
      </c>
      <c r="B23" s="345" t="s">
        <v>515</v>
      </c>
      <c r="C23" s="343">
        <v>0</v>
      </c>
      <c r="D23" s="501">
        <v>4807843257.7975998</v>
      </c>
      <c r="E23" s="503">
        <v>4490432.1300000008</v>
      </c>
      <c r="F23" s="344"/>
      <c r="G23" s="343"/>
      <c r="H23" s="342">
        <f>C23+D23-E23-F23</f>
        <v>4803352825.6675997</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Normal="100" workbookViewId="0"/>
  </sheetViews>
  <sheetFormatPr defaultColWidth="9.140625" defaultRowHeight="12.75"/>
  <cols>
    <col min="1" max="1" width="11" style="312" bestFit="1" customWidth="1"/>
    <col min="2" max="2" width="93.42578125" style="312" customWidth="1"/>
    <col min="3" max="4" width="35" style="312" customWidth="1"/>
    <col min="5" max="7" width="22" style="312" customWidth="1"/>
    <col min="8" max="8" width="42.28515625" style="312" bestFit="1" customWidth="1"/>
    <col min="9" max="16384" width="9.140625" style="312"/>
  </cols>
  <sheetData>
    <row r="1" spans="1:8" ht="13.5">
      <c r="A1" s="311" t="s">
        <v>108</v>
      </c>
      <c r="B1" s="258" t="str">
        <f>Info!C2</f>
        <v>სს ”საქართველოს ბანკი”</v>
      </c>
      <c r="C1" s="354"/>
      <c r="D1" s="354"/>
      <c r="E1" s="354"/>
      <c r="F1" s="354"/>
      <c r="G1" s="354"/>
      <c r="H1" s="354"/>
    </row>
    <row r="2" spans="1:8">
      <c r="A2" s="313" t="s">
        <v>109</v>
      </c>
      <c r="B2" s="315">
        <f>'1. key ratios'!B2</f>
        <v>45291</v>
      </c>
      <c r="C2" s="354"/>
      <c r="D2" s="354"/>
      <c r="E2" s="354"/>
      <c r="F2" s="354">
        <v>0</v>
      </c>
      <c r="G2" s="354"/>
      <c r="H2" s="354"/>
    </row>
    <row r="3" spans="1:8">
      <c r="A3" s="314" t="s">
        <v>516</v>
      </c>
      <c r="B3" s="354"/>
      <c r="C3" s="354"/>
      <c r="D3" s="354"/>
      <c r="E3" s="354"/>
      <c r="F3" s="354"/>
      <c r="G3" s="354"/>
      <c r="H3" s="354"/>
    </row>
    <row r="4" spans="1:8">
      <c r="A4" s="354"/>
      <c r="B4" s="354"/>
      <c r="C4" s="353" t="s">
        <v>501</v>
      </c>
      <c r="D4" s="353" t="s">
        <v>502</v>
      </c>
      <c r="E4" s="353" t="s">
        <v>503</v>
      </c>
      <c r="F4" s="353" t="s">
        <v>504</v>
      </c>
      <c r="G4" s="353" t="s">
        <v>505</v>
      </c>
      <c r="H4" s="353" t="s">
        <v>506</v>
      </c>
    </row>
    <row r="5" spans="1:8" ht="41.45" customHeight="1">
      <c r="A5" s="861" t="s">
        <v>868</v>
      </c>
      <c r="B5" s="862"/>
      <c r="C5" s="876" t="s">
        <v>595</v>
      </c>
      <c r="D5" s="877"/>
      <c r="E5" s="873" t="s">
        <v>865</v>
      </c>
      <c r="F5" s="873" t="s">
        <v>864</v>
      </c>
      <c r="G5" s="873" t="s">
        <v>510</v>
      </c>
      <c r="H5" s="351" t="s">
        <v>863</v>
      </c>
    </row>
    <row r="6" spans="1:8" ht="25.5">
      <c r="A6" s="865"/>
      <c r="B6" s="866"/>
      <c r="C6" s="352" t="s">
        <v>511</v>
      </c>
      <c r="D6" s="352" t="s">
        <v>512</v>
      </c>
      <c r="E6" s="874"/>
      <c r="F6" s="874"/>
      <c r="G6" s="874"/>
      <c r="H6" s="351" t="s">
        <v>862</v>
      </c>
    </row>
    <row r="7" spans="1:8">
      <c r="A7" s="343">
        <v>1</v>
      </c>
      <c r="B7" s="358" t="s">
        <v>517</v>
      </c>
      <c r="C7" s="501">
        <v>14152854.499199999</v>
      </c>
      <c r="D7" s="501">
        <v>6761733953.2258997</v>
      </c>
      <c r="E7" s="501">
        <v>14429849.901346998</v>
      </c>
      <c r="F7" s="501">
        <v>0</v>
      </c>
      <c r="G7" s="501">
        <v>0</v>
      </c>
      <c r="H7" s="342">
        <f t="shared" ref="H7:H33" si="0">C7+D7-E7-F7</f>
        <v>6761456957.8237524</v>
      </c>
    </row>
    <row r="8" spans="1:8">
      <c r="A8" s="343">
        <v>2</v>
      </c>
      <c r="B8" s="358" t="s">
        <v>518</v>
      </c>
      <c r="C8" s="501">
        <v>9229632.4460000023</v>
      </c>
      <c r="D8" s="501">
        <v>3214560948.1081705</v>
      </c>
      <c r="E8" s="501">
        <v>5983370.1170689994</v>
      </c>
      <c r="F8" s="501">
        <v>0</v>
      </c>
      <c r="G8" s="501">
        <v>0</v>
      </c>
      <c r="H8" s="342">
        <f t="shared" si="0"/>
        <v>3217807210.4371018</v>
      </c>
    </row>
    <row r="9" spans="1:8">
      <c r="A9" s="343">
        <v>3</v>
      </c>
      <c r="B9" s="358" t="s">
        <v>867</v>
      </c>
      <c r="C9" s="501">
        <v>634569.72</v>
      </c>
      <c r="D9" s="501">
        <v>13407084.390000001</v>
      </c>
      <c r="E9" s="501">
        <v>0</v>
      </c>
      <c r="F9" s="501">
        <v>0</v>
      </c>
      <c r="G9" s="501">
        <v>0</v>
      </c>
      <c r="H9" s="342">
        <f t="shared" si="0"/>
        <v>14041654.110000001</v>
      </c>
    </row>
    <row r="10" spans="1:8">
      <c r="A10" s="343">
        <v>4</v>
      </c>
      <c r="B10" s="358" t="s">
        <v>519</v>
      </c>
      <c r="C10" s="501">
        <v>28890594.706600003</v>
      </c>
      <c r="D10" s="501">
        <v>939611136.71819997</v>
      </c>
      <c r="E10" s="501">
        <v>8110064.5858220011</v>
      </c>
      <c r="F10" s="501">
        <v>0</v>
      </c>
      <c r="G10" s="501">
        <v>0</v>
      </c>
      <c r="H10" s="342">
        <f t="shared" si="0"/>
        <v>960391666.83897793</v>
      </c>
    </row>
    <row r="11" spans="1:8">
      <c r="A11" s="343">
        <v>5</v>
      </c>
      <c r="B11" s="358" t="s">
        <v>520</v>
      </c>
      <c r="C11" s="501">
        <v>25825633.179100003</v>
      </c>
      <c r="D11" s="501">
        <v>1168621138.8312001</v>
      </c>
      <c r="E11" s="501">
        <v>8027328.349754001</v>
      </c>
      <c r="F11" s="501">
        <v>0</v>
      </c>
      <c r="G11" s="501">
        <v>0</v>
      </c>
      <c r="H11" s="342">
        <f t="shared" si="0"/>
        <v>1186419443.6605461</v>
      </c>
    </row>
    <row r="12" spans="1:8">
      <c r="A12" s="343">
        <v>6</v>
      </c>
      <c r="B12" s="358" t="s">
        <v>521</v>
      </c>
      <c r="C12" s="501">
        <v>25584935.72979999</v>
      </c>
      <c r="D12" s="501">
        <v>716369845.00530016</v>
      </c>
      <c r="E12" s="501">
        <v>14358595.883469999</v>
      </c>
      <c r="F12" s="501">
        <v>0</v>
      </c>
      <c r="G12" s="501">
        <v>58023.929999999702</v>
      </c>
      <c r="H12" s="342">
        <f t="shared" si="0"/>
        <v>727596184.85163021</v>
      </c>
    </row>
    <row r="13" spans="1:8">
      <c r="A13" s="343">
        <v>7</v>
      </c>
      <c r="B13" s="358" t="s">
        <v>522</v>
      </c>
      <c r="C13" s="501">
        <v>22578511.765499994</v>
      </c>
      <c r="D13" s="501">
        <v>961330032.91409993</v>
      </c>
      <c r="E13" s="501">
        <v>12172229.831437001</v>
      </c>
      <c r="F13" s="501">
        <v>0</v>
      </c>
      <c r="G13" s="501">
        <v>0</v>
      </c>
      <c r="H13" s="342">
        <f t="shared" si="0"/>
        <v>971736314.84816289</v>
      </c>
    </row>
    <row r="14" spans="1:8">
      <c r="A14" s="343">
        <v>8</v>
      </c>
      <c r="B14" s="358" t="s">
        <v>523</v>
      </c>
      <c r="C14" s="501">
        <v>16011557.806399999</v>
      </c>
      <c r="D14" s="501">
        <v>865486628.12369955</v>
      </c>
      <c r="E14" s="501">
        <v>10019835.124718003</v>
      </c>
      <c r="F14" s="501">
        <v>0</v>
      </c>
      <c r="G14" s="501">
        <v>81355.050000000745</v>
      </c>
      <c r="H14" s="342">
        <f t="shared" si="0"/>
        <v>871478350.80538154</v>
      </c>
    </row>
    <row r="15" spans="1:8">
      <c r="A15" s="343">
        <v>9</v>
      </c>
      <c r="B15" s="358" t="s">
        <v>524</v>
      </c>
      <c r="C15" s="501">
        <v>22641599.160400003</v>
      </c>
      <c r="D15" s="501">
        <v>883968193.84730017</v>
      </c>
      <c r="E15" s="501">
        <v>38285166.053313002</v>
      </c>
      <c r="F15" s="501">
        <v>0</v>
      </c>
      <c r="G15" s="501">
        <v>1512.7299999999814</v>
      </c>
      <c r="H15" s="342">
        <f t="shared" si="0"/>
        <v>868324626.95438719</v>
      </c>
    </row>
    <row r="16" spans="1:8">
      <c r="A16" s="343">
        <v>10</v>
      </c>
      <c r="B16" s="358" t="s">
        <v>525</v>
      </c>
      <c r="C16" s="501">
        <v>7878942.3617000021</v>
      </c>
      <c r="D16" s="501">
        <v>340431744.78340006</v>
      </c>
      <c r="E16" s="501">
        <v>4082355.3261270002</v>
      </c>
      <c r="F16" s="501">
        <v>0</v>
      </c>
      <c r="G16" s="501">
        <v>2095368.7499999998</v>
      </c>
      <c r="H16" s="342">
        <f t="shared" si="0"/>
        <v>344228331.81897306</v>
      </c>
    </row>
    <row r="17" spans="1:8">
      <c r="A17" s="343">
        <v>11</v>
      </c>
      <c r="B17" s="358" t="s">
        <v>526</v>
      </c>
      <c r="C17" s="501">
        <v>3342626.7335999999</v>
      </c>
      <c r="D17" s="501">
        <v>376287265.61969995</v>
      </c>
      <c r="E17" s="501">
        <v>2918537.9455180001</v>
      </c>
      <c r="F17" s="501">
        <v>0</v>
      </c>
      <c r="G17" s="501">
        <v>74719.97000000003</v>
      </c>
      <c r="H17" s="342">
        <f t="shared" si="0"/>
        <v>376711354.40778196</v>
      </c>
    </row>
    <row r="18" spans="1:8">
      <c r="A18" s="343">
        <v>12</v>
      </c>
      <c r="B18" s="358" t="s">
        <v>527</v>
      </c>
      <c r="C18" s="501">
        <v>20092119.199500006</v>
      </c>
      <c r="D18" s="501">
        <v>787720002.88150012</v>
      </c>
      <c r="E18" s="501">
        <v>8508731.9030879978</v>
      </c>
      <c r="F18" s="501">
        <v>0</v>
      </c>
      <c r="G18" s="501">
        <v>24780.049999999814</v>
      </c>
      <c r="H18" s="342">
        <f t="shared" si="0"/>
        <v>799303390.17791212</v>
      </c>
    </row>
    <row r="19" spans="1:8">
      <c r="A19" s="343">
        <v>13</v>
      </c>
      <c r="B19" s="358" t="s">
        <v>528</v>
      </c>
      <c r="C19" s="501">
        <v>4540385.1316</v>
      </c>
      <c r="D19" s="501">
        <v>310740181.50689989</v>
      </c>
      <c r="E19" s="501">
        <v>5424551.985559999</v>
      </c>
      <c r="F19" s="501">
        <v>0</v>
      </c>
      <c r="G19" s="501">
        <v>1315.640000000014</v>
      </c>
      <c r="H19" s="342">
        <f t="shared" si="0"/>
        <v>309856014.65293992</v>
      </c>
    </row>
    <row r="20" spans="1:8">
      <c r="A20" s="343">
        <v>14</v>
      </c>
      <c r="B20" s="358" t="s">
        <v>529</v>
      </c>
      <c r="C20" s="501">
        <v>35131181.908399999</v>
      </c>
      <c r="D20" s="501">
        <v>1214099691.9409997</v>
      </c>
      <c r="E20" s="501">
        <v>16295104.747915</v>
      </c>
      <c r="F20" s="501">
        <v>0</v>
      </c>
      <c r="G20" s="501">
        <v>270405.27159999998</v>
      </c>
      <c r="H20" s="342">
        <f t="shared" si="0"/>
        <v>1232935769.1014848</v>
      </c>
    </row>
    <row r="21" spans="1:8">
      <c r="A21" s="343">
        <v>15</v>
      </c>
      <c r="B21" s="358" t="s">
        <v>530</v>
      </c>
      <c r="C21" s="501">
        <v>8693661.0052000005</v>
      </c>
      <c r="D21" s="501">
        <v>306519114.26089996</v>
      </c>
      <c r="E21" s="501">
        <v>4130484.7665189998</v>
      </c>
      <c r="F21" s="501">
        <v>0</v>
      </c>
      <c r="G21" s="501">
        <v>43903.89</v>
      </c>
      <c r="H21" s="342">
        <f t="shared" si="0"/>
        <v>311082290.49958098</v>
      </c>
    </row>
    <row r="22" spans="1:8">
      <c r="A22" s="343">
        <v>16</v>
      </c>
      <c r="B22" s="358" t="s">
        <v>531</v>
      </c>
      <c r="C22" s="501">
        <v>21492079.722799998</v>
      </c>
      <c r="D22" s="501">
        <v>452091954.23139995</v>
      </c>
      <c r="E22" s="501">
        <v>13117468.713836998</v>
      </c>
      <c r="F22" s="501">
        <v>0</v>
      </c>
      <c r="G22" s="501">
        <v>0</v>
      </c>
      <c r="H22" s="342">
        <f t="shared" si="0"/>
        <v>460466565.240363</v>
      </c>
    </row>
    <row r="23" spans="1:8">
      <c r="A23" s="343">
        <v>17</v>
      </c>
      <c r="B23" s="358" t="s">
        <v>532</v>
      </c>
      <c r="C23" s="501">
        <v>8167499.9786</v>
      </c>
      <c r="D23" s="501">
        <v>85430075.278899983</v>
      </c>
      <c r="E23" s="501">
        <v>5081467.2190779997</v>
      </c>
      <c r="F23" s="501">
        <v>0</v>
      </c>
      <c r="G23" s="501">
        <v>1893036.4212</v>
      </c>
      <c r="H23" s="342">
        <f t="shared" si="0"/>
        <v>88516108.038421974</v>
      </c>
    </row>
    <row r="24" spans="1:8">
      <c r="A24" s="343">
        <v>18</v>
      </c>
      <c r="B24" s="358" t="s">
        <v>533</v>
      </c>
      <c r="C24" s="501">
        <v>1844143.8193999999</v>
      </c>
      <c r="D24" s="501">
        <v>892623168.88709998</v>
      </c>
      <c r="E24" s="501">
        <v>2872746.4999999995</v>
      </c>
      <c r="F24" s="501">
        <v>0</v>
      </c>
      <c r="G24" s="501">
        <v>0</v>
      </c>
      <c r="H24" s="342">
        <f t="shared" si="0"/>
        <v>891594566.20649993</v>
      </c>
    </row>
    <row r="25" spans="1:8">
      <c r="A25" s="343">
        <v>19</v>
      </c>
      <c r="B25" s="358" t="s">
        <v>534</v>
      </c>
      <c r="C25" s="501">
        <v>1089339.9517999999</v>
      </c>
      <c r="D25" s="501">
        <v>136986741.87039998</v>
      </c>
      <c r="E25" s="501">
        <v>822167.60000000009</v>
      </c>
      <c r="F25" s="501">
        <v>0</v>
      </c>
      <c r="G25" s="501">
        <v>54047.94</v>
      </c>
      <c r="H25" s="342">
        <f t="shared" si="0"/>
        <v>137253914.22219998</v>
      </c>
    </row>
    <row r="26" spans="1:8">
      <c r="A26" s="343">
        <v>20</v>
      </c>
      <c r="B26" s="358" t="s">
        <v>535</v>
      </c>
      <c r="C26" s="501">
        <v>18640373.3739</v>
      </c>
      <c r="D26" s="501">
        <v>598204432.62089992</v>
      </c>
      <c r="E26" s="501">
        <v>12180647.554754999</v>
      </c>
      <c r="F26" s="501">
        <v>0</v>
      </c>
      <c r="G26" s="501">
        <v>0</v>
      </c>
      <c r="H26" s="342">
        <f t="shared" si="0"/>
        <v>604664158.440045</v>
      </c>
    </row>
    <row r="27" spans="1:8">
      <c r="A27" s="343">
        <v>21</v>
      </c>
      <c r="B27" s="358" t="s">
        <v>536</v>
      </c>
      <c r="C27" s="501">
        <v>731473.13049999997</v>
      </c>
      <c r="D27" s="501">
        <v>105861079.17959999</v>
      </c>
      <c r="E27" s="501">
        <v>1041393.1532619998</v>
      </c>
      <c r="F27" s="501">
        <v>0</v>
      </c>
      <c r="G27" s="501">
        <v>0</v>
      </c>
      <c r="H27" s="342">
        <f t="shared" si="0"/>
        <v>105551159.15683798</v>
      </c>
    </row>
    <row r="28" spans="1:8">
      <c r="A28" s="343">
        <v>22</v>
      </c>
      <c r="B28" s="358" t="s">
        <v>537</v>
      </c>
      <c r="C28" s="501">
        <v>4175699.9528000006</v>
      </c>
      <c r="D28" s="501">
        <v>285070855.34570003</v>
      </c>
      <c r="E28" s="501">
        <v>2293863.0025960002</v>
      </c>
      <c r="F28" s="501">
        <v>0</v>
      </c>
      <c r="G28" s="501">
        <v>0</v>
      </c>
      <c r="H28" s="342">
        <f t="shared" si="0"/>
        <v>286952692.29590398</v>
      </c>
    </row>
    <row r="29" spans="1:8">
      <c r="A29" s="343">
        <v>23</v>
      </c>
      <c r="B29" s="358" t="s">
        <v>538</v>
      </c>
      <c r="C29" s="501">
        <v>59591573.417600006</v>
      </c>
      <c r="D29" s="501">
        <v>3024693021.2859006</v>
      </c>
      <c r="E29" s="501">
        <v>39296584.023157001</v>
      </c>
      <c r="F29" s="501">
        <v>0</v>
      </c>
      <c r="G29" s="501">
        <v>424630.95999999996</v>
      </c>
      <c r="H29" s="342">
        <f t="shared" si="0"/>
        <v>3044988010.6803436</v>
      </c>
    </row>
    <row r="30" spans="1:8">
      <c r="A30" s="343">
        <v>24</v>
      </c>
      <c r="B30" s="358" t="s">
        <v>539</v>
      </c>
      <c r="C30" s="501">
        <v>41918041.961500004</v>
      </c>
      <c r="D30" s="501">
        <v>1017471340.6736</v>
      </c>
      <c r="E30" s="501">
        <v>21516096.132239003</v>
      </c>
      <c r="F30" s="501">
        <v>0</v>
      </c>
      <c r="G30" s="501">
        <v>1272902.5500000007</v>
      </c>
      <c r="H30" s="342">
        <f t="shared" si="0"/>
        <v>1037873286.502861</v>
      </c>
    </row>
    <row r="31" spans="1:8">
      <c r="A31" s="343">
        <v>25</v>
      </c>
      <c r="B31" s="358" t="s">
        <v>540</v>
      </c>
      <c r="C31" s="501">
        <v>103566617.83149999</v>
      </c>
      <c r="D31" s="501">
        <v>2288994434.1447001</v>
      </c>
      <c r="E31" s="501">
        <v>57937428.502529994</v>
      </c>
      <c r="F31" s="501">
        <v>0</v>
      </c>
      <c r="G31" s="501">
        <v>24815905.877200011</v>
      </c>
      <c r="H31" s="342">
        <f t="shared" si="0"/>
        <v>2334623623.47367</v>
      </c>
    </row>
    <row r="32" spans="1:8">
      <c r="A32" s="343">
        <v>26</v>
      </c>
      <c r="B32" s="358" t="s">
        <v>541</v>
      </c>
      <c r="C32" s="501">
        <v>5459016.2574999994</v>
      </c>
      <c r="D32" s="501">
        <v>47885619.3948</v>
      </c>
      <c r="E32" s="501">
        <v>5588510.8833789984</v>
      </c>
      <c r="F32" s="501">
        <v>0</v>
      </c>
      <c r="G32" s="501">
        <v>0</v>
      </c>
      <c r="H32" s="342">
        <f t="shared" si="0"/>
        <v>47756124.768921003</v>
      </c>
    </row>
    <row r="33" spans="1:8">
      <c r="A33" s="343">
        <v>27</v>
      </c>
      <c r="B33" s="344" t="s">
        <v>99</v>
      </c>
      <c r="C33" s="501">
        <v>18154549.351659</v>
      </c>
      <c r="D33" s="501">
        <v>2262085652.094698</v>
      </c>
      <c r="E33" s="501">
        <v>17211360.191610105</v>
      </c>
      <c r="F33" s="501">
        <v>0</v>
      </c>
      <c r="G33" s="501">
        <v>607564.45000000019</v>
      </c>
      <c r="H33" s="342">
        <f t="shared" si="0"/>
        <v>2263028841.2547464</v>
      </c>
    </row>
    <row r="34" spans="1:8" s="498" customFormat="1">
      <c r="A34" s="501">
        <v>28</v>
      </c>
      <c r="B34" s="517" t="s">
        <v>66</v>
      </c>
      <c r="C34" s="518">
        <f>SUM(C7:C33)</f>
        <v>530059214.10255897</v>
      </c>
      <c r="D34" s="518">
        <f>SUM(D7:D33)</f>
        <v>30058285337.164955</v>
      </c>
      <c r="E34" s="518">
        <f>SUM(E7:E33)</f>
        <v>331705939.9981001</v>
      </c>
      <c r="F34" s="518">
        <f>SUM(F7:F33)</f>
        <v>0</v>
      </c>
      <c r="G34" s="518">
        <f>SUM(G7:G33)</f>
        <v>31719473.480000012</v>
      </c>
      <c r="H34" s="519">
        <f>C34+D34-E34-F34</f>
        <v>30256638611.269413</v>
      </c>
    </row>
    <row r="36" spans="1:8">
      <c r="C36" s="498"/>
      <c r="D36" s="498"/>
    </row>
    <row r="37" spans="1:8">
      <c r="D37" s="498"/>
      <c r="E37" s="498"/>
      <c r="G37" s="498"/>
      <c r="H37" s="498"/>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7"/>
  <sheetViews>
    <sheetView showGridLines="0" zoomScaleNormal="100" workbookViewId="0"/>
  </sheetViews>
  <sheetFormatPr defaultColWidth="9.140625" defaultRowHeight="12.75"/>
  <cols>
    <col min="1" max="1" width="11.85546875" style="312" bestFit="1" customWidth="1"/>
    <col min="2" max="2" width="108" style="312" bestFit="1" customWidth="1"/>
    <col min="3" max="3" width="35.5703125" style="312" customWidth="1"/>
    <col min="4" max="4" width="38.42578125" style="318" customWidth="1"/>
    <col min="5" max="16384" width="9.140625" style="312"/>
  </cols>
  <sheetData>
    <row r="1" spans="1:8" ht="13.5">
      <c r="A1" s="311" t="s">
        <v>108</v>
      </c>
      <c r="B1" s="258" t="str">
        <f>Info!C2</f>
        <v>სს ”საქართველოს ბანკი”</v>
      </c>
      <c r="D1" s="312"/>
    </row>
    <row r="2" spans="1:8">
      <c r="A2" s="313" t="s">
        <v>109</v>
      </c>
      <c r="B2" s="315">
        <f>'1. key ratios'!B2</f>
        <v>45291</v>
      </c>
      <c r="D2" s="312"/>
    </row>
    <row r="3" spans="1:8">
      <c r="A3" s="314" t="s">
        <v>542</v>
      </c>
      <c r="D3" s="312"/>
    </row>
    <row r="5" spans="1:8">
      <c r="A5" s="878" t="s">
        <v>879</v>
      </c>
      <c r="B5" s="878"/>
      <c r="C5" s="366" t="s">
        <v>561</v>
      </c>
      <c r="D5" s="366" t="s">
        <v>878</v>
      </c>
    </row>
    <row r="6" spans="1:8">
      <c r="A6" s="365">
        <v>1</v>
      </c>
      <c r="B6" s="359" t="s">
        <v>877</v>
      </c>
      <c r="C6" s="627">
        <v>307553436.79999977</v>
      </c>
      <c r="D6" s="627">
        <v>4056594.0500000017</v>
      </c>
      <c r="G6" s="666"/>
      <c r="H6" s="666"/>
    </row>
    <row r="7" spans="1:8">
      <c r="A7" s="362">
        <v>2</v>
      </c>
      <c r="B7" s="359" t="s">
        <v>876</v>
      </c>
      <c r="C7" s="627">
        <v>176004334.51996905</v>
      </c>
      <c r="D7" s="627">
        <v>822773.42000000027</v>
      </c>
      <c r="G7" s="666"/>
      <c r="H7" s="666"/>
    </row>
    <row r="8" spans="1:8">
      <c r="A8" s="364">
        <v>2.1</v>
      </c>
      <c r="B8" s="363" t="s">
        <v>875</v>
      </c>
      <c r="C8" s="627">
        <v>52330283</v>
      </c>
      <c r="D8" s="627">
        <v>116856.03999999992</v>
      </c>
      <c r="G8" s="666"/>
      <c r="H8" s="666"/>
    </row>
    <row r="9" spans="1:8">
      <c r="A9" s="364">
        <v>2.2000000000000002</v>
      </c>
      <c r="B9" s="363" t="s">
        <v>874</v>
      </c>
      <c r="C9" s="627">
        <v>123674051.51996905</v>
      </c>
      <c r="D9" s="627">
        <v>705917.38000000035</v>
      </c>
      <c r="G9" s="666"/>
      <c r="H9" s="666"/>
    </row>
    <row r="10" spans="1:8">
      <c r="A10" s="365">
        <v>3</v>
      </c>
      <c r="B10" s="359" t="s">
        <v>873</v>
      </c>
      <c r="C10" s="627">
        <v>175883916.94333708</v>
      </c>
      <c r="D10" s="627">
        <v>349722.66000000155</v>
      </c>
      <c r="G10" s="666"/>
      <c r="H10" s="666"/>
    </row>
    <row r="11" spans="1:8">
      <c r="A11" s="364">
        <v>3.1</v>
      </c>
      <c r="B11" s="363" t="s">
        <v>543</v>
      </c>
      <c r="C11" s="627">
        <v>31111909.030000001</v>
      </c>
      <c r="D11" s="627">
        <v>0</v>
      </c>
      <c r="G11" s="666"/>
      <c r="H11" s="666"/>
    </row>
    <row r="12" spans="1:8">
      <c r="A12" s="364">
        <v>3.2</v>
      </c>
      <c r="B12" s="363" t="s">
        <v>872</v>
      </c>
      <c r="C12" s="627">
        <v>60412690.183092326</v>
      </c>
      <c r="D12" s="627">
        <v>0</v>
      </c>
      <c r="G12" s="666"/>
      <c r="H12" s="666"/>
    </row>
    <row r="13" spans="1:8">
      <c r="A13" s="364">
        <v>3.3</v>
      </c>
      <c r="B13" s="363" t="s">
        <v>871</v>
      </c>
      <c r="C13" s="627">
        <v>84359317.730244756</v>
      </c>
      <c r="D13" s="627">
        <v>349722.66000000155</v>
      </c>
      <c r="G13" s="666"/>
      <c r="H13" s="666"/>
    </row>
    <row r="14" spans="1:8">
      <c r="A14" s="362">
        <v>4</v>
      </c>
      <c r="B14" s="361" t="s">
        <v>870</v>
      </c>
      <c r="C14" s="627">
        <v>1840965.4333680677</v>
      </c>
      <c r="D14" s="627">
        <v>-39212.680000000633</v>
      </c>
      <c r="G14" s="666"/>
      <c r="H14" s="666"/>
    </row>
    <row r="15" spans="1:8">
      <c r="A15" s="360">
        <v>5</v>
      </c>
      <c r="B15" s="359" t="s">
        <v>869</v>
      </c>
      <c r="C15" s="628">
        <v>309514819.80999982</v>
      </c>
      <c r="D15" s="628">
        <v>4490432.13</v>
      </c>
      <c r="G15" s="666"/>
      <c r="H15" s="666"/>
    </row>
    <row r="16" spans="1:8">
      <c r="C16" s="697"/>
      <c r="D16" s="504"/>
    </row>
    <row r="17" spans="4:4">
      <c r="D17" s="667"/>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E28"/>
  <sheetViews>
    <sheetView showGridLines="0" zoomScaleNormal="100" workbookViewId="0"/>
  </sheetViews>
  <sheetFormatPr defaultColWidth="9.140625" defaultRowHeight="12.75"/>
  <cols>
    <col min="1" max="1" width="11.85546875" style="354" bestFit="1" customWidth="1"/>
    <col min="2" max="2" width="128.85546875" style="354" bestFit="1" customWidth="1"/>
    <col min="3" max="3" width="37" style="354" customWidth="1"/>
    <col min="4" max="4" width="50.5703125" style="354" customWidth="1"/>
    <col min="5" max="5" width="17.85546875" style="354" bestFit="1" customWidth="1"/>
    <col min="6" max="16384" width="9.140625" style="354"/>
  </cols>
  <sheetData>
    <row r="1" spans="1:4" ht="13.5">
      <c r="A1" s="311" t="s">
        <v>108</v>
      </c>
      <c r="B1" s="258" t="str">
        <f>Info!C2</f>
        <v>სს ”საქართველოს ბანკი”</v>
      </c>
    </row>
    <row r="2" spans="1:4">
      <c r="A2" s="313" t="s">
        <v>109</v>
      </c>
      <c r="B2" s="315">
        <f>'1. key ratios'!B2</f>
        <v>45291</v>
      </c>
    </row>
    <row r="3" spans="1:4">
      <c r="A3" s="314" t="s">
        <v>544</v>
      </c>
    </row>
    <row r="4" spans="1:4">
      <c r="A4" s="314"/>
    </row>
    <row r="5" spans="1:4" ht="15" customHeight="1">
      <c r="A5" s="879" t="s">
        <v>545</v>
      </c>
      <c r="B5" s="880"/>
      <c r="C5" s="883" t="s">
        <v>546</v>
      </c>
      <c r="D5" s="883" t="s">
        <v>547</v>
      </c>
    </row>
    <row r="6" spans="1:4">
      <c r="A6" s="881"/>
      <c r="B6" s="882"/>
      <c r="C6" s="883"/>
      <c r="D6" s="883"/>
    </row>
    <row r="7" spans="1:4" ht="15">
      <c r="A7" s="357">
        <v>1</v>
      </c>
      <c r="B7" s="347" t="s">
        <v>548</v>
      </c>
      <c r="C7" s="508">
        <v>554861271.02009988</v>
      </c>
      <c r="D7" s="367"/>
    </row>
    <row r="8" spans="1:4" ht="15">
      <c r="A8" s="344">
        <v>2</v>
      </c>
      <c r="B8" s="344" t="s">
        <v>549</v>
      </c>
      <c r="C8" s="508">
        <v>110147368.95999999</v>
      </c>
      <c r="D8" s="367"/>
    </row>
    <row r="9" spans="1:4" ht="15">
      <c r="A9" s="344">
        <v>3</v>
      </c>
      <c r="B9" s="370" t="s">
        <v>550</v>
      </c>
      <c r="C9" s="508">
        <v>4823038.41</v>
      </c>
      <c r="D9" s="367"/>
    </row>
    <row r="10" spans="1:4" ht="15">
      <c r="A10" s="344">
        <v>4</v>
      </c>
      <c r="B10" s="344" t="s">
        <v>551</v>
      </c>
      <c r="C10" s="508">
        <f>SUM(C11:C17)</f>
        <v>157927013.6392</v>
      </c>
      <c r="D10" s="367"/>
    </row>
    <row r="11" spans="1:4" ht="15">
      <c r="A11" s="344">
        <v>5</v>
      </c>
      <c r="B11" s="369" t="s">
        <v>880</v>
      </c>
      <c r="C11" s="508">
        <v>43442610.178800002</v>
      </c>
      <c r="D11" s="367"/>
    </row>
    <row r="12" spans="1:4" ht="15">
      <c r="A12" s="344">
        <v>6</v>
      </c>
      <c r="B12" s="369" t="s">
        <v>552</v>
      </c>
      <c r="C12" s="508">
        <v>39488654.865199998</v>
      </c>
      <c r="D12" s="367"/>
    </row>
    <row r="13" spans="1:4" ht="15">
      <c r="A13" s="344">
        <v>7</v>
      </c>
      <c r="B13" s="369" t="s">
        <v>555</v>
      </c>
      <c r="C13" s="508">
        <v>20612167.2159</v>
      </c>
      <c r="D13" s="367"/>
    </row>
    <row r="14" spans="1:4" ht="15">
      <c r="A14" s="344">
        <v>8</v>
      </c>
      <c r="B14" s="369" t="s">
        <v>553</v>
      </c>
      <c r="C14" s="508">
        <v>54383581.379299998</v>
      </c>
      <c r="D14" s="344"/>
    </row>
    <row r="15" spans="1:4" ht="15">
      <c r="A15" s="344">
        <v>9</v>
      </c>
      <c r="B15" s="369" t="s">
        <v>554</v>
      </c>
      <c r="C15" s="508">
        <v>0</v>
      </c>
      <c r="D15" s="344"/>
    </row>
    <row r="16" spans="1:4" ht="15">
      <c r="A16" s="344">
        <v>10</v>
      </c>
      <c r="B16" s="369" t="s">
        <v>556</v>
      </c>
      <c r="C16" s="508">
        <v>0</v>
      </c>
      <c r="D16" s="344"/>
    </row>
    <row r="17" spans="1:5" ht="26.25">
      <c r="A17" s="344">
        <v>11</v>
      </c>
      <c r="B17" s="369" t="s">
        <v>557</v>
      </c>
      <c r="C17" s="508">
        <v>0</v>
      </c>
      <c r="D17" s="367"/>
    </row>
    <row r="18" spans="1:5" ht="15">
      <c r="A18" s="357">
        <v>12</v>
      </c>
      <c r="B18" s="368" t="s">
        <v>558</v>
      </c>
      <c r="C18" s="508">
        <f>C7+C8-C10+C9</f>
        <v>511904664.75089997</v>
      </c>
      <c r="D18" s="367"/>
    </row>
    <row r="19" spans="1:5">
      <c r="C19" s="510"/>
      <c r="D19" s="509"/>
      <c r="E19" s="683"/>
    </row>
    <row r="20" spans="1:5">
      <c r="C20" s="509"/>
    </row>
    <row r="21" spans="1:5">
      <c r="B21" s="311"/>
      <c r="C21" s="509"/>
    </row>
    <row r="22" spans="1:5">
      <c r="B22" s="313"/>
      <c r="D22" s="509"/>
    </row>
    <row r="23" spans="1:5">
      <c r="B23" s="314"/>
      <c r="C23" s="509"/>
    </row>
    <row r="24" spans="1:5">
      <c r="C24" s="509"/>
    </row>
    <row r="25" spans="1:5">
      <c r="C25" s="509"/>
    </row>
    <row r="27" spans="1:5">
      <c r="D27" s="509"/>
    </row>
    <row r="28" spans="1:5">
      <c r="D28" s="509"/>
    </row>
  </sheetData>
  <mergeCells count="3">
    <mergeCell ref="A5:B6"/>
    <mergeCell ref="C5:C6"/>
    <mergeCell ref="D5:D6"/>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8"/>
  <sheetViews>
    <sheetView showGridLines="0" zoomScaleNormal="100" workbookViewId="0"/>
  </sheetViews>
  <sheetFormatPr defaultColWidth="9.140625" defaultRowHeight="12.75"/>
  <cols>
    <col min="1" max="1" width="11.85546875" style="354" bestFit="1" customWidth="1"/>
    <col min="2" max="2" width="63.85546875" style="354" customWidth="1"/>
    <col min="3" max="3" width="19.42578125" style="509" bestFit="1" customWidth="1"/>
    <col min="4" max="4" width="22.28515625" style="509" customWidth="1"/>
    <col min="5" max="18" width="22.28515625" style="354" customWidth="1"/>
    <col min="19" max="19" width="23.28515625" style="354" bestFit="1" customWidth="1"/>
    <col min="20" max="26" width="22.28515625" style="354" customWidth="1"/>
    <col min="27" max="27" width="23.28515625" style="354" bestFit="1" customWidth="1"/>
    <col min="28" max="16384" width="9.140625" style="354"/>
  </cols>
  <sheetData>
    <row r="1" spans="1:27" ht="13.5">
      <c r="A1" s="311" t="s">
        <v>108</v>
      </c>
      <c r="B1" s="258" t="str">
        <f>Info!C2</f>
        <v>სს ”საქართველოს ბანკი”</v>
      </c>
    </row>
    <row r="2" spans="1:27" ht="13.5">
      <c r="A2" s="313" t="s">
        <v>109</v>
      </c>
      <c r="B2" s="315">
        <f>'1. key ratios'!B2</f>
        <v>45291</v>
      </c>
      <c r="C2" s="696"/>
      <c r="E2" s="509"/>
      <c r="F2" s="509"/>
      <c r="G2" s="509"/>
      <c r="H2" s="509"/>
      <c r="I2" s="509"/>
      <c r="J2" s="509"/>
      <c r="K2" s="509"/>
      <c r="L2" s="509"/>
      <c r="M2" s="509"/>
      <c r="N2" s="509"/>
      <c r="O2" s="509"/>
      <c r="P2" s="509"/>
      <c r="Q2" s="509"/>
      <c r="R2" s="509"/>
      <c r="S2" s="509"/>
      <c r="T2" s="509"/>
      <c r="U2" s="509"/>
      <c r="V2" s="509"/>
      <c r="W2" s="509"/>
      <c r="X2" s="509"/>
      <c r="Y2" s="509"/>
      <c r="Z2" s="509"/>
      <c r="AA2" s="509"/>
    </row>
    <row r="3" spans="1:27">
      <c r="A3" s="314" t="s">
        <v>559</v>
      </c>
      <c r="H3" s="509"/>
      <c r="L3" s="509"/>
      <c r="T3" s="509"/>
    </row>
    <row r="5" spans="1:27" ht="15" customHeight="1">
      <c r="A5" s="884" t="s">
        <v>892</v>
      </c>
      <c r="B5" s="885"/>
      <c r="C5" s="890" t="s">
        <v>1007</v>
      </c>
      <c r="D5" s="891"/>
      <c r="E5" s="891"/>
      <c r="F5" s="891"/>
      <c r="G5" s="891"/>
      <c r="H5" s="891"/>
      <c r="I5" s="891"/>
      <c r="J5" s="891"/>
      <c r="K5" s="891"/>
      <c r="L5" s="891"/>
      <c r="M5" s="891"/>
      <c r="N5" s="891"/>
      <c r="O5" s="891"/>
      <c r="P5" s="891"/>
      <c r="Q5" s="891"/>
      <c r="R5" s="891"/>
      <c r="S5" s="891"/>
      <c r="T5" s="383"/>
      <c r="U5" s="383"/>
      <c r="V5" s="383"/>
      <c r="W5" s="383"/>
      <c r="X5" s="383"/>
      <c r="Y5" s="383"/>
      <c r="Z5" s="383"/>
      <c r="AA5" s="382"/>
    </row>
    <row r="6" spans="1:27">
      <c r="A6" s="886"/>
      <c r="B6" s="887"/>
      <c r="C6" s="892" t="s">
        <v>66</v>
      </c>
      <c r="D6" s="894" t="s">
        <v>891</v>
      </c>
      <c r="E6" s="894"/>
      <c r="F6" s="894"/>
      <c r="G6" s="894"/>
      <c r="H6" s="895" t="s">
        <v>890</v>
      </c>
      <c r="I6" s="896"/>
      <c r="J6" s="896"/>
      <c r="K6" s="897"/>
      <c r="L6" s="381"/>
      <c r="M6" s="898" t="s">
        <v>889</v>
      </c>
      <c r="N6" s="898"/>
      <c r="O6" s="898"/>
      <c r="P6" s="898"/>
      <c r="Q6" s="898"/>
      <c r="R6" s="898"/>
      <c r="S6" s="874"/>
      <c r="T6" s="380"/>
      <c r="U6" s="877" t="s">
        <v>888</v>
      </c>
      <c r="V6" s="877"/>
      <c r="W6" s="877"/>
      <c r="X6" s="877"/>
      <c r="Y6" s="877"/>
      <c r="Z6" s="877"/>
      <c r="AA6" s="875"/>
    </row>
    <row r="7" spans="1:27" ht="25.5">
      <c r="A7" s="888"/>
      <c r="B7" s="889"/>
      <c r="C7" s="893"/>
      <c r="D7" s="663"/>
      <c r="E7" s="375" t="s">
        <v>560</v>
      </c>
      <c r="F7" s="351" t="s">
        <v>886</v>
      </c>
      <c r="G7" s="351" t="s">
        <v>887</v>
      </c>
      <c r="H7" s="378"/>
      <c r="I7" s="375" t="s">
        <v>560</v>
      </c>
      <c r="J7" s="351" t="s">
        <v>886</v>
      </c>
      <c r="K7" s="351" t="s">
        <v>887</v>
      </c>
      <c r="L7" s="377"/>
      <c r="M7" s="375" t="s">
        <v>560</v>
      </c>
      <c r="N7" s="351" t="s">
        <v>886</v>
      </c>
      <c r="O7" s="351" t="s">
        <v>885</v>
      </c>
      <c r="P7" s="351" t="s">
        <v>884</v>
      </c>
      <c r="Q7" s="351" t="s">
        <v>883</v>
      </c>
      <c r="R7" s="351" t="s">
        <v>882</v>
      </c>
      <c r="S7" s="351" t="s">
        <v>881</v>
      </c>
      <c r="T7" s="376"/>
      <c r="U7" s="375" t="s">
        <v>560</v>
      </c>
      <c r="V7" s="351" t="s">
        <v>886</v>
      </c>
      <c r="W7" s="351" t="s">
        <v>885</v>
      </c>
      <c r="X7" s="351" t="s">
        <v>884</v>
      </c>
      <c r="Y7" s="351" t="s">
        <v>883</v>
      </c>
      <c r="Z7" s="351" t="s">
        <v>882</v>
      </c>
      <c r="AA7" s="351" t="s">
        <v>881</v>
      </c>
    </row>
    <row r="8" spans="1:27">
      <c r="A8" s="374">
        <v>1</v>
      </c>
      <c r="B8" s="347" t="s">
        <v>561</v>
      </c>
      <c r="C8" s="500">
        <f>SUM(C9:C14)</f>
        <v>19826572902.899902</v>
      </c>
      <c r="D8" s="500">
        <f>SUM(D9:D14)</f>
        <v>18212099940.250103</v>
      </c>
      <c r="E8" s="500">
        <f>SUM(E9:E14)</f>
        <v>96295005.580199957</v>
      </c>
      <c r="F8" s="500">
        <f t="shared" ref="F8:AA8" si="0">SUM(F9:F14)</f>
        <v>2852933.5083000003</v>
      </c>
      <c r="G8" s="500">
        <f t="shared" si="0"/>
        <v>0</v>
      </c>
      <c r="H8" s="500">
        <f t="shared" si="0"/>
        <v>1102568297.8989</v>
      </c>
      <c r="I8" s="500">
        <f t="shared" si="0"/>
        <v>47200473.203100011</v>
      </c>
      <c r="J8" s="500">
        <f t="shared" si="0"/>
        <v>58829320.746999994</v>
      </c>
      <c r="K8" s="500">
        <f t="shared" si="0"/>
        <v>1556271.1776000003</v>
      </c>
      <c r="L8" s="500">
        <f t="shared" si="0"/>
        <v>405518061.53930032</v>
      </c>
      <c r="M8" s="500">
        <f t="shared" si="0"/>
        <v>22160400.661599994</v>
      </c>
      <c r="N8" s="500">
        <f t="shared" si="0"/>
        <v>18072959.065400001</v>
      </c>
      <c r="O8" s="500">
        <f t="shared" si="0"/>
        <v>37647910.309799999</v>
      </c>
      <c r="P8" s="500">
        <f t="shared" si="0"/>
        <v>66982684.416000016</v>
      </c>
      <c r="Q8" s="500">
        <f t="shared" si="0"/>
        <v>57081300.599700004</v>
      </c>
      <c r="R8" s="500">
        <f t="shared" si="0"/>
        <v>42738939.296700001</v>
      </c>
      <c r="S8" s="500">
        <f t="shared" si="0"/>
        <v>3594252.1180000007</v>
      </c>
      <c r="T8" s="500">
        <f t="shared" si="0"/>
        <v>106386603.21159996</v>
      </c>
      <c r="U8" s="500">
        <f t="shared" si="0"/>
        <v>7766185.8033999996</v>
      </c>
      <c r="V8" s="500">
        <f t="shared" si="0"/>
        <v>4529462.092699999</v>
      </c>
      <c r="W8" s="500">
        <f t="shared" si="0"/>
        <v>4239906.184799999</v>
      </c>
      <c r="X8" s="500">
        <f t="shared" si="0"/>
        <v>22075513.115800001</v>
      </c>
      <c r="Y8" s="500">
        <f t="shared" si="0"/>
        <v>1600631.8652999999</v>
      </c>
      <c r="Z8" s="500">
        <f t="shared" si="0"/>
        <v>1859642.1978</v>
      </c>
      <c r="AA8" s="500">
        <f t="shared" si="0"/>
        <v>0</v>
      </c>
    </row>
    <row r="9" spans="1:27" ht="15">
      <c r="A9" s="343">
        <v>1.1000000000000001</v>
      </c>
      <c r="B9" s="373" t="s">
        <v>562</v>
      </c>
      <c r="C9" s="525">
        <f>D9+H9+L9+T9</f>
        <v>0</v>
      </c>
      <c r="D9" s="502">
        <v>0</v>
      </c>
      <c r="E9" s="502">
        <v>0</v>
      </c>
      <c r="F9" s="502">
        <v>0</v>
      </c>
      <c r="G9" s="502">
        <v>0</v>
      </c>
      <c r="H9" s="502">
        <v>0</v>
      </c>
      <c r="I9" s="502">
        <v>0</v>
      </c>
      <c r="J9" s="502">
        <v>0</v>
      </c>
      <c r="K9" s="502">
        <v>0</v>
      </c>
      <c r="L9" s="502">
        <v>0</v>
      </c>
      <c r="M9" s="502">
        <v>0</v>
      </c>
      <c r="N9" s="502">
        <v>0</v>
      </c>
      <c r="O9" s="502">
        <v>0</v>
      </c>
      <c r="P9" s="502">
        <v>0</v>
      </c>
      <c r="Q9" s="502">
        <v>0</v>
      </c>
      <c r="R9" s="502">
        <v>0</v>
      </c>
      <c r="S9" s="502">
        <v>0</v>
      </c>
      <c r="T9" s="502">
        <v>0</v>
      </c>
      <c r="U9" s="502">
        <v>0</v>
      </c>
      <c r="V9" s="502">
        <v>0</v>
      </c>
      <c r="W9" s="502">
        <v>0</v>
      </c>
      <c r="X9" s="502">
        <v>0</v>
      </c>
      <c r="Y9" s="502">
        <v>0</v>
      </c>
      <c r="Z9" s="502">
        <v>0</v>
      </c>
      <c r="AA9" s="502">
        <v>0</v>
      </c>
    </row>
    <row r="10" spans="1:27" ht="15">
      <c r="A10" s="343">
        <v>1.2</v>
      </c>
      <c r="B10" s="373" t="s">
        <v>563</v>
      </c>
      <c r="C10" s="525">
        <f t="shared" ref="C10:C25" si="1">D10+H10+L10+T10</f>
        <v>0</v>
      </c>
      <c r="D10" s="502">
        <v>0</v>
      </c>
      <c r="E10" s="502">
        <v>0</v>
      </c>
      <c r="F10" s="502">
        <v>0</v>
      </c>
      <c r="G10" s="502">
        <v>0</v>
      </c>
      <c r="H10" s="502">
        <v>0</v>
      </c>
      <c r="I10" s="502">
        <v>0</v>
      </c>
      <c r="J10" s="502">
        <v>0</v>
      </c>
      <c r="K10" s="502">
        <v>0</v>
      </c>
      <c r="L10" s="502">
        <v>0</v>
      </c>
      <c r="M10" s="502">
        <v>0</v>
      </c>
      <c r="N10" s="502">
        <v>0</v>
      </c>
      <c r="O10" s="502">
        <v>0</v>
      </c>
      <c r="P10" s="502">
        <v>0</v>
      </c>
      <c r="Q10" s="502">
        <v>0</v>
      </c>
      <c r="R10" s="502">
        <v>0</v>
      </c>
      <c r="S10" s="502">
        <v>0</v>
      </c>
      <c r="T10" s="502">
        <v>0</v>
      </c>
      <c r="U10" s="502">
        <v>0</v>
      </c>
      <c r="V10" s="502">
        <v>0</v>
      </c>
      <c r="W10" s="502">
        <v>0</v>
      </c>
      <c r="X10" s="502">
        <v>0</v>
      </c>
      <c r="Y10" s="502">
        <v>0</v>
      </c>
      <c r="Z10" s="502">
        <v>0</v>
      </c>
      <c r="AA10" s="502">
        <v>0</v>
      </c>
    </row>
    <row r="11" spans="1:27" ht="15">
      <c r="A11" s="343">
        <v>1.3</v>
      </c>
      <c r="B11" s="373" t="s">
        <v>564</v>
      </c>
      <c r="C11" s="525">
        <f t="shared" si="1"/>
        <v>0</v>
      </c>
      <c r="D11" s="502">
        <v>0</v>
      </c>
      <c r="E11" s="502">
        <v>0</v>
      </c>
      <c r="F11" s="502">
        <v>0</v>
      </c>
      <c r="G11" s="502">
        <v>0</v>
      </c>
      <c r="H11" s="502">
        <v>0</v>
      </c>
      <c r="I11" s="502">
        <v>0</v>
      </c>
      <c r="J11" s="502">
        <v>0</v>
      </c>
      <c r="K11" s="502">
        <v>0</v>
      </c>
      <c r="L11" s="502">
        <v>0</v>
      </c>
      <c r="M11" s="502">
        <v>0</v>
      </c>
      <c r="N11" s="502">
        <v>0</v>
      </c>
      <c r="O11" s="502">
        <v>0</v>
      </c>
      <c r="P11" s="502">
        <v>0</v>
      </c>
      <c r="Q11" s="502">
        <v>0</v>
      </c>
      <c r="R11" s="502">
        <v>0</v>
      </c>
      <c r="S11" s="502">
        <v>0</v>
      </c>
      <c r="T11" s="502">
        <v>0</v>
      </c>
      <c r="U11" s="502">
        <v>0</v>
      </c>
      <c r="V11" s="502">
        <v>0</v>
      </c>
      <c r="W11" s="502">
        <v>0</v>
      </c>
      <c r="X11" s="502">
        <v>0</v>
      </c>
      <c r="Y11" s="502">
        <v>0</v>
      </c>
      <c r="Z11" s="502">
        <v>0</v>
      </c>
      <c r="AA11" s="502">
        <v>0</v>
      </c>
    </row>
    <row r="12" spans="1:27" ht="15">
      <c r="A12" s="343">
        <v>1.4</v>
      </c>
      <c r="B12" s="373" t="s">
        <v>565</v>
      </c>
      <c r="C12" s="525">
        <f>D12+H12+L12+T12</f>
        <v>229830284.33800003</v>
      </c>
      <c r="D12" s="502">
        <v>226879103.04750001</v>
      </c>
      <c r="E12" s="502">
        <v>0</v>
      </c>
      <c r="F12" s="502">
        <v>0</v>
      </c>
      <c r="G12" s="502">
        <v>0</v>
      </c>
      <c r="H12" s="502">
        <v>1918203.1313</v>
      </c>
      <c r="I12" s="502">
        <v>0</v>
      </c>
      <c r="J12" s="502">
        <v>0</v>
      </c>
      <c r="K12" s="502">
        <v>0</v>
      </c>
      <c r="L12" s="502">
        <v>1032978.1592</v>
      </c>
      <c r="M12" s="502">
        <v>0</v>
      </c>
      <c r="N12" s="502">
        <v>0</v>
      </c>
      <c r="O12" s="502">
        <v>0</v>
      </c>
      <c r="P12" s="502">
        <v>0</v>
      </c>
      <c r="Q12" s="502">
        <v>0</v>
      </c>
      <c r="R12" s="502">
        <v>0</v>
      </c>
      <c r="S12" s="502">
        <v>0</v>
      </c>
      <c r="T12" s="502">
        <v>0</v>
      </c>
      <c r="U12" s="502">
        <v>0</v>
      </c>
      <c r="V12" s="502">
        <v>0</v>
      </c>
      <c r="W12" s="502">
        <v>0</v>
      </c>
      <c r="X12" s="502">
        <v>0</v>
      </c>
      <c r="Y12" s="502">
        <v>0</v>
      </c>
      <c r="Z12" s="502">
        <v>0</v>
      </c>
      <c r="AA12" s="502">
        <v>0</v>
      </c>
    </row>
    <row r="13" spans="1:27" ht="15">
      <c r="A13" s="343">
        <v>1.5</v>
      </c>
      <c r="B13" s="373" t="s">
        <v>566</v>
      </c>
      <c r="C13" s="525">
        <f t="shared" si="1"/>
        <v>9344709744.1060028</v>
      </c>
      <c r="D13" s="502">
        <v>8480819480.4983015</v>
      </c>
      <c r="E13" s="502">
        <v>27576457.550099999</v>
      </c>
      <c r="F13" s="502">
        <v>705337.30809999991</v>
      </c>
      <c r="G13" s="502">
        <v>0</v>
      </c>
      <c r="H13" s="502">
        <v>636595365.80600011</v>
      </c>
      <c r="I13" s="502">
        <v>6491937.750500001</v>
      </c>
      <c r="J13" s="502">
        <v>27468355.584199999</v>
      </c>
      <c r="K13" s="502">
        <v>163958.07060000001</v>
      </c>
      <c r="L13" s="502">
        <v>202227929.95030001</v>
      </c>
      <c r="M13" s="502">
        <v>4821812.2740999991</v>
      </c>
      <c r="N13" s="502">
        <v>4723891.5139999995</v>
      </c>
      <c r="O13" s="502">
        <v>10311467.123499997</v>
      </c>
      <c r="P13" s="502">
        <v>47658948.856700011</v>
      </c>
      <c r="Q13" s="502">
        <v>36853964.812900007</v>
      </c>
      <c r="R13" s="502">
        <v>27924239.074500002</v>
      </c>
      <c r="S13" s="502">
        <v>1117826.1734999998</v>
      </c>
      <c r="T13" s="502">
        <v>25066967.851400007</v>
      </c>
      <c r="U13" s="502">
        <v>19251.543099999999</v>
      </c>
      <c r="V13" s="502">
        <v>10998.807199999999</v>
      </c>
      <c r="W13" s="502">
        <v>787070.2415</v>
      </c>
      <c r="X13" s="502">
        <v>17220346.144300003</v>
      </c>
      <c r="Y13" s="502">
        <v>0</v>
      </c>
      <c r="Z13" s="502">
        <v>673883.98439999996</v>
      </c>
      <c r="AA13" s="502">
        <v>0</v>
      </c>
    </row>
    <row r="14" spans="1:27" ht="15">
      <c r="A14" s="343">
        <v>1.6</v>
      </c>
      <c r="B14" s="373" t="s">
        <v>567</v>
      </c>
      <c r="C14" s="525">
        <f t="shared" si="1"/>
        <v>10252032874.455902</v>
      </c>
      <c r="D14" s="502">
        <v>9504401356.7043018</v>
      </c>
      <c r="E14" s="502">
        <v>68718548.030099958</v>
      </c>
      <c r="F14" s="502">
        <v>2147596.2002000003</v>
      </c>
      <c r="G14" s="502">
        <v>0</v>
      </c>
      <c r="H14" s="502">
        <v>464054728.96159989</v>
      </c>
      <c r="I14" s="502">
        <v>40708535.45260001</v>
      </c>
      <c r="J14" s="502">
        <v>31360965.162799999</v>
      </c>
      <c r="K14" s="502">
        <v>1392313.1070000003</v>
      </c>
      <c r="L14" s="502">
        <v>202257153.4298003</v>
      </c>
      <c r="M14" s="502">
        <v>17338588.387499996</v>
      </c>
      <c r="N14" s="502">
        <v>13349067.5514</v>
      </c>
      <c r="O14" s="502">
        <v>27336443.186300006</v>
      </c>
      <c r="P14" s="502">
        <v>19323735.559300005</v>
      </c>
      <c r="Q14" s="502">
        <v>20227335.786800001</v>
      </c>
      <c r="R14" s="502">
        <v>14814700.222199999</v>
      </c>
      <c r="S14" s="502">
        <v>2476425.9445000011</v>
      </c>
      <c r="T14" s="502">
        <v>81319635.360199958</v>
      </c>
      <c r="U14" s="502">
        <v>7746934.2602999993</v>
      </c>
      <c r="V14" s="502">
        <v>4518463.2854999993</v>
      </c>
      <c r="W14" s="502">
        <v>3452835.9432999995</v>
      </c>
      <c r="X14" s="502">
        <v>4855166.9715</v>
      </c>
      <c r="Y14" s="502">
        <v>1600631.8652999999</v>
      </c>
      <c r="Z14" s="502">
        <v>1185758.2134</v>
      </c>
      <c r="AA14" s="502">
        <v>0</v>
      </c>
    </row>
    <row r="15" spans="1:27" ht="15">
      <c r="A15" s="374">
        <v>2</v>
      </c>
      <c r="B15" s="357" t="s">
        <v>568</v>
      </c>
      <c r="C15" s="525">
        <f>SUM(C16:C21)</f>
        <v>4807843245.3622999</v>
      </c>
      <c r="D15" s="525">
        <f t="shared" ref="D15:AA15" si="2">SUM(D16:D21)</f>
        <v>4807843245.3622999</v>
      </c>
      <c r="E15" s="525">
        <f t="shared" si="2"/>
        <v>0</v>
      </c>
      <c r="F15" s="525">
        <f t="shared" si="2"/>
        <v>0</v>
      </c>
      <c r="G15" s="525">
        <f t="shared" si="2"/>
        <v>0</v>
      </c>
      <c r="H15" s="525">
        <f t="shared" si="2"/>
        <v>0</v>
      </c>
      <c r="I15" s="525">
        <f t="shared" si="2"/>
        <v>0</v>
      </c>
      <c r="J15" s="525">
        <f t="shared" si="2"/>
        <v>0</v>
      </c>
      <c r="K15" s="525">
        <f t="shared" si="2"/>
        <v>0</v>
      </c>
      <c r="L15" s="525">
        <f t="shared" si="2"/>
        <v>0</v>
      </c>
      <c r="M15" s="525">
        <f t="shared" si="2"/>
        <v>0</v>
      </c>
      <c r="N15" s="525">
        <f t="shared" si="2"/>
        <v>0</v>
      </c>
      <c r="O15" s="525">
        <f t="shared" si="2"/>
        <v>0</v>
      </c>
      <c r="P15" s="525">
        <f t="shared" si="2"/>
        <v>0</v>
      </c>
      <c r="Q15" s="525">
        <f t="shared" si="2"/>
        <v>0</v>
      </c>
      <c r="R15" s="525">
        <f t="shared" si="2"/>
        <v>0</v>
      </c>
      <c r="S15" s="525">
        <f t="shared" si="2"/>
        <v>0</v>
      </c>
      <c r="T15" s="525">
        <f t="shared" si="2"/>
        <v>0</v>
      </c>
      <c r="U15" s="525">
        <f t="shared" si="2"/>
        <v>0</v>
      </c>
      <c r="V15" s="525">
        <f t="shared" si="2"/>
        <v>0</v>
      </c>
      <c r="W15" s="525">
        <f t="shared" si="2"/>
        <v>0</v>
      </c>
      <c r="X15" s="525">
        <f t="shared" si="2"/>
        <v>0</v>
      </c>
      <c r="Y15" s="525">
        <f t="shared" si="2"/>
        <v>0</v>
      </c>
      <c r="Z15" s="525">
        <f t="shared" si="2"/>
        <v>0</v>
      </c>
      <c r="AA15" s="525">
        <f t="shared" si="2"/>
        <v>0</v>
      </c>
    </row>
    <row r="16" spans="1:27" ht="15">
      <c r="A16" s="343">
        <v>2.1</v>
      </c>
      <c r="B16" s="373" t="s">
        <v>562</v>
      </c>
      <c r="C16" s="525">
        <f t="shared" si="1"/>
        <v>10858638.8343</v>
      </c>
      <c r="D16" s="502">
        <v>10858638.8343</v>
      </c>
      <c r="E16" s="502">
        <v>0</v>
      </c>
      <c r="F16" s="502">
        <v>0</v>
      </c>
      <c r="G16" s="502">
        <v>0</v>
      </c>
      <c r="H16" s="502">
        <v>0</v>
      </c>
      <c r="I16" s="502">
        <v>0</v>
      </c>
      <c r="J16" s="502">
        <v>0</v>
      </c>
      <c r="K16" s="502">
        <v>0</v>
      </c>
      <c r="L16" s="502">
        <v>0</v>
      </c>
      <c r="M16" s="502">
        <v>0</v>
      </c>
      <c r="N16" s="502">
        <v>0</v>
      </c>
      <c r="O16" s="502">
        <v>0</v>
      </c>
      <c r="P16" s="502">
        <v>0</v>
      </c>
      <c r="Q16" s="502">
        <v>0</v>
      </c>
      <c r="R16" s="502">
        <v>0</v>
      </c>
      <c r="S16" s="502">
        <v>0</v>
      </c>
      <c r="T16" s="502">
        <v>0</v>
      </c>
      <c r="U16" s="502">
        <v>0</v>
      </c>
      <c r="V16" s="502">
        <v>0</v>
      </c>
      <c r="W16" s="502">
        <v>0</v>
      </c>
      <c r="X16" s="502">
        <v>0</v>
      </c>
      <c r="Y16" s="502">
        <v>0</v>
      </c>
      <c r="Z16" s="502">
        <v>0</v>
      </c>
      <c r="AA16" s="502">
        <v>0</v>
      </c>
    </row>
    <row r="17" spans="1:27" ht="15">
      <c r="A17" s="343">
        <v>2.2000000000000002</v>
      </c>
      <c r="B17" s="373" t="s">
        <v>563</v>
      </c>
      <c r="C17" s="525">
        <f t="shared" si="1"/>
        <v>3673047251.4203997</v>
      </c>
      <c r="D17" s="502">
        <v>3673047251.4203997</v>
      </c>
      <c r="E17" s="502">
        <v>0</v>
      </c>
      <c r="F17" s="502">
        <v>0</v>
      </c>
      <c r="G17" s="502">
        <v>0</v>
      </c>
      <c r="H17" s="502">
        <v>0</v>
      </c>
      <c r="I17" s="502">
        <v>0</v>
      </c>
      <c r="J17" s="502">
        <v>0</v>
      </c>
      <c r="K17" s="502">
        <v>0</v>
      </c>
      <c r="L17" s="502">
        <v>0</v>
      </c>
      <c r="M17" s="502">
        <v>0</v>
      </c>
      <c r="N17" s="502">
        <v>0</v>
      </c>
      <c r="O17" s="502">
        <v>0</v>
      </c>
      <c r="P17" s="502">
        <v>0</v>
      </c>
      <c r="Q17" s="502">
        <v>0</v>
      </c>
      <c r="R17" s="502">
        <v>0</v>
      </c>
      <c r="S17" s="502">
        <v>0</v>
      </c>
      <c r="T17" s="502">
        <v>0</v>
      </c>
      <c r="U17" s="502">
        <v>0</v>
      </c>
      <c r="V17" s="502">
        <v>0</v>
      </c>
      <c r="W17" s="502">
        <v>0</v>
      </c>
      <c r="X17" s="502">
        <v>0</v>
      </c>
      <c r="Y17" s="502">
        <v>0</v>
      </c>
      <c r="Z17" s="502">
        <v>0</v>
      </c>
      <c r="AA17" s="502">
        <v>0</v>
      </c>
    </row>
    <row r="18" spans="1:27" ht="15">
      <c r="A18" s="343">
        <v>2.2999999999999998</v>
      </c>
      <c r="B18" s="373" t="s">
        <v>564</v>
      </c>
      <c r="C18" s="525">
        <f t="shared" si="1"/>
        <v>994103397.65010011</v>
      </c>
      <c r="D18" s="502">
        <v>994103397.65010011</v>
      </c>
      <c r="E18" s="502">
        <v>0</v>
      </c>
      <c r="F18" s="502">
        <v>0</v>
      </c>
      <c r="G18" s="502">
        <v>0</v>
      </c>
      <c r="H18" s="502">
        <v>0</v>
      </c>
      <c r="I18" s="502">
        <v>0</v>
      </c>
      <c r="J18" s="502">
        <v>0</v>
      </c>
      <c r="K18" s="502">
        <v>0</v>
      </c>
      <c r="L18" s="502">
        <v>0</v>
      </c>
      <c r="M18" s="502">
        <v>0</v>
      </c>
      <c r="N18" s="502">
        <v>0</v>
      </c>
      <c r="O18" s="502">
        <v>0</v>
      </c>
      <c r="P18" s="502">
        <v>0</v>
      </c>
      <c r="Q18" s="502">
        <v>0</v>
      </c>
      <c r="R18" s="502">
        <v>0</v>
      </c>
      <c r="S18" s="502">
        <v>0</v>
      </c>
      <c r="T18" s="502">
        <v>0</v>
      </c>
      <c r="U18" s="502">
        <v>0</v>
      </c>
      <c r="V18" s="502">
        <v>0</v>
      </c>
      <c r="W18" s="502">
        <v>0</v>
      </c>
      <c r="X18" s="502">
        <v>0</v>
      </c>
      <c r="Y18" s="502">
        <v>0</v>
      </c>
      <c r="Z18" s="502">
        <v>0</v>
      </c>
      <c r="AA18" s="502">
        <v>0</v>
      </c>
    </row>
    <row r="19" spans="1:27" ht="15">
      <c r="A19" s="343">
        <v>2.4</v>
      </c>
      <c r="B19" s="373" t="s">
        <v>565</v>
      </c>
      <c r="C19" s="525">
        <f t="shared" si="1"/>
        <v>10419841.310000001</v>
      </c>
      <c r="D19" s="502">
        <v>10419841.310000001</v>
      </c>
      <c r="E19" s="502">
        <v>0</v>
      </c>
      <c r="F19" s="502">
        <v>0</v>
      </c>
      <c r="G19" s="502">
        <v>0</v>
      </c>
      <c r="H19" s="502">
        <v>0</v>
      </c>
      <c r="I19" s="502">
        <v>0</v>
      </c>
      <c r="J19" s="502">
        <v>0</v>
      </c>
      <c r="K19" s="502">
        <v>0</v>
      </c>
      <c r="L19" s="502">
        <v>0</v>
      </c>
      <c r="M19" s="502">
        <v>0</v>
      </c>
      <c r="N19" s="502">
        <v>0</v>
      </c>
      <c r="O19" s="502">
        <v>0</v>
      </c>
      <c r="P19" s="502">
        <v>0</v>
      </c>
      <c r="Q19" s="502">
        <v>0</v>
      </c>
      <c r="R19" s="502">
        <v>0</v>
      </c>
      <c r="S19" s="502">
        <v>0</v>
      </c>
      <c r="T19" s="502">
        <v>0</v>
      </c>
      <c r="U19" s="502">
        <v>0</v>
      </c>
      <c r="V19" s="502">
        <v>0</v>
      </c>
      <c r="W19" s="502">
        <v>0</v>
      </c>
      <c r="X19" s="502">
        <v>0</v>
      </c>
      <c r="Y19" s="502">
        <v>0</v>
      </c>
      <c r="Z19" s="502">
        <v>0</v>
      </c>
      <c r="AA19" s="502">
        <v>0</v>
      </c>
    </row>
    <row r="20" spans="1:27" ht="15">
      <c r="A20" s="343">
        <v>2.5</v>
      </c>
      <c r="B20" s="373" t="s">
        <v>566</v>
      </c>
      <c r="C20" s="525">
        <f t="shared" si="1"/>
        <v>119414116.14750001</v>
      </c>
      <c r="D20" s="502">
        <v>119414116.14750001</v>
      </c>
      <c r="E20" s="502">
        <v>0</v>
      </c>
      <c r="F20" s="502">
        <v>0</v>
      </c>
      <c r="G20" s="502">
        <v>0</v>
      </c>
      <c r="H20" s="502">
        <v>0</v>
      </c>
      <c r="I20" s="502">
        <v>0</v>
      </c>
      <c r="J20" s="502">
        <v>0</v>
      </c>
      <c r="K20" s="502">
        <v>0</v>
      </c>
      <c r="L20" s="502">
        <v>0</v>
      </c>
      <c r="M20" s="502">
        <v>0</v>
      </c>
      <c r="N20" s="502">
        <v>0</v>
      </c>
      <c r="O20" s="502">
        <v>0</v>
      </c>
      <c r="P20" s="502">
        <v>0</v>
      </c>
      <c r="Q20" s="502">
        <v>0</v>
      </c>
      <c r="R20" s="502">
        <v>0</v>
      </c>
      <c r="S20" s="502">
        <v>0</v>
      </c>
      <c r="T20" s="502">
        <v>0</v>
      </c>
      <c r="U20" s="502">
        <v>0</v>
      </c>
      <c r="V20" s="502">
        <v>0</v>
      </c>
      <c r="W20" s="502">
        <v>0</v>
      </c>
      <c r="X20" s="502">
        <v>0</v>
      </c>
      <c r="Y20" s="502">
        <v>0</v>
      </c>
      <c r="Z20" s="502">
        <v>0</v>
      </c>
      <c r="AA20" s="502">
        <v>0</v>
      </c>
    </row>
    <row r="21" spans="1:27" ht="15">
      <c r="A21" s="343">
        <v>2.6</v>
      </c>
      <c r="B21" s="373" t="s">
        <v>567</v>
      </c>
      <c r="C21" s="525">
        <f t="shared" si="1"/>
        <v>0</v>
      </c>
      <c r="D21" s="502">
        <v>0</v>
      </c>
      <c r="E21" s="502">
        <v>0</v>
      </c>
      <c r="F21" s="502">
        <v>0</v>
      </c>
      <c r="G21" s="502">
        <v>0</v>
      </c>
      <c r="H21" s="502">
        <v>0</v>
      </c>
      <c r="I21" s="502">
        <v>0</v>
      </c>
      <c r="J21" s="502">
        <v>0</v>
      </c>
      <c r="K21" s="502">
        <v>0</v>
      </c>
      <c r="L21" s="502">
        <v>0</v>
      </c>
      <c r="M21" s="502">
        <v>0</v>
      </c>
      <c r="N21" s="502">
        <v>0</v>
      </c>
      <c r="O21" s="502">
        <v>0</v>
      </c>
      <c r="P21" s="502">
        <v>0</v>
      </c>
      <c r="Q21" s="502">
        <v>0</v>
      </c>
      <c r="R21" s="502">
        <v>0</v>
      </c>
      <c r="S21" s="502">
        <v>0</v>
      </c>
      <c r="T21" s="502">
        <v>0</v>
      </c>
      <c r="U21" s="502">
        <v>0</v>
      </c>
      <c r="V21" s="502">
        <v>0</v>
      </c>
      <c r="W21" s="502">
        <v>0</v>
      </c>
      <c r="X21" s="502">
        <v>0</v>
      </c>
      <c r="Y21" s="502">
        <v>0</v>
      </c>
      <c r="Z21" s="502">
        <v>0</v>
      </c>
      <c r="AA21" s="502">
        <v>0</v>
      </c>
    </row>
    <row r="22" spans="1:27" ht="15">
      <c r="A22" s="374">
        <v>3</v>
      </c>
      <c r="B22" s="347" t="s">
        <v>569</v>
      </c>
      <c r="C22" s="525">
        <f>SUM(C23:C28)</f>
        <v>2939795247.5860004</v>
      </c>
      <c r="D22" s="525">
        <f t="shared" ref="D22" si="3">SUM(D23:D28)</f>
        <v>2762484100.9267731</v>
      </c>
      <c r="E22" s="372"/>
      <c r="F22" s="372"/>
      <c r="G22" s="372"/>
      <c r="H22" s="525">
        <f t="shared" ref="H22" si="4">SUM(H23:H28)</f>
        <v>169794711.15908504</v>
      </c>
      <c r="I22" s="372"/>
      <c r="J22" s="372"/>
      <c r="K22" s="372"/>
      <c r="L22" s="525">
        <f t="shared" ref="L22" si="5">SUM(L23:L28)</f>
        <v>7516435.5001419997</v>
      </c>
      <c r="M22" s="372"/>
      <c r="N22" s="372"/>
      <c r="O22" s="372"/>
      <c r="P22" s="372"/>
      <c r="Q22" s="372"/>
      <c r="R22" s="372"/>
      <c r="S22" s="372"/>
      <c r="T22" s="502">
        <v>0</v>
      </c>
      <c r="U22" s="372"/>
      <c r="V22" s="372"/>
      <c r="W22" s="372"/>
      <c r="X22" s="372"/>
      <c r="Y22" s="372"/>
      <c r="Z22" s="372"/>
      <c r="AA22" s="372"/>
    </row>
    <row r="23" spans="1:27" ht="15">
      <c r="A23" s="343">
        <v>3.1</v>
      </c>
      <c r="B23" s="373" t="s">
        <v>562</v>
      </c>
      <c r="C23" s="525">
        <f t="shared" si="1"/>
        <v>0</v>
      </c>
      <c r="D23" s="502">
        <v>0</v>
      </c>
      <c r="E23" s="372"/>
      <c r="F23" s="372"/>
      <c r="G23" s="372"/>
      <c r="H23" s="502">
        <v>0</v>
      </c>
      <c r="I23" s="372"/>
      <c r="J23" s="372"/>
      <c r="K23" s="372"/>
      <c r="L23" s="502">
        <v>0</v>
      </c>
      <c r="M23" s="372"/>
      <c r="N23" s="372"/>
      <c r="O23" s="372"/>
      <c r="P23" s="372"/>
      <c r="Q23" s="372"/>
      <c r="R23" s="372"/>
      <c r="S23" s="372"/>
      <c r="T23" s="502">
        <v>0</v>
      </c>
      <c r="U23" s="372"/>
      <c r="V23" s="372"/>
      <c r="W23" s="372"/>
      <c r="X23" s="372"/>
      <c r="Y23" s="372"/>
      <c r="Z23" s="372"/>
      <c r="AA23" s="372"/>
    </row>
    <row r="24" spans="1:27" ht="15">
      <c r="A24" s="343">
        <v>3.2</v>
      </c>
      <c r="B24" s="373" t="s">
        <v>563</v>
      </c>
      <c r="C24" s="525">
        <f t="shared" si="1"/>
        <v>997808.03999999992</v>
      </c>
      <c r="D24" s="502">
        <v>997808.03999999992</v>
      </c>
      <c r="E24" s="372"/>
      <c r="F24" s="372"/>
      <c r="G24" s="372"/>
      <c r="H24" s="502">
        <v>0</v>
      </c>
      <c r="I24" s="372"/>
      <c r="J24" s="372"/>
      <c r="K24" s="372"/>
      <c r="L24" s="502">
        <v>0</v>
      </c>
      <c r="M24" s="372"/>
      <c r="N24" s="372"/>
      <c r="O24" s="372"/>
      <c r="P24" s="372"/>
      <c r="Q24" s="372"/>
      <c r="R24" s="372"/>
      <c r="S24" s="372"/>
      <c r="T24" s="502">
        <v>0</v>
      </c>
      <c r="U24" s="372"/>
      <c r="V24" s="372"/>
      <c r="W24" s="372"/>
      <c r="X24" s="372"/>
      <c r="Y24" s="372"/>
      <c r="Z24" s="372"/>
      <c r="AA24" s="372"/>
    </row>
    <row r="25" spans="1:27" ht="15">
      <c r="A25" s="343">
        <v>3.3</v>
      </c>
      <c r="B25" s="373" t="s">
        <v>564</v>
      </c>
      <c r="C25" s="525">
        <f t="shared" si="1"/>
        <v>0</v>
      </c>
      <c r="D25" s="502">
        <v>0</v>
      </c>
      <c r="E25" s="372"/>
      <c r="F25" s="372"/>
      <c r="G25" s="372"/>
      <c r="H25" s="502">
        <v>0</v>
      </c>
      <c r="I25" s="372"/>
      <c r="J25" s="372"/>
      <c r="K25" s="372"/>
      <c r="L25" s="502">
        <v>0</v>
      </c>
      <c r="M25" s="372"/>
      <c r="N25" s="372"/>
      <c r="O25" s="372"/>
      <c r="P25" s="372"/>
      <c r="Q25" s="372"/>
      <c r="R25" s="372"/>
      <c r="S25" s="372"/>
      <c r="T25" s="502">
        <v>0</v>
      </c>
      <c r="U25" s="372"/>
      <c r="V25" s="372"/>
      <c r="W25" s="372"/>
      <c r="X25" s="372"/>
      <c r="Y25" s="372"/>
      <c r="Z25" s="372"/>
      <c r="AA25" s="372"/>
    </row>
    <row r="26" spans="1:27" ht="15">
      <c r="A26" s="343">
        <v>3.4</v>
      </c>
      <c r="B26" s="373" t="s">
        <v>565</v>
      </c>
      <c r="C26" s="525">
        <f>D26+H26+L26+T26</f>
        <v>13300501.6262</v>
      </c>
      <c r="D26" s="502">
        <v>12570501.6262</v>
      </c>
      <c r="E26" s="372"/>
      <c r="F26" s="372"/>
      <c r="G26" s="372"/>
      <c r="H26" s="502">
        <v>730000</v>
      </c>
      <c r="I26" s="372"/>
      <c r="J26" s="372"/>
      <c r="K26" s="372"/>
      <c r="L26" s="502">
        <v>0</v>
      </c>
      <c r="M26" s="372"/>
      <c r="N26" s="372"/>
      <c r="O26" s="372"/>
      <c r="P26" s="372"/>
      <c r="Q26" s="372"/>
      <c r="R26" s="372"/>
      <c r="S26" s="372"/>
      <c r="T26" s="502">
        <v>0</v>
      </c>
      <c r="U26" s="372"/>
      <c r="V26" s="372"/>
      <c r="W26" s="372"/>
      <c r="X26" s="372"/>
      <c r="Y26" s="372"/>
      <c r="Z26" s="372"/>
      <c r="AA26" s="372"/>
    </row>
    <row r="27" spans="1:27" ht="15">
      <c r="A27" s="343">
        <v>3.5</v>
      </c>
      <c r="B27" s="373" t="s">
        <v>566</v>
      </c>
      <c r="C27" s="525">
        <f>D27+H27+L27+T27</f>
        <v>2654451870.2970572</v>
      </c>
      <c r="D27" s="502">
        <v>2483000424.9685998</v>
      </c>
      <c r="E27" s="372"/>
      <c r="F27" s="372"/>
      <c r="G27" s="372"/>
      <c r="H27" s="502">
        <v>163935009.82831502</v>
      </c>
      <c r="I27" s="372"/>
      <c r="J27" s="372"/>
      <c r="K27" s="372"/>
      <c r="L27" s="502">
        <v>7516435.5001419997</v>
      </c>
      <c r="M27" s="372"/>
      <c r="N27" s="372"/>
      <c r="O27" s="372"/>
      <c r="P27" s="372"/>
      <c r="Q27" s="372"/>
      <c r="R27" s="372"/>
      <c r="S27" s="372"/>
      <c r="T27" s="502">
        <v>0</v>
      </c>
      <c r="U27" s="372"/>
      <c r="V27" s="372"/>
      <c r="W27" s="372"/>
      <c r="X27" s="372"/>
      <c r="Y27" s="372"/>
      <c r="Z27" s="372"/>
      <c r="AA27" s="372"/>
    </row>
    <row r="28" spans="1:27" ht="15">
      <c r="A28" s="343">
        <v>3.6</v>
      </c>
      <c r="B28" s="373" t="s">
        <v>567</v>
      </c>
      <c r="C28" s="525">
        <f>D28+H28+L28+T28</f>
        <v>271045067.62274289</v>
      </c>
      <c r="D28" s="502">
        <v>265915366.29197288</v>
      </c>
      <c r="E28" s="372"/>
      <c r="F28" s="372"/>
      <c r="G28" s="372"/>
      <c r="H28" s="502">
        <v>5129701.3307700008</v>
      </c>
      <c r="I28" s="372"/>
      <c r="J28" s="372"/>
      <c r="K28" s="372"/>
      <c r="L28" s="502">
        <v>0</v>
      </c>
      <c r="M28" s="372"/>
      <c r="N28" s="372"/>
      <c r="O28" s="372"/>
      <c r="P28" s="372"/>
      <c r="Q28" s="372"/>
      <c r="R28" s="372"/>
      <c r="S28" s="372"/>
      <c r="T28" s="502">
        <v>0</v>
      </c>
      <c r="U28" s="372"/>
      <c r="V28" s="372"/>
      <c r="W28" s="372"/>
      <c r="X28" s="372"/>
      <c r="Y28" s="372"/>
      <c r="Z28" s="372"/>
      <c r="AA28" s="372"/>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2"/>
  <sheetViews>
    <sheetView showGridLines="0" zoomScaleNormal="100" workbookViewId="0"/>
  </sheetViews>
  <sheetFormatPr defaultColWidth="9.140625" defaultRowHeight="12.75"/>
  <cols>
    <col min="1" max="1" width="11.85546875" style="354" bestFit="1" customWidth="1"/>
    <col min="2" max="2" width="90.28515625" style="354" bestFit="1" customWidth="1"/>
    <col min="3" max="3" width="20.140625" style="354" customWidth="1"/>
    <col min="4" max="4" width="22.28515625" style="354" customWidth="1"/>
    <col min="5" max="7" width="17.140625" style="354" customWidth="1"/>
    <col min="8" max="8" width="22.28515625" style="354" customWidth="1"/>
    <col min="9" max="10" width="17.140625" style="354" customWidth="1"/>
    <col min="11" max="27" width="22.28515625" style="354" customWidth="1"/>
    <col min="28" max="16384" width="9.140625" style="354"/>
  </cols>
  <sheetData>
    <row r="1" spans="1:27" ht="13.5">
      <c r="A1" s="311" t="s">
        <v>108</v>
      </c>
      <c r="B1" s="258" t="str">
        <f>Info!C2</f>
        <v>სს ”საქართველოს ბანკი”</v>
      </c>
      <c r="D1" s="510"/>
    </row>
    <row r="2" spans="1:27">
      <c r="A2" s="313" t="s">
        <v>109</v>
      </c>
      <c r="B2" s="315">
        <f>'1. key ratios'!B2</f>
        <v>45291</v>
      </c>
      <c r="S2" s="509"/>
      <c r="T2" s="509"/>
    </row>
    <row r="3" spans="1:27">
      <c r="A3" s="314" t="s">
        <v>570</v>
      </c>
      <c r="C3" s="356"/>
      <c r="D3" s="509"/>
      <c r="E3" s="509"/>
      <c r="H3" s="509"/>
      <c r="L3" s="509"/>
      <c r="S3" s="509"/>
      <c r="T3" s="509"/>
    </row>
    <row r="4" spans="1:27" ht="13.5" thickBot="1">
      <c r="A4" s="314"/>
      <c r="B4" s="356"/>
      <c r="C4" s="356"/>
    </row>
    <row r="5" spans="1:27" s="384" customFormat="1" ht="13.5" customHeight="1">
      <c r="A5" s="903" t="s">
        <v>899</v>
      </c>
      <c r="B5" s="904"/>
      <c r="C5" s="900" t="s">
        <v>571</v>
      </c>
      <c r="D5" s="901"/>
      <c r="E5" s="901"/>
      <c r="F5" s="901"/>
      <c r="G5" s="901"/>
      <c r="H5" s="901"/>
      <c r="I5" s="901"/>
      <c r="J5" s="901"/>
      <c r="K5" s="901"/>
      <c r="L5" s="901"/>
      <c r="M5" s="901"/>
      <c r="N5" s="901"/>
      <c r="O5" s="901"/>
      <c r="P5" s="901"/>
      <c r="Q5" s="901"/>
      <c r="R5" s="901"/>
      <c r="S5" s="901"/>
      <c r="T5" s="901"/>
      <c r="U5" s="901"/>
      <c r="V5" s="901"/>
      <c r="W5" s="901"/>
      <c r="X5" s="901"/>
      <c r="Y5" s="901"/>
      <c r="Z5" s="901"/>
      <c r="AA5" s="902"/>
    </row>
    <row r="6" spans="1:27" s="384" customFormat="1" ht="12" customHeight="1">
      <c r="A6" s="905"/>
      <c r="B6" s="906"/>
      <c r="C6" s="910" t="s">
        <v>66</v>
      </c>
      <c r="D6" s="909" t="s">
        <v>891</v>
      </c>
      <c r="E6" s="909"/>
      <c r="F6" s="909"/>
      <c r="G6" s="909"/>
      <c r="H6" s="895" t="s">
        <v>890</v>
      </c>
      <c r="I6" s="896"/>
      <c r="J6" s="896"/>
      <c r="K6" s="896"/>
      <c r="L6" s="380"/>
      <c r="M6" s="877" t="s">
        <v>889</v>
      </c>
      <c r="N6" s="877"/>
      <c r="O6" s="877"/>
      <c r="P6" s="877"/>
      <c r="Q6" s="877"/>
      <c r="R6" s="877"/>
      <c r="S6" s="875"/>
      <c r="T6" s="380"/>
      <c r="U6" s="877" t="s">
        <v>888</v>
      </c>
      <c r="V6" s="877"/>
      <c r="W6" s="877"/>
      <c r="X6" s="877"/>
      <c r="Y6" s="877"/>
      <c r="Z6" s="877"/>
      <c r="AA6" s="899"/>
    </row>
    <row r="7" spans="1:27" s="384" customFormat="1" ht="38.25">
      <c r="A7" s="907"/>
      <c r="B7" s="908"/>
      <c r="C7" s="911"/>
      <c r="D7" s="379"/>
      <c r="E7" s="375" t="s">
        <v>560</v>
      </c>
      <c r="F7" s="351" t="s">
        <v>886</v>
      </c>
      <c r="G7" s="351" t="s">
        <v>887</v>
      </c>
      <c r="H7" s="405"/>
      <c r="I7" s="375" t="s">
        <v>560</v>
      </c>
      <c r="J7" s="351" t="s">
        <v>886</v>
      </c>
      <c r="K7" s="351" t="s">
        <v>887</v>
      </c>
      <c r="L7" s="376"/>
      <c r="M7" s="375" t="s">
        <v>560</v>
      </c>
      <c r="N7" s="351" t="s">
        <v>898</v>
      </c>
      <c r="O7" s="351" t="s">
        <v>897</v>
      </c>
      <c r="P7" s="351" t="s">
        <v>896</v>
      </c>
      <c r="Q7" s="351" t="s">
        <v>895</v>
      </c>
      <c r="R7" s="351" t="s">
        <v>894</v>
      </c>
      <c r="S7" s="351" t="s">
        <v>881</v>
      </c>
      <c r="T7" s="376"/>
      <c r="U7" s="375" t="s">
        <v>560</v>
      </c>
      <c r="V7" s="351" t="s">
        <v>898</v>
      </c>
      <c r="W7" s="351" t="s">
        <v>897</v>
      </c>
      <c r="X7" s="351" t="s">
        <v>896</v>
      </c>
      <c r="Y7" s="351" t="s">
        <v>895</v>
      </c>
      <c r="Z7" s="351" t="s">
        <v>894</v>
      </c>
      <c r="AA7" s="351" t="s">
        <v>881</v>
      </c>
    </row>
    <row r="8" spans="1:27" ht="15">
      <c r="A8" s="404">
        <v>1</v>
      </c>
      <c r="B8" s="403" t="s">
        <v>561</v>
      </c>
      <c r="C8" s="505">
        <f t="shared" ref="C8:C15" si="0">D8+H8+L8+T8</f>
        <v>19826572902.899902</v>
      </c>
      <c r="D8" s="499">
        <v>18212099940.250103</v>
      </c>
      <c r="E8" s="499">
        <v>96295005.580199957</v>
      </c>
      <c r="F8" s="499">
        <v>2852933.5083000003</v>
      </c>
      <c r="G8" s="499"/>
      <c r="H8" s="499">
        <v>1102568297.8988998</v>
      </c>
      <c r="I8" s="499">
        <v>47200473.203099996</v>
      </c>
      <c r="J8" s="499">
        <v>58829320.747000001</v>
      </c>
      <c r="K8" s="499">
        <v>1556271.1776000001</v>
      </c>
      <c r="L8" s="499">
        <v>405518061.53930008</v>
      </c>
      <c r="M8" s="499">
        <v>22160400.661599997</v>
      </c>
      <c r="N8" s="499">
        <v>18072959.065400001</v>
      </c>
      <c r="O8" s="499">
        <v>37647910.309800006</v>
      </c>
      <c r="P8" s="508">
        <v>66982684.416000016</v>
      </c>
      <c r="Q8" s="508">
        <v>57081300.599700004</v>
      </c>
      <c r="R8" s="508">
        <v>42738939.296700001</v>
      </c>
      <c r="S8" s="508">
        <v>3594252.1180000007</v>
      </c>
      <c r="T8" s="508">
        <v>106386603.21160001</v>
      </c>
      <c r="U8" s="508">
        <v>7766185.8033999987</v>
      </c>
      <c r="V8" s="508">
        <v>4529462.0926999999</v>
      </c>
      <c r="W8" s="508">
        <v>4239906.1847999999</v>
      </c>
      <c r="X8" s="508">
        <v>22075513.115800004</v>
      </c>
      <c r="Y8" s="508">
        <v>1600631.8652999999</v>
      </c>
      <c r="Z8" s="508">
        <v>1859642.1977999997</v>
      </c>
      <c r="AA8" s="508">
        <v>0</v>
      </c>
    </row>
    <row r="9" spans="1:27" ht="15">
      <c r="A9" s="401">
        <v>1.1000000000000001</v>
      </c>
      <c r="B9" s="402" t="s">
        <v>572</v>
      </c>
      <c r="C9" s="505">
        <f t="shared" si="0"/>
        <v>16360997411.025402</v>
      </c>
      <c r="D9" s="499">
        <v>14988832281.521202</v>
      </c>
      <c r="E9" s="499">
        <v>74074745.932099998</v>
      </c>
      <c r="F9" s="499">
        <v>2421724.0854000002</v>
      </c>
      <c r="G9" s="499"/>
      <c r="H9" s="499">
        <v>950364874.72119999</v>
      </c>
      <c r="I9" s="499">
        <v>29962663.272000004</v>
      </c>
      <c r="J9" s="499">
        <v>42201724.4811</v>
      </c>
      <c r="K9" s="499">
        <v>1065400.1715000002</v>
      </c>
      <c r="L9" s="499">
        <v>322202813.9307</v>
      </c>
      <c r="M9" s="499">
        <v>12019462.4969</v>
      </c>
      <c r="N9" s="499">
        <v>10648453.340300001</v>
      </c>
      <c r="O9" s="499">
        <v>19918575.752999999</v>
      </c>
      <c r="P9" s="508">
        <v>66164303.404899999</v>
      </c>
      <c r="Q9" s="508">
        <v>54387642.370899998</v>
      </c>
      <c r="R9" s="508">
        <v>39339806.652199998</v>
      </c>
      <c r="S9" s="508">
        <v>0</v>
      </c>
      <c r="T9" s="508">
        <v>99597440.852300003</v>
      </c>
      <c r="U9" s="508">
        <v>6676403.3836999992</v>
      </c>
      <c r="V9" s="508">
        <v>3971345.5334999999</v>
      </c>
      <c r="W9" s="508">
        <v>3958478.1264</v>
      </c>
      <c r="X9" s="508">
        <v>22075513.115800004</v>
      </c>
      <c r="Y9" s="508">
        <v>1526221.6617999999</v>
      </c>
      <c r="Z9" s="508">
        <v>1859642.1977999997</v>
      </c>
      <c r="AA9" s="508"/>
    </row>
    <row r="10" spans="1:27" ht="15">
      <c r="A10" s="399" t="s">
        <v>157</v>
      </c>
      <c r="B10" s="400" t="s">
        <v>573</v>
      </c>
      <c r="C10" s="505">
        <f t="shared" si="0"/>
        <v>15969404396.547201</v>
      </c>
      <c r="D10" s="499">
        <v>14606680418.440102</v>
      </c>
      <c r="E10" s="499">
        <v>71172052.430299997</v>
      </c>
      <c r="F10" s="499">
        <v>2421724.0854000002</v>
      </c>
      <c r="G10" s="499"/>
      <c r="H10" s="499">
        <v>943907947.48720002</v>
      </c>
      <c r="I10" s="499">
        <v>29778597.316800002</v>
      </c>
      <c r="J10" s="499">
        <v>41911355.689000003</v>
      </c>
      <c r="K10" s="499">
        <v>1065400.1715000002</v>
      </c>
      <c r="L10" s="499">
        <v>319218589.7676</v>
      </c>
      <c r="M10" s="499">
        <v>11695588.853799999</v>
      </c>
      <c r="N10" s="499">
        <v>10585315.875399999</v>
      </c>
      <c r="O10" s="499">
        <v>19712457.409699999</v>
      </c>
      <c r="P10" s="508">
        <v>66164303.404899999</v>
      </c>
      <c r="Q10" s="508">
        <v>53360955.320900001</v>
      </c>
      <c r="R10" s="508">
        <v>39339806.652199998</v>
      </c>
      <c r="S10" s="508">
        <v>0</v>
      </c>
      <c r="T10" s="508">
        <v>99597440.852300003</v>
      </c>
      <c r="U10" s="508">
        <v>6676403.3836999992</v>
      </c>
      <c r="V10" s="508">
        <v>3971345.5334999999</v>
      </c>
      <c r="W10" s="508">
        <v>3958478.1264</v>
      </c>
      <c r="X10" s="508">
        <v>22075513.115800004</v>
      </c>
      <c r="Y10" s="508">
        <v>1526221.6617999999</v>
      </c>
      <c r="Z10" s="508">
        <v>1859642.1977999997</v>
      </c>
      <c r="AA10" s="508"/>
    </row>
    <row r="11" spans="1:27" ht="15">
      <c r="A11" s="398" t="s">
        <v>574</v>
      </c>
      <c r="B11" s="397" t="s">
        <v>575</v>
      </c>
      <c r="C11" s="505">
        <f t="shared" si="0"/>
        <v>8833186088.8407001</v>
      </c>
      <c r="D11" s="499">
        <v>8306113125.6357994</v>
      </c>
      <c r="E11" s="499">
        <v>35774244.661699995</v>
      </c>
      <c r="F11" s="499">
        <v>751357.80599999998</v>
      </c>
      <c r="G11" s="499"/>
      <c r="H11" s="499">
        <v>344265740.4964</v>
      </c>
      <c r="I11" s="499">
        <v>14905174.000800001</v>
      </c>
      <c r="J11" s="499">
        <v>10294780.2937</v>
      </c>
      <c r="K11" s="499">
        <v>405751.91460000002</v>
      </c>
      <c r="L11" s="499">
        <v>141817211.36469999</v>
      </c>
      <c r="M11" s="499">
        <v>4629611.4787999997</v>
      </c>
      <c r="N11" s="499">
        <v>4914282.3860999998</v>
      </c>
      <c r="O11" s="499">
        <v>6675228.9526000004</v>
      </c>
      <c r="P11" s="508">
        <v>19274330.474100001</v>
      </c>
      <c r="Q11" s="508">
        <v>26000377.6778</v>
      </c>
      <c r="R11" s="508">
        <v>24296883.7053</v>
      </c>
      <c r="S11" s="508">
        <v>0</v>
      </c>
      <c r="T11" s="508">
        <v>40990011.343800001</v>
      </c>
      <c r="U11" s="508">
        <v>3911058.0767999999</v>
      </c>
      <c r="V11" s="508">
        <v>1579292.0203</v>
      </c>
      <c r="W11" s="508">
        <v>1930696.6684999999</v>
      </c>
      <c r="X11" s="508">
        <v>804932.5588</v>
      </c>
      <c r="Y11" s="508">
        <v>392417.02059999999</v>
      </c>
      <c r="Z11" s="508">
        <v>433142.07010000001</v>
      </c>
      <c r="AA11" s="508"/>
    </row>
    <row r="12" spans="1:27" ht="15">
      <c r="A12" s="398" t="s">
        <v>576</v>
      </c>
      <c r="B12" s="397" t="s">
        <v>577</v>
      </c>
      <c r="C12" s="505">
        <f t="shared" si="0"/>
        <v>2802995845.6946001</v>
      </c>
      <c r="D12" s="499">
        <v>2609431029.2231002</v>
      </c>
      <c r="E12" s="499">
        <v>12269731.3335</v>
      </c>
      <c r="F12" s="499">
        <v>1257380.8204000001</v>
      </c>
      <c r="G12" s="499"/>
      <c r="H12" s="499">
        <v>129353267.34799998</v>
      </c>
      <c r="I12" s="499">
        <v>7602941.3860999998</v>
      </c>
      <c r="J12" s="499">
        <v>6417109.9282999998</v>
      </c>
      <c r="K12" s="499">
        <v>102594.0621</v>
      </c>
      <c r="L12" s="499">
        <v>26641909.320200004</v>
      </c>
      <c r="M12" s="499">
        <v>2871705.3012999999</v>
      </c>
      <c r="N12" s="499">
        <v>1722367.5194999999</v>
      </c>
      <c r="O12" s="499">
        <v>3740130.3936000001</v>
      </c>
      <c r="P12" s="508">
        <v>4380082.4663000004</v>
      </c>
      <c r="Q12" s="508">
        <v>2826552.7647000002</v>
      </c>
      <c r="R12" s="508">
        <v>2296592.5243000002</v>
      </c>
      <c r="S12" s="508">
        <v>0</v>
      </c>
      <c r="T12" s="508">
        <v>37569639.803299993</v>
      </c>
      <c r="U12" s="508">
        <v>1281675.2755</v>
      </c>
      <c r="V12" s="508">
        <v>1628717.5492</v>
      </c>
      <c r="W12" s="508">
        <v>728933.57120000001</v>
      </c>
      <c r="X12" s="508">
        <v>17335542.432100002</v>
      </c>
      <c r="Y12" s="508">
        <v>58899.521399999998</v>
      </c>
      <c r="Z12" s="508">
        <v>1038094.8173</v>
      </c>
      <c r="AA12" s="508"/>
    </row>
    <row r="13" spans="1:27" ht="15">
      <c r="A13" s="398" t="s">
        <v>578</v>
      </c>
      <c r="B13" s="397" t="s">
        <v>579</v>
      </c>
      <c r="C13" s="505">
        <f t="shared" si="0"/>
        <v>1450791763.3080001</v>
      </c>
      <c r="D13" s="499">
        <v>1264924663.1060002</v>
      </c>
      <c r="E13" s="499">
        <v>16945959.478300001</v>
      </c>
      <c r="F13" s="499">
        <v>255591.8412</v>
      </c>
      <c r="G13" s="499"/>
      <c r="H13" s="499">
        <v>128099620.52780001</v>
      </c>
      <c r="I13" s="499">
        <v>3820072.8645000001</v>
      </c>
      <c r="J13" s="499">
        <v>19297868.327300001</v>
      </c>
      <c r="K13" s="499">
        <v>20179.211599999999</v>
      </c>
      <c r="L13" s="499">
        <v>45073951.383000001</v>
      </c>
      <c r="M13" s="499">
        <v>2217575.6494</v>
      </c>
      <c r="N13" s="499">
        <v>1122507.4495000001</v>
      </c>
      <c r="O13" s="499">
        <v>3425487.7017000001</v>
      </c>
      <c r="P13" s="508">
        <v>9033584.5645000003</v>
      </c>
      <c r="Q13" s="508">
        <v>9431545.5450999998</v>
      </c>
      <c r="R13" s="508">
        <v>2938934.0408000001</v>
      </c>
      <c r="S13" s="508">
        <v>0</v>
      </c>
      <c r="T13" s="508">
        <v>12693528.291200001</v>
      </c>
      <c r="U13" s="508">
        <v>1224496.4632999999</v>
      </c>
      <c r="V13" s="508">
        <v>337480.85649999999</v>
      </c>
      <c r="W13" s="508">
        <v>354035.14769999997</v>
      </c>
      <c r="X13" s="508">
        <v>3010951.6178000001</v>
      </c>
      <c r="Y13" s="508">
        <v>307959.66009999998</v>
      </c>
      <c r="Z13" s="508">
        <v>63403.7448</v>
      </c>
      <c r="AA13" s="508"/>
    </row>
    <row r="14" spans="1:27" ht="15">
      <c r="A14" s="398" t="s">
        <v>580</v>
      </c>
      <c r="B14" s="397" t="s">
        <v>581</v>
      </c>
      <c r="C14" s="505">
        <f t="shared" si="0"/>
        <v>2882430698.7039003</v>
      </c>
      <c r="D14" s="499">
        <v>2426211600.4752002</v>
      </c>
      <c r="E14" s="499">
        <v>6182116.9568000007</v>
      </c>
      <c r="F14" s="499">
        <v>157393.61780000001</v>
      </c>
      <c r="G14" s="499"/>
      <c r="H14" s="499">
        <v>342189319.11500001</v>
      </c>
      <c r="I14" s="499">
        <v>3450409.0653999997</v>
      </c>
      <c r="J14" s="499">
        <v>5901597.1397000002</v>
      </c>
      <c r="K14" s="499">
        <v>536874.98320000002</v>
      </c>
      <c r="L14" s="499">
        <v>105685517.69969998</v>
      </c>
      <c r="M14" s="499">
        <v>1976696.4243000001</v>
      </c>
      <c r="N14" s="499">
        <v>2826158.5203</v>
      </c>
      <c r="O14" s="499">
        <v>5871610.3618000001</v>
      </c>
      <c r="P14" s="508">
        <v>33476305.899999999</v>
      </c>
      <c r="Q14" s="508">
        <v>15102479.3333</v>
      </c>
      <c r="R14" s="508">
        <v>9807396.3817999996</v>
      </c>
      <c r="S14" s="508">
        <v>0</v>
      </c>
      <c r="T14" s="508">
        <v>8344261.4140000008</v>
      </c>
      <c r="U14" s="508">
        <v>259173.5681</v>
      </c>
      <c r="V14" s="508">
        <v>425855.10749999998</v>
      </c>
      <c r="W14" s="508">
        <v>944812.73899999994</v>
      </c>
      <c r="X14" s="508">
        <v>924086.50710000005</v>
      </c>
      <c r="Y14" s="508">
        <v>766945.45970000001</v>
      </c>
      <c r="Z14" s="508">
        <v>325001.56559999997</v>
      </c>
      <c r="AA14" s="508"/>
    </row>
    <row r="15" spans="1:27" ht="15">
      <c r="A15" s="396">
        <v>1.2</v>
      </c>
      <c r="B15" s="394" t="s">
        <v>893</v>
      </c>
      <c r="C15" s="505">
        <f t="shared" si="0"/>
        <v>179534077.68925902</v>
      </c>
      <c r="D15" s="499">
        <v>22971959.66</v>
      </c>
      <c r="E15" s="499">
        <v>333725.87</v>
      </c>
      <c r="F15" s="499">
        <v>9973.32</v>
      </c>
      <c r="G15" s="499"/>
      <c r="H15" s="499">
        <v>37666322.589999996</v>
      </c>
      <c r="I15" s="499">
        <v>564816.82000000007</v>
      </c>
      <c r="J15" s="499">
        <v>682080.61</v>
      </c>
      <c r="K15" s="499">
        <v>72973.23</v>
      </c>
      <c r="L15" s="499">
        <v>95943956.331870005</v>
      </c>
      <c r="M15" s="499">
        <v>2679686.4850599999</v>
      </c>
      <c r="N15" s="499">
        <v>2298209.8353610002</v>
      </c>
      <c r="O15" s="499">
        <v>4409929.1258530002</v>
      </c>
      <c r="P15" s="499">
        <v>22813856.624697998</v>
      </c>
      <c r="Q15" s="499">
        <v>21584842.885747001</v>
      </c>
      <c r="R15" s="499">
        <v>10861811.247059999</v>
      </c>
      <c r="S15" s="499">
        <v>0</v>
      </c>
      <c r="T15" s="499">
        <v>22951839.107388999</v>
      </c>
      <c r="U15" s="499">
        <v>1527283.4789519999</v>
      </c>
      <c r="V15" s="499">
        <v>1084951.05</v>
      </c>
      <c r="W15" s="499">
        <v>1215926.3999999999</v>
      </c>
      <c r="X15" s="499">
        <v>8665718.1499480009</v>
      </c>
      <c r="Y15" s="499">
        <v>725466.080372</v>
      </c>
      <c r="Z15" s="499">
        <v>467960.04438199999</v>
      </c>
      <c r="AA15" s="499"/>
    </row>
    <row r="16" spans="1:27" ht="15">
      <c r="A16" s="395">
        <v>1.3</v>
      </c>
      <c r="B16" s="394" t="s">
        <v>582</v>
      </c>
      <c r="C16" s="506"/>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row>
    <row r="17" spans="1:27" s="384" customFormat="1" ht="25.5">
      <c r="A17" s="392" t="s">
        <v>583</v>
      </c>
      <c r="B17" s="393" t="s">
        <v>584</v>
      </c>
      <c r="C17" s="505">
        <f t="shared" ref="C17:C22" si="1">D17+H17+L17+T17</f>
        <v>15480156010.508398</v>
      </c>
      <c r="D17" s="508">
        <v>14237339667.319099</v>
      </c>
      <c r="E17" s="508">
        <v>73530547.214400008</v>
      </c>
      <c r="F17" s="508">
        <v>2288808.7676000004</v>
      </c>
      <c r="G17" s="508"/>
      <c r="H17" s="508">
        <v>842286770.82910001</v>
      </c>
      <c r="I17" s="508">
        <v>29504491.816</v>
      </c>
      <c r="J17" s="508">
        <v>40684589.554899998</v>
      </c>
      <c r="K17" s="508">
        <v>969694.25829999999</v>
      </c>
      <c r="L17" s="508">
        <v>302808371.7622</v>
      </c>
      <c r="M17" s="508">
        <v>11674687.794299999</v>
      </c>
      <c r="N17" s="508">
        <v>10075660.9859</v>
      </c>
      <c r="O17" s="508">
        <v>18880302.9241</v>
      </c>
      <c r="P17" s="508">
        <v>60754136.89190001</v>
      </c>
      <c r="Q17" s="508">
        <v>50685745.193099998</v>
      </c>
      <c r="R17" s="508">
        <v>36034459.493200004</v>
      </c>
      <c r="S17" s="508">
        <v>0</v>
      </c>
      <c r="T17" s="508">
        <v>97721200.598000005</v>
      </c>
      <c r="U17" s="508">
        <v>6653897.0155999996</v>
      </c>
      <c r="V17" s="508">
        <v>3911111.2659999998</v>
      </c>
      <c r="W17" s="508">
        <v>3732394.1874000002</v>
      </c>
      <c r="X17" s="508">
        <v>21904547.128700003</v>
      </c>
      <c r="Y17" s="508">
        <v>1269624.9419</v>
      </c>
      <c r="Z17" s="508">
        <v>1817027.6321999999</v>
      </c>
      <c r="AA17" s="508"/>
    </row>
    <row r="18" spans="1:27" s="384" customFormat="1" ht="26.25">
      <c r="A18" s="389" t="s">
        <v>585</v>
      </c>
      <c r="B18" s="390" t="s">
        <v>586</v>
      </c>
      <c r="C18" s="505">
        <f t="shared" si="1"/>
        <v>14854133008.437941</v>
      </c>
      <c r="D18" s="508">
        <v>13677147379.335609</v>
      </c>
      <c r="E18" s="508">
        <v>70087664.103500009</v>
      </c>
      <c r="F18" s="508">
        <v>2288808.7676000004</v>
      </c>
      <c r="G18" s="508"/>
      <c r="H18" s="508">
        <v>790314304.04433095</v>
      </c>
      <c r="I18" s="508">
        <v>29091542.461399999</v>
      </c>
      <c r="J18" s="508">
        <v>40208662.709300004</v>
      </c>
      <c r="K18" s="508">
        <v>937313.98829999997</v>
      </c>
      <c r="L18" s="508">
        <v>289034106.95969999</v>
      </c>
      <c r="M18" s="508">
        <v>11349346.669499999</v>
      </c>
      <c r="N18" s="508">
        <v>9942273.745099999</v>
      </c>
      <c r="O18" s="508">
        <v>18385762.657899998</v>
      </c>
      <c r="P18" s="508">
        <v>55558335.3649</v>
      </c>
      <c r="Q18" s="508">
        <v>48781184.387600005</v>
      </c>
      <c r="R18" s="508">
        <v>35364998.110399999</v>
      </c>
      <c r="S18" s="508">
        <v>0</v>
      </c>
      <c r="T18" s="508">
        <v>97637218.09830001</v>
      </c>
      <c r="U18" s="508">
        <v>6653897.0155999996</v>
      </c>
      <c r="V18" s="508">
        <v>3911111.2659999998</v>
      </c>
      <c r="W18" s="508">
        <v>3732394.1874000002</v>
      </c>
      <c r="X18" s="508">
        <v>21904547.128700003</v>
      </c>
      <c r="Y18" s="508">
        <v>1269624.9420999999</v>
      </c>
      <c r="Z18" s="508">
        <v>1817027.6321999999</v>
      </c>
      <c r="AA18" s="508"/>
    </row>
    <row r="19" spans="1:27" s="384" customFormat="1" ht="15">
      <c r="A19" s="392" t="s">
        <v>587</v>
      </c>
      <c r="B19" s="391" t="s">
        <v>588</v>
      </c>
      <c r="C19" s="505">
        <f t="shared" si="1"/>
        <v>18687064798.618999</v>
      </c>
      <c r="D19" s="508">
        <v>17552433884.159901</v>
      </c>
      <c r="E19" s="508">
        <v>54290640.384999998</v>
      </c>
      <c r="F19" s="508">
        <v>2739859.1972000003</v>
      </c>
      <c r="G19" s="508"/>
      <c r="H19" s="508">
        <v>747797876.68299997</v>
      </c>
      <c r="I19" s="508">
        <v>26798197.761300001</v>
      </c>
      <c r="J19" s="508">
        <v>26563464.553799998</v>
      </c>
      <c r="K19" s="508">
        <v>1091412.8329</v>
      </c>
      <c r="L19" s="508">
        <v>320535998.7791</v>
      </c>
      <c r="M19" s="508">
        <v>9033438.7048000004</v>
      </c>
      <c r="N19" s="508">
        <v>7348684.9253000002</v>
      </c>
      <c r="O19" s="508">
        <v>14187613.308599999</v>
      </c>
      <c r="P19" s="508">
        <v>52980744.284999996</v>
      </c>
      <c r="Q19" s="508">
        <v>90525225.128800005</v>
      </c>
      <c r="R19" s="508">
        <v>26846075.525900003</v>
      </c>
      <c r="S19" s="508">
        <v>0</v>
      </c>
      <c r="T19" s="508">
        <v>66297038.996999994</v>
      </c>
      <c r="U19" s="508">
        <v>5697147.7451999998</v>
      </c>
      <c r="V19" s="508">
        <v>2417519.7848</v>
      </c>
      <c r="W19" s="508">
        <v>2679304.7145000002</v>
      </c>
      <c r="X19" s="508">
        <v>4110660.4325999999</v>
      </c>
      <c r="Y19" s="508">
        <v>574842.7879</v>
      </c>
      <c r="Z19" s="508">
        <v>1023065.5284</v>
      </c>
      <c r="AA19" s="508"/>
    </row>
    <row r="20" spans="1:27" s="384" customFormat="1" ht="15">
      <c r="A20" s="389" t="s">
        <v>589</v>
      </c>
      <c r="B20" s="390" t="s">
        <v>590</v>
      </c>
      <c r="C20" s="505">
        <f t="shared" si="1"/>
        <v>16992240120.145569</v>
      </c>
      <c r="D20" s="508">
        <v>15949370183.825768</v>
      </c>
      <c r="E20" s="508">
        <v>51116758.196500003</v>
      </c>
      <c r="F20" s="508">
        <v>2739859.2024000008</v>
      </c>
      <c r="G20" s="508"/>
      <c r="H20" s="508">
        <v>702487905.16779995</v>
      </c>
      <c r="I20" s="508">
        <v>26478921.968600001</v>
      </c>
      <c r="J20" s="508">
        <v>26272168.1807</v>
      </c>
      <c r="K20" s="508">
        <v>1082588.1217</v>
      </c>
      <c r="L20" s="508">
        <v>274359506.67030007</v>
      </c>
      <c r="M20" s="508">
        <v>8591239.8505000006</v>
      </c>
      <c r="N20" s="508">
        <v>7076543.8048999999</v>
      </c>
      <c r="O20" s="508">
        <v>13336014.7721</v>
      </c>
      <c r="P20" s="508">
        <v>35464009.815099999</v>
      </c>
      <c r="Q20" s="508">
        <v>86519505.462400004</v>
      </c>
      <c r="R20" s="508">
        <v>26440387.7896</v>
      </c>
      <c r="S20" s="508">
        <v>0</v>
      </c>
      <c r="T20" s="508">
        <v>66022524.481700003</v>
      </c>
      <c r="U20" s="508">
        <v>5697147.7444000002</v>
      </c>
      <c r="V20" s="508">
        <v>2417519.784</v>
      </c>
      <c r="W20" s="508">
        <v>2679304.7126000002</v>
      </c>
      <c r="X20" s="508">
        <v>4110660.4313000003</v>
      </c>
      <c r="Y20" s="508">
        <v>574842.7879</v>
      </c>
      <c r="Z20" s="508">
        <v>915489.53780000005</v>
      </c>
      <c r="AA20" s="508"/>
    </row>
    <row r="21" spans="1:27" s="384" customFormat="1" ht="15">
      <c r="A21" s="388">
        <v>1.4</v>
      </c>
      <c r="B21" s="387" t="s">
        <v>679</v>
      </c>
      <c r="C21" s="505">
        <f t="shared" si="1"/>
        <v>99634494.543099999</v>
      </c>
      <c r="D21" s="508">
        <v>93974851.601300001</v>
      </c>
      <c r="E21" s="508">
        <v>89270.57</v>
      </c>
      <c r="F21" s="508">
        <v>34169.29</v>
      </c>
      <c r="G21" s="508"/>
      <c r="H21" s="508">
        <v>1685440.86</v>
      </c>
      <c r="I21" s="508">
        <v>140633.62</v>
      </c>
      <c r="J21" s="508">
        <v>33653.47</v>
      </c>
      <c r="K21" s="508">
        <v>0</v>
      </c>
      <c r="L21" s="508">
        <v>3974202.0818000003</v>
      </c>
      <c r="M21" s="508">
        <v>33827.979999999996</v>
      </c>
      <c r="N21" s="508">
        <v>26087.1</v>
      </c>
      <c r="O21" s="508">
        <v>804173.07</v>
      </c>
      <c r="P21" s="508">
        <v>95246.99</v>
      </c>
      <c r="Q21" s="508">
        <v>0</v>
      </c>
      <c r="R21" s="508">
        <v>0</v>
      </c>
      <c r="S21" s="508">
        <v>0</v>
      </c>
      <c r="T21" s="508">
        <v>0</v>
      </c>
      <c r="U21" s="508">
        <v>0</v>
      </c>
      <c r="V21" s="508">
        <v>0</v>
      </c>
      <c r="W21" s="508">
        <v>0</v>
      </c>
      <c r="X21" s="508">
        <v>0</v>
      </c>
      <c r="Y21" s="508">
        <v>0</v>
      </c>
      <c r="Z21" s="508">
        <v>0</v>
      </c>
      <c r="AA21" s="508"/>
    </row>
    <row r="22" spans="1:27" s="384" customFormat="1" ht="15.75" thickBot="1">
      <c r="A22" s="386">
        <v>1.5</v>
      </c>
      <c r="B22" s="385" t="s">
        <v>680</v>
      </c>
      <c r="C22" s="505">
        <f t="shared" si="1"/>
        <v>66418469.025099993</v>
      </c>
      <c r="D22" s="508">
        <v>57848292.123799995</v>
      </c>
      <c r="E22" s="508">
        <v>571214.80000000005</v>
      </c>
      <c r="F22" s="508">
        <v>0</v>
      </c>
      <c r="G22" s="508"/>
      <c r="H22" s="508">
        <v>6936160.1640999997</v>
      </c>
      <c r="I22" s="508">
        <v>0</v>
      </c>
      <c r="J22" s="508">
        <v>0</v>
      </c>
      <c r="K22" s="508">
        <v>0</v>
      </c>
      <c r="L22" s="508">
        <v>1634016.7371999999</v>
      </c>
      <c r="M22" s="508">
        <v>0</v>
      </c>
      <c r="N22" s="508">
        <v>0</v>
      </c>
      <c r="O22" s="508">
        <v>0</v>
      </c>
      <c r="P22" s="508">
        <v>0</v>
      </c>
      <c r="Q22" s="508">
        <v>0</v>
      </c>
      <c r="R22" s="508">
        <v>0</v>
      </c>
      <c r="S22" s="508">
        <v>0</v>
      </c>
      <c r="T22" s="508">
        <v>0</v>
      </c>
      <c r="U22" s="508">
        <v>0</v>
      </c>
      <c r="V22" s="508">
        <v>0</v>
      </c>
      <c r="W22" s="508">
        <v>0</v>
      </c>
      <c r="X22" s="508">
        <v>0</v>
      </c>
      <c r="Y22" s="508">
        <v>0</v>
      </c>
      <c r="Z22" s="508">
        <v>0</v>
      </c>
      <c r="AA22" s="508"/>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5"/>
  <sheetViews>
    <sheetView showGridLines="0" zoomScaleNormal="100" workbookViewId="0"/>
  </sheetViews>
  <sheetFormatPr defaultColWidth="9.140625" defaultRowHeight="12.75"/>
  <cols>
    <col min="1" max="1" width="11.85546875" style="354" bestFit="1" customWidth="1"/>
    <col min="2" max="2" width="93.42578125" style="354" customWidth="1"/>
    <col min="3" max="3" width="18.7109375" style="354" bestFit="1" customWidth="1"/>
    <col min="4" max="5" width="16.140625" style="354" customWidth="1"/>
    <col min="6" max="6" width="16.140625" style="406" customWidth="1"/>
    <col min="7" max="7" width="25.28515625" style="406" customWidth="1"/>
    <col min="8" max="8" width="16.140625" style="354" customWidth="1"/>
    <col min="9" max="11" width="16.140625" style="406" customWidth="1"/>
    <col min="12" max="12" width="26.28515625" style="406" customWidth="1"/>
    <col min="13" max="16384" width="9.140625" style="354"/>
  </cols>
  <sheetData>
    <row r="1" spans="1:12" ht="13.5">
      <c r="A1" s="311" t="s">
        <v>108</v>
      </c>
      <c r="B1" s="258" t="str">
        <f>Info!C2</f>
        <v>სს ”საქართველოს ბანკი”</v>
      </c>
      <c r="F1" s="354"/>
      <c r="G1" s="354"/>
      <c r="I1" s="354"/>
      <c r="J1" s="354"/>
      <c r="K1" s="354"/>
      <c r="L1" s="354"/>
    </row>
    <row r="2" spans="1:12">
      <c r="A2" s="313" t="s">
        <v>109</v>
      </c>
      <c r="B2" s="315">
        <f>'1. key ratios'!B2</f>
        <v>45291</v>
      </c>
      <c r="F2" s="354"/>
      <c r="G2" s="354"/>
      <c r="I2" s="354"/>
      <c r="J2" s="354"/>
      <c r="K2" s="354"/>
      <c r="L2" s="354"/>
    </row>
    <row r="3" spans="1:12">
      <c r="A3" s="314" t="s">
        <v>593</v>
      </c>
      <c r="F3" s="354"/>
      <c r="G3" s="354"/>
      <c r="I3" s="354"/>
      <c r="J3" s="354"/>
      <c r="K3" s="354"/>
      <c r="L3" s="354"/>
    </row>
    <row r="4" spans="1:12">
      <c r="F4" s="354"/>
      <c r="G4" s="354"/>
      <c r="I4" s="354"/>
      <c r="J4" s="354"/>
      <c r="K4" s="354"/>
      <c r="L4" s="354"/>
    </row>
    <row r="5" spans="1:12" ht="37.5" customHeight="1">
      <c r="A5" s="861" t="s">
        <v>594</v>
      </c>
      <c r="B5" s="862"/>
      <c r="C5" s="912" t="s">
        <v>595</v>
      </c>
      <c r="D5" s="913"/>
      <c r="E5" s="913"/>
      <c r="F5" s="913"/>
      <c r="G5" s="913"/>
      <c r="H5" s="914" t="s">
        <v>905</v>
      </c>
      <c r="I5" s="915"/>
      <c r="J5" s="915"/>
      <c r="K5" s="915"/>
      <c r="L5" s="916"/>
    </row>
    <row r="6" spans="1:12" ht="39.6" customHeight="1">
      <c r="A6" s="865"/>
      <c r="B6" s="866"/>
      <c r="C6" s="319"/>
      <c r="D6" s="352" t="s">
        <v>891</v>
      </c>
      <c r="E6" s="352" t="s">
        <v>890</v>
      </c>
      <c r="F6" s="352" t="s">
        <v>889</v>
      </c>
      <c r="G6" s="352" t="s">
        <v>888</v>
      </c>
      <c r="H6" s="408"/>
      <c r="I6" s="352" t="s">
        <v>891</v>
      </c>
      <c r="J6" s="352" t="s">
        <v>890</v>
      </c>
      <c r="K6" s="352" t="s">
        <v>889</v>
      </c>
      <c r="L6" s="352" t="s">
        <v>888</v>
      </c>
    </row>
    <row r="7" spans="1:12">
      <c r="A7" s="343">
        <v>1</v>
      </c>
      <c r="B7" s="358" t="s">
        <v>517</v>
      </c>
      <c r="C7" s="520">
        <f>SUM(D7:G7)</f>
        <v>775068867.45039988</v>
      </c>
      <c r="D7" s="502">
        <v>724818685.71689987</v>
      </c>
      <c r="E7" s="502">
        <v>36097327.234300017</v>
      </c>
      <c r="F7" s="502">
        <v>9610417.7594000008</v>
      </c>
      <c r="G7" s="502">
        <v>4542436.7398000006</v>
      </c>
      <c r="H7" s="502">
        <f>SUM(I7:L7)</f>
        <v>9789176.8213469982</v>
      </c>
      <c r="I7" s="502">
        <v>2952619.53</v>
      </c>
      <c r="J7" s="502">
        <v>1487474.5199999998</v>
      </c>
      <c r="K7" s="502">
        <v>4751672.6757849995</v>
      </c>
      <c r="L7" s="502">
        <v>597410.09556200006</v>
      </c>
    </row>
    <row r="8" spans="1:12">
      <c r="A8" s="343">
        <v>2</v>
      </c>
      <c r="B8" s="358" t="s">
        <v>518</v>
      </c>
      <c r="C8" s="520">
        <f t="shared" ref="C8:C32" si="0">SUM(D8:G8)</f>
        <v>742506396.30259991</v>
      </c>
      <c r="D8" s="502">
        <v>712109408.87239993</v>
      </c>
      <c r="E8" s="502">
        <v>21167354.984199997</v>
      </c>
      <c r="F8" s="502">
        <v>6382627.7739000022</v>
      </c>
      <c r="G8" s="502">
        <v>2847004.6721000001</v>
      </c>
      <c r="H8" s="502">
        <f t="shared" ref="H8:H32" si="1">SUM(I8:L8)</f>
        <v>5639427.2370689996</v>
      </c>
      <c r="I8" s="502">
        <v>2328262.7000000002</v>
      </c>
      <c r="J8" s="502">
        <v>668522.64</v>
      </c>
      <c r="K8" s="502">
        <v>2154188.2910009995</v>
      </c>
      <c r="L8" s="502">
        <v>488453.60606799991</v>
      </c>
    </row>
    <row r="9" spans="1:12">
      <c r="A9" s="343">
        <v>3</v>
      </c>
      <c r="B9" s="358" t="s">
        <v>867</v>
      </c>
      <c r="C9" s="520">
        <f t="shared" si="0"/>
        <v>14041654.110000001</v>
      </c>
      <c r="D9" s="502">
        <v>13407084.390000001</v>
      </c>
      <c r="E9" s="502">
        <v>0</v>
      </c>
      <c r="F9" s="502">
        <v>634569.72</v>
      </c>
      <c r="G9" s="502">
        <v>0</v>
      </c>
      <c r="H9" s="502">
        <f t="shared" si="1"/>
        <v>0</v>
      </c>
      <c r="I9" s="502">
        <v>0</v>
      </c>
      <c r="J9" s="502">
        <v>0</v>
      </c>
      <c r="K9" s="502">
        <v>0</v>
      </c>
      <c r="L9" s="502">
        <v>0</v>
      </c>
    </row>
    <row r="10" spans="1:12">
      <c r="A10" s="343">
        <v>4</v>
      </c>
      <c r="B10" s="358" t="s">
        <v>519</v>
      </c>
      <c r="C10" s="520">
        <f t="shared" si="0"/>
        <v>968501731.42479992</v>
      </c>
      <c r="D10" s="502">
        <v>886803862.19699991</v>
      </c>
      <c r="E10" s="502">
        <v>52807274.521199994</v>
      </c>
      <c r="F10" s="502">
        <v>11960587.406099999</v>
      </c>
      <c r="G10" s="502">
        <v>16930007.300500002</v>
      </c>
      <c r="H10" s="502">
        <f t="shared" si="1"/>
        <v>8110064.5858220002</v>
      </c>
      <c r="I10" s="502">
        <v>582236.17000000004</v>
      </c>
      <c r="J10" s="502">
        <v>83406.899999999994</v>
      </c>
      <c r="K10" s="502">
        <v>539126.08587399998</v>
      </c>
      <c r="L10" s="502">
        <v>6905295.4299480002</v>
      </c>
    </row>
    <row r="11" spans="1:12">
      <c r="A11" s="343">
        <v>5</v>
      </c>
      <c r="B11" s="358" t="s">
        <v>520</v>
      </c>
      <c r="C11" s="520">
        <f t="shared" si="0"/>
        <v>1194446772.0103002</v>
      </c>
      <c r="D11" s="502">
        <v>1116497446.5286002</v>
      </c>
      <c r="E11" s="502">
        <v>52123692.302599996</v>
      </c>
      <c r="F11" s="502">
        <v>24012886.251900006</v>
      </c>
      <c r="G11" s="502">
        <v>1812746.9272</v>
      </c>
      <c r="H11" s="502">
        <f t="shared" si="1"/>
        <v>8027328.3497540001</v>
      </c>
      <c r="I11" s="502">
        <v>2015453.33</v>
      </c>
      <c r="J11" s="502">
        <v>901313.02</v>
      </c>
      <c r="K11" s="502">
        <v>5014429.7597540002</v>
      </c>
      <c r="L11" s="502">
        <v>96132.24000000002</v>
      </c>
    </row>
    <row r="12" spans="1:12">
      <c r="A12" s="343">
        <v>6</v>
      </c>
      <c r="B12" s="358" t="s">
        <v>521</v>
      </c>
      <c r="C12" s="520">
        <f t="shared" si="0"/>
        <v>741954780.73510015</v>
      </c>
      <c r="D12" s="502">
        <v>645323742.68000019</v>
      </c>
      <c r="E12" s="502">
        <v>71046102.325299993</v>
      </c>
      <c r="F12" s="502">
        <v>22444516.208699998</v>
      </c>
      <c r="G12" s="502">
        <v>3140419.5211000005</v>
      </c>
      <c r="H12" s="502">
        <f t="shared" si="1"/>
        <v>14358595.883470001</v>
      </c>
      <c r="I12" s="502">
        <v>3267098.5600000005</v>
      </c>
      <c r="J12" s="502">
        <v>1844742.0699999998</v>
      </c>
      <c r="K12" s="502">
        <v>8649358.3634699993</v>
      </c>
      <c r="L12" s="502">
        <v>597396.89</v>
      </c>
    </row>
    <row r="13" spans="1:12">
      <c r="A13" s="343">
        <v>7</v>
      </c>
      <c r="B13" s="358" t="s">
        <v>522</v>
      </c>
      <c r="C13" s="520">
        <f t="shared" si="0"/>
        <v>983908544.67960012</v>
      </c>
      <c r="D13" s="502">
        <v>936150536.24530005</v>
      </c>
      <c r="E13" s="502">
        <v>25179496.6688</v>
      </c>
      <c r="F13" s="502">
        <v>21586820.130199999</v>
      </c>
      <c r="G13" s="502">
        <v>991691.63529999997</v>
      </c>
      <c r="H13" s="502">
        <f t="shared" si="1"/>
        <v>12172229.831437001</v>
      </c>
      <c r="I13" s="502">
        <v>2050787.9200000002</v>
      </c>
      <c r="J13" s="502">
        <v>1519056.1499999994</v>
      </c>
      <c r="K13" s="502">
        <v>8401153.2010350004</v>
      </c>
      <c r="L13" s="502">
        <v>201232.560402</v>
      </c>
    </row>
    <row r="14" spans="1:12">
      <c r="A14" s="343">
        <v>8</v>
      </c>
      <c r="B14" s="358" t="s">
        <v>523</v>
      </c>
      <c r="C14" s="520">
        <f t="shared" si="0"/>
        <v>881498185.93010008</v>
      </c>
      <c r="D14" s="502">
        <v>843157539.60399997</v>
      </c>
      <c r="E14" s="502">
        <v>22329088.519700002</v>
      </c>
      <c r="F14" s="502">
        <v>13677787.049599998</v>
      </c>
      <c r="G14" s="502">
        <v>2333770.7568000001</v>
      </c>
      <c r="H14" s="502">
        <f t="shared" si="1"/>
        <v>10019835.124718003</v>
      </c>
      <c r="I14" s="502">
        <v>3657708.6800000006</v>
      </c>
      <c r="J14" s="502">
        <v>1091575.94</v>
      </c>
      <c r="K14" s="502">
        <v>4447265.5735590002</v>
      </c>
      <c r="L14" s="502">
        <v>823284.93115900003</v>
      </c>
    </row>
    <row r="15" spans="1:12">
      <c r="A15" s="343">
        <v>9</v>
      </c>
      <c r="B15" s="358" t="s">
        <v>524</v>
      </c>
      <c r="C15" s="520">
        <f t="shared" si="0"/>
        <v>906609793.0077002</v>
      </c>
      <c r="D15" s="502">
        <v>663461722.48960018</v>
      </c>
      <c r="E15" s="502">
        <v>220506471.35770002</v>
      </c>
      <c r="F15" s="502">
        <v>21730712.989200003</v>
      </c>
      <c r="G15" s="502">
        <v>910886.17119999987</v>
      </c>
      <c r="H15" s="502">
        <f t="shared" si="1"/>
        <v>38285166.053313002</v>
      </c>
      <c r="I15" s="502">
        <v>2529979.5400000005</v>
      </c>
      <c r="J15" s="502">
        <v>25182429.059999999</v>
      </c>
      <c r="K15" s="502">
        <v>10412224.643313</v>
      </c>
      <c r="L15" s="502">
        <v>160532.81</v>
      </c>
    </row>
    <row r="16" spans="1:12">
      <c r="A16" s="343">
        <v>10</v>
      </c>
      <c r="B16" s="358" t="s">
        <v>525</v>
      </c>
      <c r="C16" s="520">
        <f t="shared" si="0"/>
        <v>348310687.1451</v>
      </c>
      <c r="D16" s="502">
        <v>330687176.31440002</v>
      </c>
      <c r="E16" s="502">
        <v>9744568.4690000005</v>
      </c>
      <c r="F16" s="502">
        <v>7522568.3071000017</v>
      </c>
      <c r="G16" s="502">
        <v>356374.05460000003</v>
      </c>
      <c r="H16" s="502">
        <f t="shared" si="1"/>
        <v>4082355.3261270002</v>
      </c>
      <c r="I16" s="502">
        <v>1248099.75</v>
      </c>
      <c r="J16" s="502">
        <v>400283.92999999993</v>
      </c>
      <c r="K16" s="502">
        <v>2276101.7261270005</v>
      </c>
      <c r="L16" s="502">
        <v>157869.91999999998</v>
      </c>
    </row>
    <row r="17" spans="1:12">
      <c r="A17" s="343">
        <v>11</v>
      </c>
      <c r="B17" s="358" t="s">
        <v>526</v>
      </c>
      <c r="C17" s="520">
        <f t="shared" si="0"/>
        <v>379629892.35329998</v>
      </c>
      <c r="D17" s="502">
        <v>369875428.28570002</v>
      </c>
      <c r="E17" s="502">
        <v>6411837.3340000007</v>
      </c>
      <c r="F17" s="502">
        <v>3165830.5468999995</v>
      </c>
      <c r="G17" s="502">
        <v>176796.18669999999</v>
      </c>
      <c r="H17" s="502">
        <f t="shared" si="1"/>
        <v>2918537.9455180001</v>
      </c>
      <c r="I17" s="502">
        <v>1242287.52</v>
      </c>
      <c r="J17" s="502">
        <v>335218.24</v>
      </c>
      <c r="K17" s="502">
        <v>1289393.8255180002</v>
      </c>
      <c r="L17" s="502">
        <v>51638.359999999993</v>
      </c>
    </row>
    <row r="18" spans="1:12">
      <c r="A18" s="343">
        <v>12</v>
      </c>
      <c r="B18" s="358" t="s">
        <v>527</v>
      </c>
      <c r="C18" s="520">
        <f t="shared" si="0"/>
        <v>807812122.08100021</v>
      </c>
      <c r="D18" s="502">
        <v>759355061.59850013</v>
      </c>
      <c r="E18" s="502">
        <v>28364941.283</v>
      </c>
      <c r="F18" s="502">
        <v>18853791.469999999</v>
      </c>
      <c r="G18" s="502">
        <v>1238327.7295000001</v>
      </c>
      <c r="H18" s="502">
        <f t="shared" si="1"/>
        <v>8508731.9030879978</v>
      </c>
      <c r="I18" s="502">
        <v>2564909.2599999993</v>
      </c>
      <c r="J18" s="502">
        <v>1011103.3600000001</v>
      </c>
      <c r="K18" s="502">
        <v>4776260.4957899991</v>
      </c>
      <c r="L18" s="502">
        <v>156458.78729800001</v>
      </c>
    </row>
    <row r="19" spans="1:12">
      <c r="A19" s="343">
        <v>13</v>
      </c>
      <c r="B19" s="358" t="s">
        <v>528</v>
      </c>
      <c r="C19" s="520">
        <f t="shared" si="0"/>
        <v>315280566.63849992</v>
      </c>
      <c r="D19" s="502">
        <v>274448827.11279994</v>
      </c>
      <c r="E19" s="502">
        <v>36291354.394100003</v>
      </c>
      <c r="F19" s="502">
        <v>4386107.2373000002</v>
      </c>
      <c r="G19" s="502">
        <v>154277.89429999999</v>
      </c>
      <c r="H19" s="502">
        <f t="shared" si="1"/>
        <v>5424551.9855599999</v>
      </c>
      <c r="I19" s="502">
        <v>1182566.7599999998</v>
      </c>
      <c r="J19" s="502">
        <v>2374648.6199999996</v>
      </c>
      <c r="K19" s="502">
        <v>1810129.4155600001</v>
      </c>
      <c r="L19" s="502">
        <v>57207.19</v>
      </c>
    </row>
    <row r="20" spans="1:12">
      <c r="A20" s="343">
        <v>14</v>
      </c>
      <c r="B20" s="358" t="s">
        <v>529</v>
      </c>
      <c r="C20" s="520">
        <f t="shared" si="0"/>
        <v>1249230873.8494</v>
      </c>
      <c r="D20" s="502">
        <v>1118206344.5337</v>
      </c>
      <c r="E20" s="502">
        <v>95893347.407299995</v>
      </c>
      <c r="F20" s="502">
        <v>34414995.936999999</v>
      </c>
      <c r="G20" s="502">
        <v>716185.97139999992</v>
      </c>
      <c r="H20" s="502">
        <f t="shared" si="1"/>
        <v>16295104.747915</v>
      </c>
      <c r="I20" s="502">
        <v>2158604.0300000003</v>
      </c>
      <c r="J20" s="502">
        <v>877668.71</v>
      </c>
      <c r="K20" s="502">
        <v>13207364.867914999</v>
      </c>
      <c r="L20" s="502">
        <v>51467.14</v>
      </c>
    </row>
    <row r="21" spans="1:12">
      <c r="A21" s="343">
        <v>15</v>
      </c>
      <c r="B21" s="358" t="s">
        <v>530</v>
      </c>
      <c r="C21" s="520">
        <f t="shared" si="0"/>
        <v>315212775.26610005</v>
      </c>
      <c r="D21" s="502">
        <v>288952656.44260001</v>
      </c>
      <c r="E21" s="502">
        <v>17566457.818299998</v>
      </c>
      <c r="F21" s="502">
        <v>7073950.949500001</v>
      </c>
      <c r="G21" s="502">
        <v>1619710.0556999999</v>
      </c>
      <c r="H21" s="502">
        <f t="shared" si="1"/>
        <v>4130484.7665189998</v>
      </c>
      <c r="I21" s="502">
        <v>1688989.4599999997</v>
      </c>
      <c r="J21" s="502">
        <v>503360.80000000005</v>
      </c>
      <c r="K21" s="502">
        <v>1726703.3894359998</v>
      </c>
      <c r="L21" s="502">
        <v>211431.11708299999</v>
      </c>
    </row>
    <row r="22" spans="1:12">
      <c r="A22" s="343">
        <v>16</v>
      </c>
      <c r="B22" s="358" t="s">
        <v>531</v>
      </c>
      <c r="C22" s="520">
        <f t="shared" si="0"/>
        <v>473584033.95420003</v>
      </c>
      <c r="D22" s="502">
        <v>364594486.76969999</v>
      </c>
      <c r="E22" s="502">
        <v>87497467.461700022</v>
      </c>
      <c r="F22" s="502">
        <v>20874522.422499999</v>
      </c>
      <c r="G22" s="502">
        <v>617557.30030000012</v>
      </c>
      <c r="H22" s="502">
        <f t="shared" si="1"/>
        <v>13117468.713837001</v>
      </c>
      <c r="I22" s="502">
        <v>1163357.3600000001</v>
      </c>
      <c r="J22" s="502">
        <v>3764304.0500000007</v>
      </c>
      <c r="K22" s="502">
        <v>8057260.0038369996</v>
      </c>
      <c r="L22" s="502">
        <v>132547.29999999999</v>
      </c>
    </row>
    <row r="23" spans="1:12">
      <c r="A23" s="343">
        <v>17</v>
      </c>
      <c r="B23" s="358" t="s">
        <v>532</v>
      </c>
      <c r="C23" s="520">
        <f t="shared" si="0"/>
        <v>93597575.257499993</v>
      </c>
      <c r="D23" s="502">
        <v>82539988.799199998</v>
      </c>
      <c r="E23" s="502">
        <v>2890086.4797</v>
      </c>
      <c r="F23" s="502">
        <v>7794495.7867000001</v>
      </c>
      <c r="G23" s="502">
        <v>373004.19190000003</v>
      </c>
      <c r="H23" s="502">
        <f t="shared" si="1"/>
        <v>5081467.2190779997</v>
      </c>
      <c r="I23" s="502">
        <v>284892.79999999999</v>
      </c>
      <c r="J23" s="502">
        <v>82125.489999999991</v>
      </c>
      <c r="K23" s="502">
        <v>4698645.7598059997</v>
      </c>
      <c r="L23" s="502">
        <v>15803.169271999999</v>
      </c>
    </row>
    <row r="24" spans="1:12">
      <c r="A24" s="343">
        <v>18</v>
      </c>
      <c r="B24" s="358" t="s">
        <v>533</v>
      </c>
      <c r="C24" s="520">
        <f t="shared" si="0"/>
        <v>894467312.70650005</v>
      </c>
      <c r="D24" s="502">
        <v>884158370.8635</v>
      </c>
      <c r="E24" s="502">
        <v>8464798.0236000028</v>
      </c>
      <c r="F24" s="502">
        <v>1228709.1749</v>
      </c>
      <c r="G24" s="502">
        <v>615434.64449999994</v>
      </c>
      <c r="H24" s="502">
        <f t="shared" si="1"/>
        <v>2872746.5</v>
      </c>
      <c r="I24" s="502">
        <v>1719318.1</v>
      </c>
      <c r="J24" s="502">
        <v>228468.27000000005</v>
      </c>
      <c r="K24" s="502">
        <v>760065.25</v>
      </c>
      <c r="L24" s="502">
        <v>164894.87999999998</v>
      </c>
    </row>
    <row r="25" spans="1:12">
      <c r="A25" s="343">
        <v>19</v>
      </c>
      <c r="B25" s="358" t="s">
        <v>534</v>
      </c>
      <c r="C25" s="520">
        <f t="shared" si="0"/>
        <v>138076081.8222</v>
      </c>
      <c r="D25" s="502">
        <v>135338895.96950001</v>
      </c>
      <c r="E25" s="502">
        <v>1647845.9009</v>
      </c>
      <c r="F25" s="502">
        <v>891647.56479999993</v>
      </c>
      <c r="G25" s="502">
        <v>197692.38699999999</v>
      </c>
      <c r="H25" s="502">
        <f t="shared" si="1"/>
        <v>822167.60000000009</v>
      </c>
      <c r="I25" s="502">
        <v>249439.24</v>
      </c>
      <c r="J25" s="502">
        <v>98744.670000000013</v>
      </c>
      <c r="K25" s="502">
        <v>385458.94</v>
      </c>
      <c r="L25" s="502">
        <v>88524.75</v>
      </c>
    </row>
    <row r="26" spans="1:12">
      <c r="A26" s="343">
        <v>20</v>
      </c>
      <c r="B26" s="358" t="s">
        <v>535</v>
      </c>
      <c r="C26" s="520">
        <f t="shared" si="0"/>
        <v>616844805.99480009</v>
      </c>
      <c r="D26" s="502">
        <v>584373884.88150001</v>
      </c>
      <c r="E26" s="502">
        <v>13830547.739399999</v>
      </c>
      <c r="F26" s="502">
        <v>16722280.250299999</v>
      </c>
      <c r="G26" s="502">
        <v>1918093.1235999998</v>
      </c>
      <c r="H26" s="502">
        <f t="shared" si="1"/>
        <v>12180647.554755</v>
      </c>
      <c r="I26" s="502">
        <v>1902371.4100000001</v>
      </c>
      <c r="J26" s="502">
        <v>516493.95999999996</v>
      </c>
      <c r="K26" s="502">
        <v>9380248.2230169997</v>
      </c>
      <c r="L26" s="502">
        <v>381533.96173799998</v>
      </c>
    </row>
    <row r="27" spans="1:12">
      <c r="A27" s="343">
        <v>21</v>
      </c>
      <c r="B27" s="358" t="s">
        <v>536</v>
      </c>
      <c r="C27" s="520">
        <f t="shared" si="0"/>
        <v>106592552.31009999</v>
      </c>
      <c r="D27" s="502">
        <v>102222387.28219998</v>
      </c>
      <c r="E27" s="502">
        <v>3638691.8973999997</v>
      </c>
      <c r="F27" s="502">
        <v>501347.66820000001</v>
      </c>
      <c r="G27" s="502">
        <v>230125.46230000001</v>
      </c>
      <c r="H27" s="502">
        <f t="shared" si="1"/>
        <v>1041393.1532620001</v>
      </c>
      <c r="I27" s="502">
        <v>486807.88</v>
      </c>
      <c r="J27" s="502">
        <v>193145.35</v>
      </c>
      <c r="K27" s="502">
        <v>300551.88326199999</v>
      </c>
      <c r="L27" s="502">
        <v>60888.039999999994</v>
      </c>
    </row>
    <row r="28" spans="1:12">
      <c r="A28" s="343">
        <v>22</v>
      </c>
      <c r="B28" s="358" t="s">
        <v>537</v>
      </c>
      <c r="C28" s="520">
        <f t="shared" si="0"/>
        <v>289246555.2985</v>
      </c>
      <c r="D28" s="502">
        <v>275960578.99730003</v>
      </c>
      <c r="E28" s="502">
        <v>9110276.3484000005</v>
      </c>
      <c r="F28" s="502">
        <v>3124426.4166000006</v>
      </c>
      <c r="G28" s="502">
        <v>1051273.5362</v>
      </c>
      <c r="H28" s="502">
        <f t="shared" si="1"/>
        <v>2293863.0025959997</v>
      </c>
      <c r="I28" s="502">
        <v>834337.30999999994</v>
      </c>
      <c r="J28" s="502">
        <v>292601.05</v>
      </c>
      <c r="K28" s="502">
        <v>1092468.282596</v>
      </c>
      <c r="L28" s="502">
        <v>74456.359999999986</v>
      </c>
    </row>
    <row r="29" spans="1:12">
      <c r="A29" s="343">
        <v>23</v>
      </c>
      <c r="B29" s="358" t="s">
        <v>538</v>
      </c>
      <c r="C29" s="520">
        <f t="shared" si="0"/>
        <v>3084284594.7035003</v>
      </c>
      <c r="D29" s="502">
        <v>2920642979.8865004</v>
      </c>
      <c r="E29" s="502">
        <v>104050041.39940001</v>
      </c>
      <c r="F29" s="502">
        <v>40928082.530799992</v>
      </c>
      <c r="G29" s="502">
        <v>18663490.886799999</v>
      </c>
      <c r="H29" s="502">
        <f t="shared" si="1"/>
        <v>39296584.023157001</v>
      </c>
      <c r="I29" s="502">
        <v>13318557.180000002</v>
      </c>
      <c r="J29" s="502">
        <v>4300088.3</v>
      </c>
      <c r="K29" s="502">
        <v>17169459.848439004</v>
      </c>
      <c r="L29" s="502">
        <v>4508478.6947179995</v>
      </c>
    </row>
    <row r="30" spans="1:12">
      <c r="A30" s="343">
        <v>24</v>
      </c>
      <c r="B30" s="358" t="s">
        <v>539</v>
      </c>
      <c r="C30" s="520">
        <f t="shared" si="0"/>
        <v>1059389382.6351001</v>
      </c>
      <c r="D30" s="502">
        <v>973677020.52890003</v>
      </c>
      <c r="E30" s="502">
        <v>43794320.144699998</v>
      </c>
      <c r="F30" s="502">
        <v>41531917.750799999</v>
      </c>
      <c r="G30" s="502">
        <v>386124.2107</v>
      </c>
      <c r="H30" s="502">
        <f t="shared" si="1"/>
        <v>21516096.132238999</v>
      </c>
      <c r="I30" s="502">
        <v>3908313.0600000005</v>
      </c>
      <c r="J30" s="502">
        <v>1807092.9099999997</v>
      </c>
      <c r="K30" s="502">
        <v>15597738.202238999</v>
      </c>
      <c r="L30" s="502">
        <v>202951.96000000002</v>
      </c>
    </row>
    <row r="31" spans="1:12">
      <c r="A31" s="343">
        <v>25</v>
      </c>
      <c r="B31" s="358" t="s">
        <v>540</v>
      </c>
      <c r="C31" s="520">
        <f t="shared" si="0"/>
        <v>2393131729.5812073</v>
      </c>
      <c r="D31" s="502">
        <v>2161641940.2056999</v>
      </c>
      <c r="E31" s="502">
        <v>127352493.93900006</v>
      </c>
      <c r="F31" s="502">
        <v>60076287.889507174</v>
      </c>
      <c r="G31" s="502">
        <v>44061007.546999998</v>
      </c>
      <c r="H31" s="502">
        <f t="shared" si="1"/>
        <v>57942283.342539921</v>
      </c>
      <c r="I31" s="502">
        <v>12798162.67</v>
      </c>
      <c r="J31" s="502">
        <v>6883853.9400000004</v>
      </c>
      <c r="K31" s="502">
        <v>28408402.889101926</v>
      </c>
      <c r="L31" s="502">
        <v>9851863.8434379995</v>
      </c>
    </row>
    <row r="32" spans="1:12">
      <c r="A32" s="343">
        <v>26</v>
      </c>
      <c r="B32" s="358" t="s">
        <v>596</v>
      </c>
      <c r="C32" s="520">
        <f t="shared" si="0"/>
        <v>53344639.81240321</v>
      </c>
      <c r="D32" s="502">
        <v>43693887.21471002</v>
      </c>
      <c r="E32" s="502">
        <v>4762413.9452</v>
      </c>
      <c r="F32" s="502">
        <v>4386174.3473931849</v>
      </c>
      <c r="G32" s="502">
        <v>502164.3051</v>
      </c>
      <c r="H32" s="502">
        <f t="shared" si="1"/>
        <v>5588510.8833789984</v>
      </c>
      <c r="I32" s="502">
        <v>339939.64999999997</v>
      </c>
      <c r="J32" s="502">
        <v>392891.49</v>
      </c>
      <c r="K32" s="502">
        <v>4668732.2330069989</v>
      </c>
      <c r="L32" s="502">
        <v>186947.51037199999</v>
      </c>
    </row>
    <row r="33" spans="1:12">
      <c r="A33" s="343">
        <v>27</v>
      </c>
      <c r="B33" s="407" t="s">
        <v>66</v>
      </c>
      <c r="C33" s="521">
        <f t="shared" ref="C33:L33" si="2">SUM(C7:C32)</f>
        <v>19826572907.060013</v>
      </c>
      <c r="D33" s="521">
        <f>SUM(D7:D32)</f>
        <v>18212099944.41021</v>
      </c>
      <c r="E33" s="521">
        <f t="shared" si="2"/>
        <v>1102568297.8989</v>
      </c>
      <c r="F33" s="521">
        <f t="shared" si="2"/>
        <v>405518061.53930032</v>
      </c>
      <c r="G33" s="521">
        <f t="shared" si="2"/>
        <v>106386603.21160001</v>
      </c>
      <c r="H33" s="521">
        <f t="shared" si="2"/>
        <v>309514818.68649989</v>
      </c>
      <c r="I33" s="521">
        <f t="shared" si="2"/>
        <v>66475099.870000012</v>
      </c>
      <c r="J33" s="521">
        <f t="shared" si="2"/>
        <v>56840613.43999999</v>
      </c>
      <c r="K33" s="521">
        <f t="shared" si="2"/>
        <v>159974403.82944196</v>
      </c>
      <c r="L33" s="521">
        <f t="shared" si="2"/>
        <v>26224701.547058005</v>
      </c>
    </row>
    <row r="34" spans="1:12">
      <c r="A34" s="371"/>
      <c r="B34" s="371"/>
      <c r="C34" s="371"/>
      <c r="D34" s="522"/>
      <c r="E34" s="522"/>
      <c r="F34" s="524"/>
      <c r="G34" s="524"/>
      <c r="H34" s="522"/>
    </row>
    <row r="35" spans="1:12" s="509" customFormat="1">
      <c r="A35" s="522"/>
      <c r="B35" s="523"/>
      <c r="C35" s="523"/>
      <c r="D35" s="522"/>
      <c r="E35" s="522"/>
      <c r="F35" s="524"/>
      <c r="G35" s="524"/>
      <c r="H35" s="522"/>
      <c r="I35" s="522"/>
      <c r="J35" s="524"/>
      <c r="K35" s="524"/>
      <c r="L35" s="524"/>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8"/>
  <sheetViews>
    <sheetView showGridLines="0" zoomScaleNormal="100" workbookViewId="0"/>
  </sheetViews>
  <sheetFormatPr defaultColWidth="8.7109375" defaultRowHeight="12"/>
  <cols>
    <col min="1" max="1" width="11.85546875" style="320" bestFit="1" customWidth="1"/>
    <col min="2" max="2" width="165.140625" style="320" customWidth="1"/>
    <col min="3" max="11" width="28.28515625" style="320" customWidth="1"/>
    <col min="12" max="12" width="13.5703125" style="320" bestFit="1" customWidth="1"/>
    <col min="13" max="13" width="24.5703125" style="320" customWidth="1"/>
    <col min="14" max="16384" width="8.7109375" style="320"/>
  </cols>
  <sheetData>
    <row r="1" spans="1:14" s="312" customFormat="1" ht="13.5">
      <c r="A1" s="311" t="s">
        <v>108</v>
      </c>
      <c r="B1" s="258" t="str">
        <f>Info!C2</f>
        <v>სს ”საქართველოს ბანკი”</v>
      </c>
      <c r="C1" s="354"/>
      <c r="D1" s="354"/>
      <c r="E1" s="354"/>
      <c r="F1" s="354"/>
      <c r="G1" s="354"/>
      <c r="H1" s="354"/>
      <c r="I1" s="354"/>
      <c r="J1" s="354"/>
      <c r="K1" s="354"/>
    </row>
    <row r="2" spans="1:14" s="312" customFormat="1" ht="12.75">
      <c r="A2" s="313" t="s">
        <v>109</v>
      </c>
      <c r="B2" s="315">
        <f>'1. key ratios'!B2</f>
        <v>45291</v>
      </c>
      <c r="C2" s="354"/>
      <c r="D2" s="354"/>
      <c r="E2" s="354"/>
      <c r="F2" s="354"/>
      <c r="G2" s="354"/>
      <c r="H2" s="354"/>
      <c r="I2" s="354"/>
      <c r="J2" s="354"/>
      <c r="K2" s="354"/>
    </row>
    <row r="3" spans="1:14" s="312" customFormat="1" ht="12.75">
      <c r="A3" s="314" t="s">
        <v>597</v>
      </c>
      <c r="B3" s="354"/>
      <c r="C3" s="354"/>
      <c r="D3" s="354"/>
      <c r="E3" s="354"/>
      <c r="F3" s="354"/>
      <c r="G3" s="354"/>
      <c r="H3" s="354"/>
      <c r="I3" s="354"/>
      <c r="J3" s="354"/>
      <c r="K3" s="354"/>
    </row>
    <row r="4" spans="1:14">
      <c r="A4" s="413"/>
      <c r="B4" s="413"/>
      <c r="C4" s="412" t="s">
        <v>501</v>
      </c>
      <c r="D4" s="412" t="s">
        <v>502</v>
      </c>
      <c r="E4" s="412" t="s">
        <v>503</v>
      </c>
      <c r="F4" s="412" t="s">
        <v>504</v>
      </c>
      <c r="G4" s="412" t="s">
        <v>505</v>
      </c>
      <c r="H4" s="412" t="s">
        <v>506</v>
      </c>
      <c r="I4" s="412" t="s">
        <v>507</v>
      </c>
      <c r="J4" s="412" t="s">
        <v>508</v>
      </c>
      <c r="K4" s="412" t="s">
        <v>509</v>
      </c>
    </row>
    <row r="5" spans="1:14" ht="104.1" customHeight="1">
      <c r="A5" s="917" t="s">
        <v>904</v>
      </c>
      <c r="B5" s="918"/>
      <c r="C5" s="411" t="s">
        <v>598</v>
      </c>
      <c r="D5" s="411" t="s">
        <v>591</v>
      </c>
      <c r="E5" s="411" t="s">
        <v>592</v>
      </c>
      <c r="F5" s="411" t="s">
        <v>903</v>
      </c>
      <c r="G5" s="411" t="s">
        <v>599</v>
      </c>
      <c r="H5" s="411" t="s">
        <v>600</v>
      </c>
      <c r="I5" s="411" t="s">
        <v>601</v>
      </c>
      <c r="J5" s="411" t="s">
        <v>602</v>
      </c>
      <c r="K5" s="411" t="s">
        <v>603</v>
      </c>
    </row>
    <row r="6" spans="1:14" ht="12.75">
      <c r="A6" s="343">
        <v>1</v>
      </c>
      <c r="B6" s="343" t="s">
        <v>604</v>
      </c>
      <c r="C6" s="554">
        <v>327786111.50999999</v>
      </c>
      <c r="D6" s="554">
        <v>99349220.75</v>
      </c>
      <c r="E6" s="554">
        <v>66359689.4877</v>
      </c>
      <c r="F6" s="554">
        <v>150346108.7362</v>
      </c>
      <c r="G6" s="554">
        <v>14737623001.82</v>
      </c>
      <c r="H6" s="554">
        <v>462095897.19</v>
      </c>
      <c r="I6" s="554">
        <v>525044696.06409997</v>
      </c>
      <c r="J6" s="554">
        <v>716149636.64999998</v>
      </c>
      <c r="K6" s="554">
        <v>2741818540.6919031</v>
      </c>
      <c r="L6" s="619"/>
      <c r="M6" s="619"/>
    </row>
    <row r="7" spans="1:14" ht="12.75">
      <c r="A7" s="343">
        <v>2</v>
      </c>
      <c r="B7" s="344" t="s">
        <v>605</v>
      </c>
      <c r="C7" s="554">
        <v>0</v>
      </c>
      <c r="D7" s="554">
        <v>0</v>
      </c>
      <c r="E7" s="554">
        <v>0</v>
      </c>
      <c r="F7" s="554">
        <v>0</v>
      </c>
      <c r="G7" s="554">
        <v>0</v>
      </c>
      <c r="H7" s="554">
        <v>0</v>
      </c>
      <c r="I7" s="554">
        <v>0</v>
      </c>
      <c r="J7" s="554">
        <v>0</v>
      </c>
      <c r="K7" s="554">
        <f>'22. Quality'!C20+'22. Quality'!C19</f>
        <v>129833957.45750001</v>
      </c>
      <c r="L7" s="619"/>
    </row>
    <row r="8" spans="1:14" ht="12.75">
      <c r="A8" s="343">
        <v>3</v>
      </c>
      <c r="B8" s="344" t="s">
        <v>569</v>
      </c>
      <c r="C8" s="554">
        <v>387683124.77670205</v>
      </c>
      <c r="D8" s="554">
        <v>0</v>
      </c>
      <c r="E8" s="554">
        <v>725330523.72555602</v>
      </c>
      <c r="F8" s="554">
        <v>0</v>
      </c>
      <c r="G8" s="554">
        <v>401600701.43983096</v>
      </c>
      <c r="H8" s="554">
        <v>175189593.95467499</v>
      </c>
      <c r="I8" s="554">
        <v>33728746.334032997</v>
      </c>
      <c r="J8" s="554">
        <v>80713820.533245996</v>
      </c>
      <c r="K8" s="554">
        <v>1135548736.8219573</v>
      </c>
      <c r="L8" s="619"/>
      <c r="M8" s="619"/>
    </row>
    <row r="9" spans="1:14" ht="12.75">
      <c r="A9" s="343">
        <v>4</v>
      </c>
      <c r="B9" s="373" t="s">
        <v>902</v>
      </c>
      <c r="C9" s="554">
        <v>3378708.10627766</v>
      </c>
      <c r="D9" s="554">
        <v>4854400.1084578699</v>
      </c>
      <c r="E9" s="554">
        <v>1607727.2392897699</v>
      </c>
      <c r="F9" s="554">
        <v>638630.24684354197</v>
      </c>
      <c r="G9" s="554">
        <v>410094256.53206497</v>
      </c>
      <c r="H9" s="554">
        <v>14394.532313730801</v>
      </c>
      <c r="I9" s="554">
        <v>13972255.81630783</v>
      </c>
      <c r="J9" s="554">
        <v>6075141.1931347596</v>
      </c>
      <c r="K9" s="554">
        <v>71269150.976209819</v>
      </c>
      <c r="L9" s="619"/>
      <c r="M9" s="619"/>
      <c r="N9" s="619"/>
    </row>
    <row r="10" spans="1:14" ht="12.75">
      <c r="A10" s="343">
        <v>5</v>
      </c>
      <c r="B10" s="362" t="s">
        <v>901</v>
      </c>
      <c r="C10" s="554">
        <v>0</v>
      </c>
      <c r="D10" s="554">
        <v>0</v>
      </c>
      <c r="E10" s="554">
        <v>0</v>
      </c>
      <c r="F10" s="554">
        <v>0</v>
      </c>
      <c r="G10" s="554">
        <v>0</v>
      </c>
      <c r="H10" s="554">
        <v>0</v>
      </c>
      <c r="I10" s="554">
        <v>0</v>
      </c>
      <c r="J10" s="554">
        <v>0</v>
      </c>
      <c r="K10" s="554">
        <v>0</v>
      </c>
      <c r="L10" s="619"/>
    </row>
    <row r="11" spans="1:14" ht="12.75">
      <c r="A11" s="343">
        <v>6</v>
      </c>
      <c r="B11" s="362" t="s">
        <v>900</v>
      </c>
      <c r="C11" s="554">
        <v>0</v>
      </c>
      <c r="D11" s="554">
        <v>0</v>
      </c>
      <c r="E11" s="554">
        <v>0</v>
      </c>
      <c r="F11" s="554">
        <v>0</v>
      </c>
      <c r="G11" s="554">
        <v>0</v>
      </c>
      <c r="H11" s="554">
        <v>0</v>
      </c>
      <c r="I11" s="554">
        <v>0</v>
      </c>
      <c r="J11" s="554">
        <v>0</v>
      </c>
      <c r="K11" s="554">
        <v>0</v>
      </c>
      <c r="L11" s="619"/>
    </row>
    <row r="13" spans="1:14" ht="15">
      <c r="B13" s="409"/>
    </row>
    <row r="22" spans="3:11">
      <c r="C22" s="619"/>
      <c r="D22" s="619"/>
      <c r="E22" s="619"/>
      <c r="F22" s="619"/>
      <c r="G22" s="619"/>
      <c r="H22" s="619"/>
      <c r="I22" s="619"/>
      <c r="J22" s="619"/>
      <c r="K22" s="619"/>
    </row>
    <row r="23" spans="3:11">
      <c r="C23" s="619"/>
      <c r="D23" s="619"/>
      <c r="E23" s="619"/>
      <c r="F23" s="619"/>
      <c r="G23" s="619"/>
      <c r="H23" s="619"/>
      <c r="I23" s="619"/>
      <c r="J23" s="619"/>
      <c r="K23" s="619"/>
    </row>
    <row r="24" spans="3:11">
      <c r="C24" s="619"/>
      <c r="D24" s="619"/>
      <c r="E24" s="619"/>
      <c r="F24" s="619"/>
      <c r="G24" s="619"/>
      <c r="H24" s="619"/>
      <c r="I24" s="619"/>
      <c r="J24" s="619"/>
      <c r="K24" s="619"/>
    </row>
    <row r="25" spans="3:11">
      <c r="C25" s="619"/>
      <c r="D25" s="619"/>
      <c r="E25" s="619"/>
      <c r="F25" s="619"/>
      <c r="G25" s="619"/>
      <c r="H25" s="619"/>
      <c r="I25" s="619"/>
      <c r="J25" s="619"/>
      <c r="K25" s="619"/>
    </row>
    <row r="26" spans="3:11">
      <c r="C26" s="619"/>
      <c r="D26" s="619"/>
      <c r="E26" s="619"/>
      <c r="F26" s="619"/>
      <c r="G26" s="619"/>
      <c r="H26" s="619"/>
      <c r="I26" s="619"/>
      <c r="J26" s="619"/>
      <c r="K26" s="619"/>
    </row>
    <row r="27" spans="3:11">
      <c r="C27" s="619"/>
      <c r="D27" s="619"/>
      <c r="E27" s="619"/>
      <c r="F27" s="619"/>
      <c r="G27" s="619"/>
      <c r="H27" s="619"/>
      <c r="I27" s="619"/>
      <c r="J27" s="619"/>
      <c r="K27" s="619"/>
    </row>
    <row r="28" spans="3:11">
      <c r="E28" s="619"/>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V20"/>
  <sheetViews>
    <sheetView showGridLines="0" topLeftCell="B1" zoomScaleNormal="100" workbookViewId="0">
      <selection activeCell="C7" sqref="C7:G19"/>
    </sheetView>
  </sheetViews>
  <sheetFormatPr defaultColWidth="8.7109375" defaultRowHeight="15"/>
  <cols>
    <col min="1" max="1" width="12.140625" style="414" bestFit="1" customWidth="1"/>
    <col min="2" max="2" width="81" style="414" bestFit="1" customWidth="1"/>
    <col min="3" max="3" width="16.42578125" style="414" bestFit="1" customWidth="1"/>
    <col min="4" max="5" width="16.140625" style="414" bestFit="1" customWidth="1"/>
    <col min="6" max="6" width="20.42578125" style="414" bestFit="1" customWidth="1"/>
    <col min="7" max="7" width="37.42578125" style="414" bestFit="1" customWidth="1"/>
    <col min="8" max="9" width="16.42578125" style="414" bestFit="1" customWidth="1"/>
    <col min="10" max="10" width="16.140625" style="414" bestFit="1" customWidth="1"/>
    <col min="11" max="11" width="20.42578125" style="414" bestFit="1" customWidth="1"/>
    <col min="12" max="12" width="37.42578125" style="414" bestFit="1" customWidth="1"/>
    <col min="13" max="13" width="14.28515625" style="414" bestFit="1" customWidth="1"/>
    <col min="14" max="15" width="16.140625" style="414" bestFit="1" customWidth="1"/>
    <col min="16" max="16" width="20.42578125" style="414" bestFit="1" customWidth="1"/>
    <col min="17" max="17" width="37.42578125" style="414" bestFit="1" customWidth="1"/>
    <col min="18" max="18" width="18" style="414" bestFit="1" customWidth="1"/>
    <col min="19" max="19" width="52.85546875" style="414" customWidth="1"/>
    <col min="20" max="20" width="47.140625" style="414" customWidth="1"/>
    <col min="21" max="21" width="60.7109375" style="414" bestFit="1" customWidth="1"/>
    <col min="22" max="22" width="78.42578125" style="414" bestFit="1" customWidth="1"/>
    <col min="23" max="16384" width="8.7109375" style="414"/>
  </cols>
  <sheetData>
    <row r="1" spans="1:22">
      <c r="A1" s="311" t="s">
        <v>108</v>
      </c>
      <c r="B1" s="258" t="str">
        <f>Info!C2</f>
        <v>სს ”საქართველოს ბანკი”</v>
      </c>
      <c r="U1" s="414">
        <v>0</v>
      </c>
    </row>
    <row r="2" spans="1:22">
      <c r="A2" s="313" t="s">
        <v>109</v>
      </c>
      <c r="B2" s="315">
        <f>'1. key ratios'!B2</f>
        <v>45291</v>
      </c>
      <c r="S2" s="414" t="s">
        <v>1003</v>
      </c>
      <c r="T2" s="414">
        <v>0</v>
      </c>
    </row>
    <row r="3" spans="1:22">
      <c r="A3" s="314" t="s">
        <v>688</v>
      </c>
      <c r="B3" s="354"/>
      <c r="U3" s="414" t="s">
        <v>1004</v>
      </c>
      <c r="V3" s="414" t="s">
        <v>1005</v>
      </c>
    </row>
    <row r="4" spans="1:22">
      <c r="A4" s="314"/>
      <c r="B4" s="354"/>
    </row>
    <row r="5" spans="1:22" ht="24" customHeight="1">
      <c r="A5" s="919" t="s">
        <v>715</v>
      </c>
      <c r="B5" s="919"/>
      <c r="C5" s="921" t="s">
        <v>906</v>
      </c>
      <c r="D5" s="921"/>
      <c r="E5" s="921"/>
      <c r="F5" s="921"/>
      <c r="G5" s="921"/>
      <c r="H5" s="921" t="s">
        <v>595</v>
      </c>
      <c r="I5" s="921"/>
      <c r="J5" s="921"/>
      <c r="K5" s="921"/>
      <c r="L5" s="921"/>
      <c r="M5" s="921" t="s">
        <v>905</v>
      </c>
      <c r="N5" s="921"/>
      <c r="O5" s="921"/>
      <c r="P5" s="921"/>
      <c r="Q5" s="921"/>
      <c r="R5" s="920" t="s">
        <v>714</v>
      </c>
      <c r="S5" s="920" t="s">
        <v>718</v>
      </c>
      <c r="T5" s="920" t="s">
        <v>717</v>
      </c>
      <c r="U5" s="920" t="s">
        <v>952</v>
      </c>
      <c r="V5" s="920" t="s">
        <v>953</v>
      </c>
    </row>
    <row r="6" spans="1:22" ht="36" customHeight="1">
      <c r="A6" s="919"/>
      <c r="B6" s="919"/>
      <c r="C6" s="424"/>
      <c r="D6" s="352" t="s">
        <v>891</v>
      </c>
      <c r="E6" s="352" t="s">
        <v>890</v>
      </c>
      <c r="F6" s="352" t="s">
        <v>889</v>
      </c>
      <c r="G6" s="352" t="s">
        <v>888</v>
      </c>
      <c r="H6" s="424"/>
      <c r="I6" s="352" t="s">
        <v>891</v>
      </c>
      <c r="J6" s="352" t="s">
        <v>890</v>
      </c>
      <c r="K6" s="352" t="s">
        <v>889</v>
      </c>
      <c r="L6" s="352" t="s">
        <v>888</v>
      </c>
      <c r="M6" s="424"/>
      <c r="N6" s="352" t="s">
        <v>891</v>
      </c>
      <c r="O6" s="352" t="s">
        <v>890</v>
      </c>
      <c r="P6" s="352" t="s">
        <v>889</v>
      </c>
      <c r="Q6" s="352" t="s">
        <v>888</v>
      </c>
      <c r="R6" s="920"/>
      <c r="S6" s="920"/>
      <c r="T6" s="920"/>
      <c r="U6" s="920"/>
      <c r="V6" s="920"/>
    </row>
    <row r="7" spans="1:22">
      <c r="A7" s="422">
        <v>1</v>
      </c>
      <c r="B7" s="423" t="s">
        <v>689</v>
      </c>
      <c r="C7" s="625">
        <v>88904691.769999996</v>
      </c>
      <c r="D7" s="621">
        <v>85574454.799999997</v>
      </c>
      <c r="E7" s="621">
        <v>2116683.75</v>
      </c>
      <c r="F7" s="621">
        <v>1213553.22</v>
      </c>
      <c r="G7" s="621">
        <v>0</v>
      </c>
      <c r="H7" s="621">
        <v>90258124.366999999</v>
      </c>
      <c r="I7" s="621">
        <v>86851669.210099995</v>
      </c>
      <c r="J7" s="621">
        <v>2155323.6557</v>
      </c>
      <c r="K7" s="621">
        <v>1251131.5012000001</v>
      </c>
      <c r="L7" s="621">
        <v>0</v>
      </c>
      <c r="M7" s="621">
        <v>2110316.5489869998</v>
      </c>
      <c r="N7" s="621">
        <v>1135536.6599999999</v>
      </c>
      <c r="O7" s="621">
        <v>185235.73</v>
      </c>
      <c r="P7" s="621">
        <v>789544.158987</v>
      </c>
      <c r="Q7" s="621">
        <v>0</v>
      </c>
      <c r="R7" s="621">
        <v>1011</v>
      </c>
      <c r="S7" s="681">
        <v>0.10962000111686489</v>
      </c>
      <c r="T7" s="681">
        <v>0.12769005236679123</v>
      </c>
      <c r="U7" s="665">
        <v>0.12</v>
      </c>
      <c r="V7" s="623">
        <v>43.58</v>
      </c>
    </row>
    <row r="8" spans="1:22">
      <c r="A8" s="422">
        <v>2</v>
      </c>
      <c r="B8" s="421" t="s">
        <v>690</v>
      </c>
      <c r="C8" s="625">
        <v>4115038581.1400003</v>
      </c>
      <c r="D8" s="621">
        <v>3780704082.79</v>
      </c>
      <c r="E8" s="621">
        <v>209463775.09</v>
      </c>
      <c r="F8" s="621">
        <v>97244790.379999995</v>
      </c>
      <c r="G8" s="621">
        <v>27625932.879999999</v>
      </c>
      <c r="H8" s="621">
        <v>4133608487.6924</v>
      </c>
      <c r="I8" s="621">
        <v>3793436310.2874999</v>
      </c>
      <c r="J8" s="621">
        <v>212553409.31209999</v>
      </c>
      <c r="K8" s="621">
        <v>99211959.688299999</v>
      </c>
      <c r="L8" s="621">
        <v>28406808.4045</v>
      </c>
      <c r="M8" s="621">
        <v>114404089.952347</v>
      </c>
      <c r="N8" s="621">
        <v>36456848.159999996</v>
      </c>
      <c r="O8" s="621">
        <v>16430224.25</v>
      </c>
      <c r="P8" s="621">
        <v>53793186.323647</v>
      </c>
      <c r="Q8" s="621">
        <v>7723831.2187000001</v>
      </c>
      <c r="R8" s="621">
        <v>473015</v>
      </c>
      <c r="S8" s="681">
        <v>0.14792582042112923</v>
      </c>
      <c r="T8" s="681">
        <v>0.19182394334563377</v>
      </c>
      <c r="U8" s="665">
        <v>0.14000000000000001</v>
      </c>
      <c r="V8" s="623">
        <v>58.54</v>
      </c>
    </row>
    <row r="9" spans="1:22">
      <c r="A9" s="422">
        <v>3</v>
      </c>
      <c r="B9" s="421" t="s">
        <v>691</v>
      </c>
      <c r="C9" s="625">
        <v>772960.76</v>
      </c>
      <c r="D9" s="621">
        <v>338251.56</v>
      </c>
      <c r="E9" s="621">
        <v>213407.43</v>
      </c>
      <c r="F9" s="621">
        <v>211158.81</v>
      </c>
      <c r="G9" s="621">
        <v>10142.959999999999</v>
      </c>
      <c r="H9" s="621">
        <v>836321.90429999994</v>
      </c>
      <c r="I9" s="621">
        <v>352299.61200000002</v>
      </c>
      <c r="J9" s="621">
        <v>250282.1035</v>
      </c>
      <c r="K9" s="621">
        <v>222888.59849999999</v>
      </c>
      <c r="L9" s="621">
        <v>10851.5903</v>
      </c>
      <c r="M9" s="621">
        <v>227631</v>
      </c>
      <c r="N9" s="621">
        <v>24310.74</v>
      </c>
      <c r="O9" s="621">
        <v>28972.400000000001</v>
      </c>
      <c r="P9" s="621">
        <v>169644.59</v>
      </c>
      <c r="Q9" s="621">
        <v>4703.2700000000004</v>
      </c>
      <c r="R9" s="621">
        <v>2724</v>
      </c>
      <c r="S9" s="681">
        <v>0.34298871773192063</v>
      </c>
      <c r="T9" s="681">
        <v>0.46096524427299385</v>
      </c>
      <c r="U9" s="665">
        <v>0.3</v>
      </c>
      <c r="V9" s="623">
        <v>17.23</v>
      </c>
    </row>
    <row r="10" spans="1:22">
      <c r="A10" s="422">
        <v>4</v>
      </c>
      <c r="B10" s="421" t="s">
        <v>692</v>
      </c>
      <c r="C10" s="625">
        <v>124695619.98</v>
      </c>
      <c r="D10" s="621">
        <v>121737240.84</v>
      </c>
      <c r="E10" s="621">
        <v>2205864.87</v>
      </c>
      <c r="F10" s="621">
        <v>752514.27</v>
      </c>
      <c r="G10" s="621">
        <v>0</v>
      </c>
      <c r="H10" s="621">
        <v>123231339.62899999</v>
      </c>
      <c r="I10" s="621">
        <v>120213364.5289</v>
      </c>
      <c r="J10" s="621">
        <v>2220933.6737000002</v>
      </c>
      <c r="K10" s="621">
        <v>797041.4264</v>
      </c>
      <c r="L10" s="621">
        <v>0</v>
      </c>
      <c r="M10" s="621">
        <v>2687708.44</v>
      </c>
      <c r="N10" s="621">
        <v>1837253.69</v>
      </c>
      <c r="O10" s="621">
        <v>305729.38</v>
      </c>
      <c r="P10" s="621">
        <v>544725.37</v>
      </c>
      <c r="Q10" s="621">
        <v>0</v>
      </c>
      <c r="R10" s="621">
        <v>151871</v>
      </c>
      <c r="S10" s="681">
        <v>0.16064710696413281</v>
      </c>
      <c r="T10" s="681">
        <v>0.28208759827445445</v>
      </c>
      <c r="U10" s="665">
        <v>0.19</v>
      </c>
      <c r="V10" s="623">
        <v>12.29</v>
      </c>
    </row>
    <row r="11" spans="1:22">
      <c r="A11" s="422">
        <v>5</v>
      </c>
      <c r="B11" s="421" t="s">
        <v>693</v>
      </c>
      <c r="C11" s="625">
        <v>10652129.15</v>
      </c>
      <c r="D11" s="621">
        <v>7645522.4400000004</v>
      </c>
      <c r="E11" s="621">
        <v>902482.8</v>
      </c>
      <c r="F11" s="621">
        <v>2104123.91</v>
      </c>
      <c r="G11" s="621">
        <v>0</v>
      </c>
      <c r="H11" s="621">
        <v>13032228.576299999</v>
      </c>
      <c r="I11" s="621">
        <v>7973416.0882999999</v>
      </c>
      <c r="J11" s="621">
        <v>1147824.2450999999</v>
      </c>
      <c r="K11" s="621">
        <v>3910988.2429</v>
      </c>
      <c r="L11" s="621">
        <v>0</v>
      </c>
      <c r="M11" s="621">
        <v>4190080.5812670002</v>
      </c>
      <c r="N11" s="621">
        <v>288169.19</v>
      </c>
      <c r="O11" s="621">
        <v>183477.49</v>
      </c>
      <c r="P11" s="621">
        <v>3718433.901267</v>
      </c>
      <c r="Q11" s="621">
        <v>0</v>
      </c>
      <c r="R11" s="621">
        <v>120109</v>
      </c>
      <c r="S11" s="681">
        <v>0.17074872215291534</v>
      </c>
      <c r="T11" s="681">
        <v>0.18108461866751963</v>
      </c>
      <c r="U11" s="665">
        <v>0.18</v>
      </c>
      <c r="V11" s="623">
        <v>16.010000000000002</v>
      </c>
    </row>
    <row r="12" spans="1:22">
      <c r="A12" s="422">
        <v>6</v>
      </c>
      <c r="B12" s="421" t="s">
        <v>694</v>
      </c>
      <c r="C12" s="625">
        <v>202259990.69</v>
      </c>
      <c r="D12" s="621">
        <v>183158085.12</v>
      </c>
      <c r="E12" s="621">
        <v>14439633.25</v>
      </c>
      <c r="F12" s="621">
        <v>4662272.32</v>
      </c>
      <c r="G12" s="621">
        <v>0</v>
      </c>
      <c r="H12" s="621">
        <v>208647553.3883</v>
      </c>
      <c r="I12" s="621">
        <v>188825610.92739999</v>
      </c>
      <c r="J12" s="621">
        <v>14933769.5176</v>
      </c>
      <c r="K12" s="621">
        <v>4888172.9433000004</v>
      </c>
      <c r="L12" s="621">
        <v>0</v>
      </c>
      <c r="M12" s="621">
        <v>5888989.7888160003</v>
      </c>
      <c r="N12" s="621">
        <v>1068672.67</v>
      </c>
      <c r="O12" s="621">
        <v>695897.7</v>
      </c>
      <c r="P12" s="621">
        <v>4124419.4188160002</v>
      </c>
      <c r="Q12" s="621">
        <v>0</v>
      </c>
      <c r="R12" s="621">
        <v>146796</v>
      </c>
      <c r="S12" s="681">
        <v>0.35999979432042095</v>
      </c>
      <c r="T12" s="682">
        <v>0.36</v>
      </c>
      <c r="U12" s="682">
        <v>0.36</v>
      </c>
      <c r="V12" s="623">
        <v>24.01</v>
      </c>
    </row>
    <row r="13" spans="1:22">
      <c r="A13" s="422">
        <v>7</v>
      </c>
      <c r="B13" s="421" t="s">
        <v>695</v>
      </c>
      <c r="C13" s="625">
        <v>4484253865.7294922</v>
      </c>
      <c r="D13" s="621">
        <v>4215121087.1800003</v>
      </c>
      <c r="E13" s="621">
        <v>168930902.34</v>
      </c>
      <c r="F13" s="621">
        <v>49626020.93</v>
      </c>
      <c r="G13" s="621">
        <v>50575855.279491499</v>
      </c>
      <c r="H13" s="621">
        <f t="shared" ref="H13:R13" si="0">H14+H15+H16</f>
        <v>4555499938.1344004</v>
      </c>
      <c r="I13" s="621">
        <f t="shared" si="0"/>
        <v>4279993132.2558002</v>
      </c>
      <c r="J13" s="621">
        <f t="shared" si="0"/>
        <v>173456714.85229999</v>
      </c>
      <c r="K13" s="621">
        <f t="shared" si="0"/>
        <v>50779637.063900001</v>
      </c>
      <c r="L13" s="621">
        <v>51270453.962399997</v>
      </c>
      <c r="M13" s="621">
        <f t="shared" si="0"/>
        <v>26529141.596867003</v>
      </c>
      <c r="N13" s="621">
        <f t="shared" si="0"/>
        <v>3969675.97</v>
      </c>
      <c r="O13" s="621">
        <f t="shared" si="0"/>
        <v>2025300.9200000002</v>
      </c>
      <c r="P13" s="621">
        <f t="shared" si="0"/>
        <v>11811297.426930001</v>
      </c>
      <c r="Q13" s="621">
        <v>8722867.2799369991</v>
      </c>
      <c r="R13" s="621">
        <f t="shared" si="0"/>
        <v>72191</v>
      </c>
      <c r="S13" s="681">
        <v>0.10640781147036728</v>
      </c>
      <c r="T13" s="681">
        <v>0.12269429742925622</v>
      </c>
      <c r="U13" s="665">
        <v>0.11</v>
      </c>
      <c r="V13" s="623">
        <v>115.3</v>
      </c>
    </row>
    <row r="14" spans="1:22">
      <c r="A14" s="416">
        <v>7.1</v>
      </c>
      <c r="B14" s="415" t="s">
        <v>696</v>
      </c>
      <c r="C14" s="625">
        <v>3492672501.1394916</v>
      </c>
      <c r="D14" s="621">
        <v>3264348810.2800002</v>
      </c>
      <c r="E14" s="621">
        <v>134617248.44</v>
      </c>
      <c r="F14" s="621">
        <v>45394201.909999996</v>
      </c>
      <c r="G14" s="621">
        <v>48312240.509491503</v>
      </c>
      <c r="H14" s="621">
        <v>3549566568.4463</v>
      </c>
      <c r="I14" s="621">
        <v>3315885599.3723001</v>
      </c>
      <c r="J14" s="621">
        <v>138364262.1719</v>
      </c>
      <c r="K14" s="621">
        <v>46419263.209700003</v>
      </c>
      <c r="L14" s="621">
        <v>48897443.692400001</v>
      </c>
      <c r="M14" s="621">
        <v>23264199.431467</v>
      </c>
      <c r="N14" s="621">
        <v>2688725.71</v>
      </c>
      <c r="O14" s="621">
        <v>1390689.37</v>
      </c>
      <c r="P14" s="621">
        <v>10797936.95153</v>
      </c>
      <c r="Q14" s="621">
        <v>8386847.3999370001</v>
      </c>
      <c r="R14" s="621">
        <v>44311</v>
      </c>
      <c r="S14" s="681">
        <v>0.10514626530871672</v>
      </c>
      <c r="T14" s="681">
        <v>0.12160806290731148</v>
      </c>
      <c r="U14" s="665">
        <v>0.1</v>
      </c>
      <c r="V14" s="623">
        <v>117.25</v>
      </c>
    </row>
    <row r="15" spans="1:22">
      <c r="A15" s="416">
        <v>7.2</v>
      </c>
      <c r="B15" s="415" t="s">
        <v>697</v>
      </c>
      <c r="C15" s="625">
        <v>726657174.34000003</v>
      </c>
      <c r="D15" s="621">
        <v>697711246.39999998</v>
      </c>
      <c r="E15" s="621">
        <v>24510035.460000001</v>
      </c>
      <c r="F15" s="621">
        <v>2293533.3199999998</v>
      </c>
      <c r="G15" s="621">
        <v>2142359.16</v>
      </c>
      <c r="H15" s="621">
        <v>736604751.05110002</v>
      </c>
      <c r="I15" s="621">
        <v>706947471.47049999</v>
      </c>
      <c r="J15" s="621">
        <v>25020680.101100001</v>
      </c>
      <c r="K15" s="621">
        <v>2393112.5972000002</v>
      </c>
      <c r="L15" s="621">
        <v>2243486.8823000002</v>
      </c>
      <c r="M15" s="621">
        <v>2679168.7453999999</v>
      </c>
      <c r="N15" s="621">
        <v>1164771.81</v>
      </c>
      <c r="O15" s="621">
        <v>564540.37</v>
      </c>
      <c r="P15" s="621">
        <v>642043.7254</v>
      </c>
      <c r="Q15" s="621">
        <v>307812.84000000003</v>
      </c>
      <c r="R15" s="621">
        <v>8405</v>
      </c>
      <c r="S15" s="681">
        <v>0.10511808014587784</v>
      </c>
      <c r="T15" s="681">
        <v>0.1213591235018355</v>
      </c>
      <c r="U15" s="665">
        <v>0.11</v>
      </c>
      <c r="V15" s="623">
        <v>116.42</v>
      </c>
    </row>
    <row r="16" spans="1:22">
      <c r="A16" s="416">
        <v>7.3</v>
      </c>
      <c r="B16" s="415" t="s">
        <v>698</v>
      </c>
      <c r="C16" s="625">
        <v>264924190.25</v>
      </c>
      <c r="D16" s="621">
        <v>253061030.5</v>
      </c>
      <c r="E16" s="621">
        <v>9803618.4399999995</v>
      </c>
      <c r="F16" s="621">
        <v>1938285.7</v>
      </c>
      <c r="G16" s="621">
        <v>121255.61</v>
      </c>
      <c r="H16" s="621">
        <v>269328618.63700002</v>
      </c>
      <c r="I16" s="621">
        <v>257160061.41299999</v>
      </c>
      <c r="J16" s="621">
        <v>10071772.579299999</v>
      </c>
      <c r="K16" s="621">
        <v>1967261.257</v>
      </c>
      <c r="L16" s="621">
        <v>129523.38770000001</v>
      </c>
      <c r="M16" s="621">
        <v>585773.42000000004</v>
      </c>
      <c r="N16" s="621">
        <v>116178.45</v>
      </c>
      <c r="O16" s="621">
        <v>70071.179999999993</v>
      </c>
      <c r="P16" s="621">
        <v>371316.75</v>
      </c>
      <c r="Q16" s="621">
        <v>28207.040000000001</v>
      </c>
      <c r="R16" s="621">
        <v>19475</v>
      </c>
      <c r="S16" s="681">
        <v>0.12135697708729495</v>
      </c>
      <c r="T16" s="681">
        <v>0.13607625461059125</v>
      </c>
      <c r="U16" s="665">
        <v>0.12</v>
      </c>
      <c r="V16" s="623">
        <v>86.68</v>
      </c>
    </row>
    <row r="17" spans="1:22">
      <c r="A17" s="422">
        <v>8</v>
      </c>
      <c r="B17" s="421" t="s">
        <v>699</v>
      </c>
      <c r="C17" s="625">
        <v>133882844.78</v>
      </c>
      <c r="D17" s="621">
        <v>122795578.2</v>
      </c>
      <c r="E17" s="621">
        <v>8574245.0500000007</v>
      </c>
      <c r="F17" s="621">
        <v>2513021.5299999998</v>
      </c>
      <c r="G17" s="621">
        <v>0</v>
      </c>
      <c r="H17" s="621">
        <v>136186711.2462</v>
      </c>
      <c r="I17" s="621">
        <v>124012398.4482</v>
      </c>
      <c r="J17" s="621">
        <v>8693916.4497999996</v>
      </c>
      <c r="K17" s="621">
        <v>3480396.3481999999</v>
      </c>
      <c r="L17" s="621">
        <v>0</v>
      </c>
      <c r="M17" s="621">
        <v>1387189.4</v>
      </c>
      <c r="N17" s="621">
        <v>41581.919999999998</v>
      </c>
      <c r="O17" s="621">
        <v>23975.54</v>
      </c>
      <c r="P17" s="621">
        <v>1321631.94</v>
      </c>
      <c r="Q17" s="621">
        <v>0</v>
      </c>
      <c r="R17" s="621">
        <v>104918</v>
      </c>
      <c r="S17" s="681">
        <v>0.18856850363343472</v>
      </c>
      <c r="T17" s="681">
        <v>0.18856850363343472</v>
      </c>
      <c r="U17" s="665">
        <v>0.19498426960479101</v>
      </c>
      <c r="V17" s="623">
        <v>0.56641853385584595</v>
      </c>
    </row>
    <row r="18" spans="1:22">
      <c r="A18" s="420">
        <v>9</v>
      </c>
      <c r="B18" s="419" t="s">
        <v>700</v>
      </c>
      <c r="C18" s="625">
        <v>6718.96</v>
      </c>
      <c r="D18" s="621">
        <v>6718.96</v>
      </c>
      <c r="E18" s="621">
        <v>0</v>
      </c>
      <c r="F18" s="621">
        <v>0</v>
      </c>
      <c r="G18" s="621">
        <v>0</v>
      </c>
      <c r="H18" s="621">
        <v>8269.4148000000005</v>
      </c>
      <c r="I18" s="621">
        <v>8269.4148000000005</v>
      </c>
      <c r="J18" s="621">
        <v>0</v>
      </c>
      <c r="K18" s="621">
        <v>0</v>
      </c>
      <c r="L18" s="621">
        <v>0</v>
      </c>
      <c r="M18" s="621">
        <v>17.78</v>
      </c>
      <c r="N18" s="621">
        <v>17.78</v>
      </c>
      <c r="O18" s="621">
        <v>0</v>
      </c>
      <c r="P18" s="621">
        <v>0</v>
      </c>
      <c r="Q18" s="621">
        <v>0</v>
      </c>
      <c r="R18" s="621">
        <v>10</v>
      </c>
      <c r="S18" s="681">
        <v>0</v>
      </c>
      <c r="T18" s="681">
        <v>0</v>
      </c>
      <c r="U18" s="665">
        <v>0.23</v>
      </c>
      <c r="V18" s="623">
        <v>5.3</v>
      </c>
    </row>
    <row r="19" spans="1:22">
      <c r="A19" s="418">
        <v>10</v>
      </c>
      <c r="B19" s="417" t="s">
        <v>716</v>
      </c>
      <c r="C19" s="624">
        <f>SUM(C7:C13)+C17+C18</f>
        <v>9160467402.9594917</v>
      </c>
      <c r="D19" s="624">
        <f t="shared" ref="D19:G19" si="1">SUM(D7:D13)+D17+D18</f>
        <v>8517081021.8900003</v>
      </c>
      <c r="E19" s="624">
        <f t="shared" si="1"/>
        <v>406846994.58000004</v>
      </c>
      <c r="F19" s="624">
        <f t="shared" si="1"/>
        <v>158327455.37</v>
      </c>
      <c r="G19" s="624">
        <f t="shared" si="1"/>
        <v>78211931.119491503</v>
      </c>
      <c r="H19" s="624">
        <f>SUM(H7:H13)+H17+H18</f>
        <v>9261308974.3527012</v>
      </c>
      <c r="I19" s="624">
        <f t="shared" ref="I19:L19" si="2">SUM(I7:I13)+I17+I18</f>
        <v>8601666470.7730007</v>
      </c>
      <c r="J19" s="624">
        <f t="shared" si="2"/>
        <v>415412173.80980003</v>
      </c>
      <c r="K19" s="624">
        <f t="shared" si="2"/>
        <v>164542215.8127</v>
      </c>
      <c r="L19" s="624">
        <f t="shared" si="2"/>
        <v>79688113.957199991</v>
      </c>
      <c r="M19" s="624">
        <f t="shared" ref="M19:Q19" si="3">SUM(M7:M13)+M17+M18</f>
        <v>157425165.08828402</v>
      </c>
      <c r="N19" s="624">
        <f t="shared" si="3"/>
        <v>44822066.779999994</v>
      </c>
      <c r="O19" s="624">
        <f t="shared" si="3"/>
        <v>19878813.41</v>
      </c>
      <c r="P19" s="624">
        <f t="shared" si="3"/>
        <v>76272883.129647002</v>
      </c>
      <c r="Q19" s="624">
        <f t="shared" si="3"/>
        <v>16451401.768636998</v>
      </c>
      <c r="R19" s="624">
        <f t="shared" ref="R19" si="4">SUM(R7:R13)+R17+R18</f>
        <v>1072645</v>
      </c>
      <c r="S19" s="681">
        <v>0.16154724916568278</v>
      </c>
      <c r="T19" s="681">
        <v>0.19312104073048691</v>
      </c>
      <c r="U19" s="622">
        <v>0.13140012508532875</v>
      </c>
      <c r="V19" s="623">
        <v>83.96</v>
      </c>
    </row>
    <row r="20" spans="1:22" ht="25.5">
      <c r="A20" s="416">
        <v>10.1</v>
      </c>
      <c r="B20" s="415" t="s">
        <v>719</v>
      </c>
      <c r="C20" s="410"/>
      <c r="D20" s="410"/>
      <c r="E20" s="410"/>
      <c r="F20" s="410"/>
      <c r="G20" s="410"/>
      <c r="H20" s="410"/>
      <c r="I20" s="410"/>
      <c r="J20" s="410"/>
      <c r="K20" s="410"/>
      <c r="L20" s="410"/>
      <c r="M20" s="410"/>
      <c r="N20" s="410"/>
      <c r="O20" s="410"/>
      <c r="P20" s="410"/>
      <c r="Q20" s="410"/>
      <c r="R20" s="410"/>
      <c r="S20" s="410"/>
      <c r="T20" s="410"/>
      <c r="U20" s="410"/>
      <c r="V20" s="410"/>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70"/>
  <sheetViews>
    <sheetView topLeftCell="A16" zoomScaleNormal="100" workbookViewId="0">
      <selection activeCell="D10" sqref="D10"/>
    </sheetView>
  </sheetViews>
  <sheetFormatPr defaultRowHeight="15"/>
  <cols>
    <col min="1" max="1" width="8.7109375" style="332"/>
    <col min="2" max="2" width="69.28515625" style="331" customWidth="1"/>
    <col min="3" max="4" width="16.42578125" style="477" bestFit="1" customWidth="1"/>
    <col min="5" max="5" width="21.140625" style="477" customWidth="1"/>
    <col min="6" max="6" width="16.42578125" style="477" bestFit="1" customWidth="1"/>
    <col min="7" max="7" width="17.5703125" style="477" bestFit="1" customWidth="1"/>
    <col min="8" max="8" width="16.42578125" style="477" bestFit="1" customWidth="1"/>
  </cols>
  <sheetData>
    <row r="1" spans="1:8" ht="15.75">
      <c r="A1" s="12" t="s">
        <v>108</v>
      </c>
      <c r="B1" s="258" t="str">
        <f>Info!C2</f>
        <v>სს ”საქართველოს ბანკი”</v>
      </c>
      <c r="C1" s="668"/>
      <c r="D1" s="475"/>
      <c r="E1" s="475"/>
      <c r="F1" s="475"/>
      <c r="G1" s="475"/>
    </row>
    <row r="2" spans="1:8" ht="15.75">
      <c r="A2" s="12" t="s">
        <v>109</v>
      </c>
      <c r="B2" s="271">
        <f>'1. key ratios'!B2</f>
        <v>45291</v>
      </c>
      <c r="C2" s="669"/>
      <c r="D2" s="476"/>
      <c r="E2" s="476"/>
      <c r="F2" s="669"/>
      <c r="G2" s="476"/>
      <c r="H2" s="476"/>
    </row>
    <row r="3" spans="1:8" ht="16.5" thickBot="1">
      <c r="A3" s="12"/>
      <c r="B3" s="11"/>
      <c r="C3" s="669"/>
      <c r="D3" s="476"/>
      <c r="E3" s="476"/>
      <c r="F3" s="669"/>
      <c r="G3" s="476"/>
      <c r="H3" s="476"/>
    </row>
    <row r="4" spans="1:8" ht="21" customHeight="1">
      <c r="A4" s="807" t="s">
        <v>25</v>
      </c>
      <c r="B4" s="809" t="s">
        <v>728</v>
      </c>
      <c r="C4" s="811" t="s">
        <v>114</v>
      </c>
      <c r="D4" s="811"/>
      <c r="E4" s="811"/>
      <c r="F4" s="811" t="s">
        <v>115</v>
      </c>
      <c r="G4" s="811"/>
      <c r="H4" s="812"/>
    </row>
    <row r="5" spans="1:8" ht="21" customHeight="1">
      <c r="A5" s="808"/>
      <c r="B5" s="810"/>
      <c r="C5" s="528" t="s">
        <v>26</v>
      </c>
      <c r="D5" s="528" t="s">
        <v>88</v>
      </c>
      <c r="E5" s="528" t="s">
        <v>66</v>
      </c>
      <c r="F5" s="528" t="s">
        <v>26</v>
      </c>
      <c r="G5" s="528" t="s">
        <v>88</v>
      </c>
      <c r="H5" s="674" t="s">
        <v>66</v>
      </c>
    </row>
    <row r="6" spans="1:8" ht="26.45" customHeight="1">
      <c r="A6" s="808"/>
      <c r="B6" s="529" t="s">
        <v>95</v>
      </c>
      <c r="C6" s="805"/>
      <c r="D6" s="805"/>
      <c r="E6" s="805"/>
      <c r="F6" s="805"/>
      <c r="G6" s="805"/>
      <c r="H6" s="806"/>
    </row>
    <row r="7" spans="1:8" ht="23.1" customHeight="1">
      <c r="A7" s="550">
        <v>1</v>
      </c>
      <c r="B7" s="530" t="s">
        <v>842</v>
      </c>
      <c r="C7" s="670">
        <f>SUM(C8:C10)</f>
        <v>947621045.36600006</v>
      </c>
      <c r="D7" s="670">
        <f>SUM(D8:D10)</f>
        <v>3441496108.2550001</v>
      </c>
      <c r="E7" s="531">
        <f>C7+D7</f>
        <v>4389117153.6210003</v>
      </c>
      <c r="F7" s="670">
        <f>SUM(F8:F10)</f>
        <v>857690610.35599995</v>
      </c>
      <c r="G7" s="670">
        <f>SUM(G8:G10)</f>
        <v>4403251356.3959999</v>
      </c>
      <c r="H7" s="675">
        <f>F7+G7</f>
        <v>5260941966.7519999</v>
      </c>
    </row>
    <row r="8" spans="1:8">
      <c r="A8" s="550">
        <v>1.1000000000000001</v>
      </c>
      <c r="B8" s="532" t="s">
        <v>96</v>
      </c>
      <c r="C8" s="670">
        <v>320449979.94600004</v>
      </c>
      <c r="D8" s="670">
        <v>550358014.07500005</v>
      </c>
      <c r="E8" s="531">
        <f t="shared" ref="E8:E35" si="0">C8+D8</f>
        <v>870807994.02100015</v>
      </c>
      <c r="F8" s="670">
        <v>305591938.12599999</v>
      </c>
      <c r="G8" s="670">
        <v>590587627.81399989</v>
      </c>
      <c r="H8" s="675">
        <f t="shared" ref="H8:H35" si="1">F8+G8</f>
        <v>896179565.93999982</v>
      </c>
    </row>
    <row r="9" spans="1:8">
      <c r="A9" s="550">
        <v>1.2</v>
      </c>
      <c r="B9" s="532" t="s">
        <v>97</v>
      </c>
      <c r="C9" s="670">
        <v>581714607.5</v>
      </c>
      <c r="D9" s="670">
        <v>1735329832.5999999</v>
      </c>
      <c r="E9" s="531">
        <f t="shared" si="0"/>
        <v>2317044440.0999999</v>
      </c>
      <c r="F9" s="670">
        <v>540868439.5</v>
      </c>
      <c r="G9" s="670">
        <v>2344791473.4699998</v>
      </c>
      <c r="H9" s="675">
        <f t="shared" si="1"/>
        <v>2885659912.9699998</v>
      </c>
    </row>
    <row r="10" spans="1:8">
      <c r="A10" s="550">
        <v>1.3</v>
      </c>
      <c r="B10" s="532" t="s">
        <v>98</v>
      </c>
      <c r="C10" s="670">
        <v>45456457.920000002</v>
      </c>
      <c r="D10" s="670">
        <v>1155808261.5799999</v>
      </c>
      <c r="E10" s="531">
        <f t="shared" si="0"/>
        <v>1201264719.5</v>
      </c>
      <c r="F10" s="670">
        <v>11230232.73</v>
      </c>
      <c r="G10" s="670">
        <v>1467872255.112</v>
      </c>
      <c r="H10" s="675">
        <f t="shared" si="1"/>
        <v>1479102487.842</v>
      </c>
    </row>
    <row r="11" spans="1:8">
      <c r="A11" s="550">
        <v>2</v>
      </c>
      <c r="B11" s="533" t="s">
        <v>729</v>
      </c>
      <c r="C11" s="670">
        <f>C12</f>
        <v>10761962.210000001</v>
      </c>
      <c r="D11" s="670">
        <f>D12</f>
        <v>180293.6099999994</v>
      </c>
      <c r="E11" s="531">
        <f t="shared" si="0"/>
        <v>10942255.82</v>
      </c>
      <c r="F11" s="670">
        <f>F12</f>
        <v>31533758.640000001</v>
      </c>
      <c r="G11" s="670">
        <f>G12</f>
        <v>21052763.18</v>
      </c>
      <c r="H11" s="675">
        <f t="shared" si="1"/>
        <v>52586521.82</v>
      </c>
    </row>
    <row r="12" spans="1:8">
      <c r="A12" s="550">
        <v>2.1</v>
      </c>
      <c r="B12" s="534" t="s">
        <v>730</v>
      </c>
      <c r="C12" s="670">
        <v>10761962.210000001</v>
      </c>
      <c r="D12" s="670">
        <v>180293.6099999994</v>
      </c>
      <c r="E12" s="531">
        <f t="shared" si="0"/>
        <v>10942255.82</v>
      </c>
      <c r="F12" s="670">
        <v>31533758.640000001</v>
      </c>
      <c r="G12" s="670">
        <v>21052763.18</v>
      </c>
      <c r="H12" s="675">
        <f t="shared" si="1"/>
        <v>52586521.82</v>
      </c>
    </row>
    <row r="13" spans="1:8" ht="26.45" customHeight="1">
      <c r="A13" s="550">
        <v>3</v>
      </c>
      <c r="B13" s="535" t="s">
        <v>731</v>
      </c>
      <c r="C13" s="670"/>
      <c r="D13" s="670"/>
      <c r="E13" s="531">
        <f t="shared" si="0"/>
        <v>0</v>
      </c>
      <c r="F13" s="670"/>
      <c r="G13" s="670"/>
      <c r="H13" s="675">
        <f t="shared" si="1"/>
        <v>0</v>
      </c>
    </row>
    <row r="14" spans="1:8" ht="26.45" customHeight="1">
      <c r="A14" s="550">
        <v>4</v>
      </c>
      <c r="B14" s="536" t="s">
        <v>732</v>
      </c>
      <c r="C14" s="670"/>
      <c r="D14" s="670"/>
      <c r="E14" s="531">
        <f t="shared" si="0"/>
        <v>0</v>
      </c>
      <c r="F14" s="670"/>
      <c r="G14" s="670"/>
      <c r="H14" s="675">
        <f t="shared" si="1"/>
        <v>0</v>
      </c>
    </row>
    <row r="15" spans="1:8" ht="24.6" customHeight="1">
      <c r="A15" s="550">
        <v>5</v>
      </c>
      <c r="B15" s="536" t="s">
        <v>733</v>
      </c>
      <c r="C15" s="671">
        <f>SUM(C16:C18)</f>
        <v>2628666850.0299997</v>
      </c>
      <c r="D15" s="671">
        <f>SUM(D16:D18)</f>
        <v>1673842650.1634002</v>
      </c>
      <c r="E15" s="537">
        <f t="shared" si="0"/>
        <v>4302509500.1933994</v>
      </c>
      <c r="F15" s="671">
        <f>SUM(F16:F18)</f>
        <v>2369983948.7499995</v>
      </c>
      <c r="G15" s="671">
        <f>SUM(G16:G18)</f>
        <v>1525953392.9081006</v>
      </c>
      <c r="H15" s="676">
        <f t="shared" si="1"/>
        <v>3895937341.6581001</v>
      </c>
    </row>
    <row r="16" spans="1:8">
      <c r="A16" s="550">
        <v>5.0999999999999996</v>
      </c>
      <c r="B16" s="538" t="s">
        <v>734</v>
      </c>
      <c r="C16" s="670">
        <v>108303.24</v>
      </c>
      <c r="D16" s="670">
        <v>6942945.8529000003</v>
      </c>
      <c r="E16" s="531">
        <f t="shared" si="0"/>
        <v>7051249.0929000005</v>
      </c>
      <c r="F16" s="670">
        <v>108303.24</v>
      </c>
      <c r="G16" s="670">
        <v>4743308.2329000002</v>
      </c>
      <c r="H16" s="675">
        <f t="shared" si="1"/>
        <v>4851611.4729000004</v>
      </c>
    </row>
    <row r="17" spans="1:8">
      <c r="A17" s="550">
        <v>5.2</v>
      </c>
      <c r="B17" s="538" t="s">
        <v>568</v>
      </c>
      <c r="C17" s="670">
        <v>2628558546.79</v>
      </c>
      <c r="D17" s="670">
        <v>1666899704.3105001</v>
      </c>
      <c r="E17" s="531">
        <f t="shared" si="0"/>
        <v>4295458251.1005001</v>
      </c>
      <c r="F17" s="670">
        <v>2369875645.5099998</v>
      </c>
      <c r="G17" s="670">
        <v>1521210084.6752007</v>
      </c>
      <c r="H17" s="675">
        <f t="shared" si="1"/>
        <v>3891085730.1852007</v>
      </c>
    </row>
    <row r="18" spans="1:8">
      <c r="A18" s="550">
        <v>5.3</v>
      </c>
      <c r="B18" s="538" t="s">
        <v>735</v>
      </c>
      <c r="C18" s="670"/>
      <c r="D18" s="670"/>
      <c r="E18" s="531">
        <f t="shared" si="0"/>
        <v>0</v>
      </c>
      <c r="F18" s="670"/>
      <c r="G18" s="670"/>
      <c r="H18" s="675">
        <f t="shared" si="1"/>
        <v>0</v>
      </c>
    </row>
    <row r="19" spans="1:8">
      <c r="A19" s="550">
        <v>6</v>
      </c>
      <c r="B19" s="535" t="s">
        <v>736</v>
      </c>
      <c r="C19" s="670">
        <f>SUM(C20:C21)</f>
        <v>11294944044.480301</v>
      </c>
      <c r="D19" s="670">
        <f>SUM(D20:D21)</f>
        <v>8730008614.3001976</v>
      </c>
      <c r="E19" s="531">
        <f t="shared" si="0"/>
        <v>20024952658.780499</v>
      </c>
      <c r="F19" s="670">
        <f>SUM(F20:F21)</f>
        <v>9000782544.6339188</v>
      </c>
      <c r="G19" s="670">
        <f>SUM(G20:G21)</f>
        <v>7647045911.6351995</v>
      </c>
      <c r="H19" s="675">
        <f t="shared" si="1"/>
        <v>16647828456.269119</v>
      </c>
    </row>
    <row r="20" spans="1:8">
      <c r="A20" s="550">
        <v>6.1</v>
      </c>
      <c r="B20" s="538" t="s">
        <v>568</v>
      </c>
      <c r="C20" s="670">
        <v>463520227.31999993</v>
      </c>
      <c r="D20" s="670">
        <v>44374347.247100055</v>
      </c>
      <c r="E20" s="531">
        <f t="shared" si="0"/>
        <v>507894574.56709999</v>
      </c>
      <c r="F20" s="670">
        <v>163588022.80000001</v>
      </c>
      <c r="G20" s="670">
        <v>223863114.05520004</v>
      </c>
      <c r="H20" s="675">
        <f>F20+G20</f>
        <v>387451136.85520005</v>
      </c>
    </row>
    <row r="21" spans="1:8">
      <c r="A21" s="550">
        <v>6.2</v>
      </c>
      <c r="B21" s="538" t="s">
        <v>735</v>
      </c>
      <c r="C21" s="670">
        <v>10831423817.160301</v>
      </c>
      <c r="D21" s="670">
        <v>8685634267.0530968</v>
      </c>
      <c r="E21" s="531">
        <f t="shared" si="0"/>
        <v>19517058084.213398</v>
      </c>
      <c r="F21" s="670">
        <v>8837194521.8339195</v>
      </c>
      <c r="G21" s="670">
        <v>7423182797.5799999</v>
      </c>
      <c r="H21" s="675">
        <f t="shared" si="1"/>
        <v>16260377319.413919</v>
      </c>
    </row>
    <row r="22" spans="1:8">
      <c r="A22" s="550">
        <v>7</v>
      </c>
      <c r="B22" s="539" t="s">
        <v>737</v>
      </c>
      <c r="C22" s="670">
        <v>155990061.36397022</v>
      </c>
      <c r="D22" s="670">
        <v>0</v>
      </c>
      <c r="E22" s="531">
        <f t="shared" si="0"/>
        <v>155990061.36397022</v>
      </c>
      <c r="F22" s="670">
        <f>160560367.99-3232000</f>
        <v>157328367.99000001</v>
      </c>
      <c r="G22" s="670">
        <v>0</v>
      </c>
      <c r="H22" s="675">
        <f t="shared" si="1"/>
        <v>157328367.99000001</v>
      </c>
    </row>
    <row r="23" spans="1:8" ht="21">
      <c r="A23" s="550">
        <v>8</v>
      </c>
      <c r="B23" s="539" t="s">
        <v>738</v>
      </c>
      <c r="C23" s="670">
        <v>25741797.130000003</v>
      </c>
      <c r="D23" s="670">
        <v>0</v>
      </c>
      <c r="E23" s="531">
        <f t="shared" si="0"/>
        <v>25741797.130000003</v>
      </c>
      <c r="F23" s="670">
        <v>29566139.589999992</v>
      </c>
      <c r="G23" s="670">
        <v>0</v>
      </c>
      <c r="H23" s="675">
        <f t="shared" si="1"/>
        <v>29566139.589999992</v>
      </c>
    </row>
    <row r="24" spans="1:8">
      <c r="A24" s="550">
        <v>9</v>
      </c>
      <c r="B24" s="536" t="s">
        <v>739</v>
      </c>
      <c r="C24" s="670">
        <f>SUM(C25:C26)</f>
        <v>624726290.04999995</v>
      </c>
      <c r="D24" s="670">
        <f>SUM(D25:D26)</f>
        <v>0</v>
      </c>
      <c r="E24" s="531">
        <f t="shared" si="0"/>
        <v>624726290.04999995</v>
      </c>
      <c r="F24" s="670">
        <f>SUM(F25:F26)</f>
        <v>609969996.74000001</v>
      </c>
      <c r="G24" s="670">
        <f>SUM(G25:G26)</f>
        <v>0</v>
      </c>
      <c r="H24" s="675">
        <f t="shared" si="1"/>
        <v>609969996.74000001</v>
      </c>
    </row>
    <row r="25" spans="1:8">
      <c r="A25" s="550">
        <v>9.1</v>
      </c>
      <c r="B25" s="540" t="s">
        <v>740</v>
      </c>
      <c r="C25" s="670">
        <v>508860560.18000001</v>
      </c>
      <c r="D25" s="670">
        <v>0</v>
      </c>
      <c r="E25" s="531">
        <f t="shared" si="0"/>
        <v>508860560.18000001</v>
      </c>
      <c r="F25" s="670">
        <v>446739114.89999998</v>
      </c>
      <c r="G25" s="670">
        <v>0</v>
      </c>
      <c r="H25" s="675">
        <f t="shared" si="1"/>
        <v>446739114.89999998</v>
      </c>
    </row>
    <row r="26" spans="1:8">
      <c r="A26" s="550">
        <v>9.1999999999999993</v>
      </c>
      <c r="B26" s="540" t="s">
        <v>741</v>
      </c>
      <c r="C26" s="670">
        <v>115865729.87</v>
      </c>
      <c r="D26" s="670">
        <v>0</v>
      </c>
      <c r="E26" s="531">
        <f t="shared" si="0"/>
        <v>115865729.87</v>
      </c>
      <c r="F26" s="670">
        <v>163230881.84</v>
      </c>
      <c r="G26" s="670">
        <v>0</v>
      </c>
      <c r="H26" s="675">
        <f t="shared" si="1"/>
        <v>163230881.84</v>
      </c>
    </row>
    <row r="27" spans="1:8">
      <c r="A27" s="550">
        <v>10</v>
      </c>
      <c r="B27" s="536" t="s">
        <v>36</v>
      </c>
      <c r="C27" s="670">
        <f>SUM(C28:C29)</f>
        <v>166555746.55000001</v>
      </c>
      <c r="D27" s="670">
        <f>SUM(D28:D29)</f>
        <v>0</v>
      </c>
      <c r="E27" s="531">
        <f t="shared" si="0"/>
        <v>166555746.55000001</v>
      </c>
      <c r="F27" s="670">
        <f>SUM(F28:F29)</f>
        <v>153440661.19999999</v>
      </c>
      <c r="G27" s="670">
        <f>SUM(G28:G29)</f>
        <v>0</v>
      </c>
      <c r="H27" s="675">
        <f t="shared" si="1"/>
        <v>153440661.19999999</v>
      </c>
    </row>
    <row r="28" spans="1:8">
      <c r="A28" s="550">
        <v>10.1</v>
      </c>
      <c r="B28" s="540" t="s">
        <v>742</v>
      </c>
      <c r="C28" s="670">
        <v>33331342.84</v>
      </c>
      <c r="D28" s="670">
        <v>0</v>
      </c>
      <c r="E28" s="531">
        <f t="shared" si="0"/>
        <v>33331342.84</v>
      </c>
      <c r="F28" s="670">
        <v>33331342.84</v>
      </c>
      <c r="G28" s="670">
        <v>0</v>
      </c>
      <c r="H28" s="675">
        <f t="shared" si="1"/>
        <v>33331342.84</v>
      </c>
    </row>
    <row r="29" spans="1:8">
      <c r="A29" s="550">
        <v>10.199999999999999</v>
      </c>
      <c r="B29" s="540" t="s">
        <v>743</v>
      </c>
      <c r="C29" s="670">
        <v>133224403.71000001</v>
      </c>
      <c r="D29" s="670">
        <v>0</v>
      </c>
      <c r="E29" s="531">
        <f t="shared" si="0"/>
        <v>133224403.71000001</v>
      </c>
      <c r="F29" s="670">
        <v>120109318.35999998</v>
      </c>
      <c r="G29" s="670">
        <v>0</v>
      </c>
      <c r="H29" s="675">
        <f t="shared" si="1"/>
        <v>120109318.35999998</v>
      </c>
    </row>
    <row r="30" spans="1:8">
      <c r="A30" s="550">
        <v>11</v>
      </c>
      <c r="B30" s="536" t="s">
        <v>744</v>
      </c>
      <c r="C30" s="670"/>
      <c r="D30" s="670">
        <f>SUM(D31:D32)</f>
        <v>0</v>
      </c>
      <c r="E30" s="531">
        <f t="shared" si="0"/>
        <v>0</v>
      </c>
      <c r="F30" s="670">
        <f>SUM(F31:F32)</f>
        <v>0</v>
      </c>
      <c r="G30" s="670">
        <f>SUM(G31:G32)</f>
        <v>0</v>
      </c>
      <c r="H30" s="675">
        <f t="shared" si="1"/>
        <v>0</v>
      </c>
    </row>
    <row r="31" spans="1:8">
      <c r="A31" s="550">
        <v>11.1</v>
      </c>
      <c r="B31" s="540" t="s">
        <v>745</v>
      </c>
      <c r="C31" s="670"/>
      <c r="D31" s="670">
        <v>0</v>
      </c>
      <c r="E31" s="531">
        <f t="shared" si="0"/>
        <v>0</v>
      </c>
      <c r="F31" s="670">
        <v>0</v>
      </c>
      <c r="G31" s="670">
        <v>0</v>
      </c>
      <c r="H31" s="675">
        <f t="shared" si="1"/>
        <v>0</v>
      </c>
    </row>
    <row r="32" spans="1:8">
      <c r="A32" s="550">
        <v>11.2</v>
      </c>
      <c r="B32" s="540" t="s">
        <v>746</v>
      </c>
      <c r="C32" s="670"/>
      <c r="D32" s="670">
        <v>0</v>
      </c>
      <c r="E32" s="531">
        <f t="shared" si="0"/>
        <v>0</v>
      </c>
      <c r="F32" s="670">
        <v>0</v>
      </c>
      <c r="G32" s="670">
        <v>0</v>
      </c>
      <c r="H32" s="675">
        <f t="shared" si="1"/>
        <v>0</v>
      </c>
    </row>
    <row r="33" spans="1:8">
      <c r="A33" s="550">
        <v>13</v>
      </c>
      <c r="B33" s="536" t="s">
        <v>99</v>
      </c>
      <c r="C33" s="670">
        <v>448356614.92928821</v>
      </c>
      <c r="D33" s="670">
        <v>107746532.83125883</v>
      </c>
      <c r="E33" s="531">
        <f t="shared" si="0"/>
        <v>556103147.76054704</v>
      </c>
      <c r="F33" s="670">
        <v>259538305.48666856</v>
      </c>
      <c r="G33" s="670">
        <v>74069809.318503052</v>
      </c>
      <c r="H33" s="675">
        <f t="shared" si="1"/>
        <v>333608114.80517161</v>
      </c>
    </row>
    <row r="34" spans="1:8">
      <c r="A34" s="550">
        <v>13.1</v>
      </c>
      <c r="B34" s="541" t="s">
        <v>747</v>
      </c>
      <c r="C34" s="670">
        <v>268963985.89999998</v>
      </c>
      <c r="D34" s="670">
        <v>0</v>
      </c>
      <c r="E34" s="531">
        <f t="shared" si="0"/>
        <v>268963985.89999998</v>
      </c>
      <c r="F34" s="670">
        <v>114730279.23</v>
      </c>
      <c r="G34" s="670">
        <v>0</v>
      </c>
      <c r="H34" s="675">
        <f t="shared" si="1"/>
        <v>114730279.23</v>
      </c>
    </row>
    <row r="35" spans="1:8">
      <c r="A35" s="550">
        <v>13.2</v>
      </c>
      <c r="B35" s="541" t="s">
        <v>748</v>
      </c>
      <c r="C35" s="670">
        <v>0</v>
      </c>
      <c r="D35" s="670">
        <v>0</v>
      </c>
      <c r="E35" s="531">
        <f t="shared" si="0"/>
        <v>0</v>
      </c>
      <c r="F35" s="670">
        <v>0</v>
      </c>
      <c r="G35" s="670">
        <v>0</v>
      </c>
      <c r="H35" s="675">
        <f t="shared" si="1"/>
        <v>0</v>
      </c>
    </row>
    <row r="36" spans="1:8">
      <c r="A36" s="550">
        <v>14</v>
      </c>
      <c r="B36" s="542" t="s">
        <v>749</v>
      </c>
      <c r="C36" s="670">
        <f>SUM(C7,C11,C13,C14,C15,C19,C22,C23,C24,C27,C30,C33)</f>
        <v>16303364412.109556</v>
      </c>
      <c r="D36" s="670">
        <f>SUM(D7,D11,D13,D14,D15,D19,D22,D23,D24,D27,D30,D33)</f>
        <v>13953274199.159857</v>
      </c>
      <c r="E36" s="531">
        <f>C36+D36</f>
        <v>30256638611.269413</v>
      </c>
      <c r="F36" s="670">
        <f>SUM(F7,F11,F13,F14,F15,F19,F22,F23,F24,F27,F30,F33)</f>
        <v>13469834333.386585</v>
      </c>
      <c r="G36" s="670">
        <f>SUM(G7,G11,G13,G14,G15,G19,G22,G23,G24,G27,G30,G33)</f>
        <v>13671373233.437803</v>
      </c>
      <c r="H36" s="675">
        <f>F36+G36</f>
        <v>27141207566.824387</v>
      </c>
    </row>
    <row r="37" spans="1:8" ht="22.5" customHeight="1">
      <c r="A37" s="550"/>
      <c r="B37" s="543" t="s">
        <v>104</v>
      </c>
      <c r="C37" s="805"/>
      <c r="D37" s="805"/>
      <c r="E37" s="805"/>
      <c r="F37" s="805"/>
      <c r="G37" s="805"/>
      <c r="H37" s="806"/>
    </row>
    <row r="38" spans="1:8">
      <c r="A38" s="550">
        <v>15</v>
      </c>
      <c r="B38" s="539" t="s">
        <v>750</v>
      </c>
      <c r="C38" s="670">
        <f>C39</f>
        <v>25779476.989999998</v>
      </c>
      <c r="D38" s="670">
        <f>D39</f>
        <v>0</v>
      </c>
      <c r="E38" s="531">
        <f>C38+D38</f>
        <v>25779476.989999998</v>
      </c>
      <c r="F38" s="670">
        <f>F39</f>
        <v>59019643.839999996</v>
      </c>
      <c r="G38" s="670">
        <f>G39</f>
        <v>0</v>
      </c>
      <c r="H38" s="675">
        <f>F38+G38</f>
        <v>59019643.839999996</v>
      </c>
    </row>
    <row r="39" spans="1:8">
      <c r="A39" s="550">
        <v>15.1</v>
      </c>
      <c r="B39" s="534" t="s">
        <v>730</v>
      </c>
      <c r="C39" s="670">
        <v>25779476.989999998</v>
      </c>
      <c r="D39" s="670">
        <v>0</v>
      </c>
      <c r="E39" s="531">
        <f t="shared" ref="E39:E52" si="2">C39+D39</f>
        <v>25779476.989999998</v>
      </c>
      <c r="F39" s="670">
        <v>59019643.839999996</v>
      </c>
      <c r="G39" s="670">
        <v>0</v>
      </c>
      <c r="H39" s="675">
        <f t="shared" ref="H39:H53" si="3">F39+G39</f>
        <v>59019643.839999996</v>
      </c>
    </row>
    <row r="40" spans="1:8" ht="24" customHeight="1">
      <c r="A40" s="550">
        <v>16</v>
      </c>
      <c r="B40" s="539" t="s">
        <v>751</v>
      </c>
      <c r="C40" s="670"/>
      <c r="D40" s="670"/>
      <c r="E40" s="531">
        <f t="shared" si="2"/>
        <v>0</v>
      </c>
      <c r="F40" s="670"/>
      <c r="G40" s="670"/>
      <c r="H40" s="675">
        <f t="shared" si="3"/>
        <v>0</v>
      </c>
    </row>
    <row r="41" spans="1:8" ht="21">
      <c r="A41" s="550">
        <v>17</v>
      </c>
      <c r="B41" s="539" t="s">
        <v>752</v>
      </c>
      <c r="C41" s="670">
        <f>SUM(C42:C45)</f>
        <v>12009543376.716501</v>
      </c>
      <c r="D41" s="670">
        <f>SUM(D42:D45)</f>
        <v>12314892570.635</v>
      </c>
      <c r="E41" s="531">
        <f t="shared" si="2"/>
        <v>24324435947.351501</v>
      </c>
      <c r="F41" s="677">
        <f>SUM(F42:F45)</f>
        <v>9944560733.0893803</v>
      </c>
      <c r="G41" s="677">
        <f>SUM(G42:G45)</f>
        <v>12290494780.897999</v>
      </c>
      <c r="H41" s="675">
        <f t="shared" si="3"/>
        <v>22235055513.987381</v>
      </c>
    </row>
    <row r="42" spans="1:8">
      <c r="A42" s="550">
        <v>17.100000000000001</v>
      </c>
      <c r="B42" s="548" t="s">
        <v>753</v>
      </c>
      <c r="C42" s="677">
        <v>9097453147.9265003</v>
      </c>
      <c r="D42" s="677">
        <v>11191115217.324999</v>
      </c>
      <c r="E42" s="531">
        <f t="shared" si="2"/>
        <v>20288568365.251499</v>
      </c>
      <c r="F42" s="677">
        <v>7045575000.2593803</v>
      </c>
      <c r="G42" s="677">
        <v>11316467677.335999</v>
      </c>
      <c r="H42" s="675">
        <f t="shared" si="3"/>
        <v>18362042677.595379</v>
      </c>
    </row>
    <row r="43" spans="1:8">
      <c r="A43" s="550">
        <v>17.2</v>
      </c>
      <c r="B43" s="532" t="s">
        <v>100</v>
      </c>
      <c r="C43" s="677">
        <v>2908757942.4300003</v>
      </c>
      <c r="D43" s="677">
        <v>938485988.26999998</v>
      </c>
      <c r="E43" s="531">
        <f t="shared" si="2"/>
        <v>3847243930.7000003</v>
      </c>
      <c r="F43" s="677">
        <v>2894689288.4699998</v>
      </c>
      <c r="G43" s="677">
        <v>544612767.59200001</v>
      </c>
      <c r="H43" s="675">
        <f t="shared" si="3"/>
        <v>3439302056.0619998</v>
      </c>
    </row>
    <row r="44" spans="1:8">
      <c r="A44" s="550">
        <v>17.3</v>
      </c>
      <c r="B44" s="548" t="s">
        <v>754</v>
      </c>
      <c r="C44" s="677">
        <v>0</v>
      </c>
      <c r="D44" s="677">
        <v>64278509.199999996</v>
      </c>
      <c r="E44" s="531">
        <f t="shared" si="2"/>
        <v>64278509.199999996</v>
      </c>
      <c r="F44" s="677">
        <v>0</v>
      </c>
      <c r="G44" s="677">
        <v>334251377.45000005</v>
      </c>
      <c r="H44" s="675">
        <f t="shared" si="3"/>
        <v>334251377.45000005</v>
      </c>
    </row>
    <row r="45" spans="1:8">
      <c r="A45" s="550">
        <v>17.399999999999999</v>
      </c>
      <c r="B45" s="548" t="s">
        <v>755</v>
      </c>
      <c r="C45" s="677">
        <v>3332286.36</v>
      </c>
      <c r="D45" s="677">
        <v>121012855.83999999</v>
      </c>
      <c r="E45" s="531">
        <f t="shared" si="2"/>
        <v>124345142.19999999</v>
      </c>
      <c r="F45" s="677">
        <v>4296444.3600000003</v>
      </c>
      <c r="G45" s="677">
        <v>95162958.519999996</v>
      </c>
      <c r="H45" s="675">
        <f t="shared" si="3"/>
        <v>99459402.879999995</v>
      </c>
    </row>
    <row r="46" spans="1:8">
      <c r="A46" s="550">
        <v>18</v>
      </c>
      <c r="B46" s="545" t="s">
        <v>756</v>
      </c>
      <c r="C46" s="670">
        <v>936317.43999999994</v>
      </c>
      <c r="D46" s="670">
        <v>3988514.0712999995</v>
      </c>
      <c r="E46" s="531">
        <f t="shared" si="2"/>
        <v>4924831.5112999994</v>
      </c>
      <c r="F46" s="677">
        <v>1318266.55</v>
      </c>
      <c r="G46" s="677">
        <v>2810909.9504000004</v>
      </c>
      <c r="H46" s="675">
        <f t="shared" si="3"/>
        <v>4129176.5004000003</v>
      </c>
    </row>
    <row r="47" spans="1:8">
      <c r="A47" s="550">
        <v>19</v>
      </c>
      <c r="B47" s="545" t="s">
        <v>757</v>
      </c>
      <c r="C47" s="672">
        <f>SUM(C48:C49)</f>
        <v>194924020.2916472</v>
      </c>
      <c r="D47" s="670">
        <f>SUM(D48:D49)</f>
        <v>0</v>
      </c>
      <c r="E47" s="531">
        <f t="shared" si="2"/>
        <v>194924020.2916472</v>
      </c>
      <c r="F47" s="672">
        <f>SUM(F48:F49)</f>
        <v>99533259.065847278</v>
      </c>
      <c r="G47" s="670">
        <f>SUM(G48:G49)</f>
        <v>0</v>
      </c>
      <c r="H47" s="675">
        <f t="shared" si="3"/>
        <v>99533259.065847278</v>
      </c>
    </row>
    <row r="48" spans="1:8">
      <c r="A48" s="550">
        <v>19.100000000000001</v>
      </c>
      <c r="B48" s="546" t="s">
        <v>758</v>
      </c>
      <c r="C48" s="670">
        <v>183930978.08164719</v>
      </c>
      <c r="D48" s="670">
        <v>0</v>
      </c>
      <c r="E48" s="531">
        <f t="shared" si="2"/>
        <v>183930978.08164719</v>
      </c>
      <c r="F48" s="670">
        <v>20258012.850000001</v>
      </c>
      <c r="G48" s="670">
        <v>0</v>
      </c>
      <c r="H48" s="675">
        <f t="shared" si="3"/>
        <v>20258012.850000001</v>
      </c>
    </row>
    <row r="49" spans="1:8">
      <c r="A49" s="550">
        <v>19.2</v>
      </c>
      <c r="B49" s="546" t="s">
        <v>759</v>
      </c>
      <c r="C49" s="670">
        <v>10993042.210000001</v>
      </c>
      <c r="D49" s="670">
        <v>0</v>
      </c>
      <c r="E49" s="531">
        <f t="shared" si="2"/>
        <v>10993042.210000001</v>
      </c>
      <c r="F49" s="670">
        <v>79275246.215847269</v>
      </c>
      <c r="G49" s="670">
        <v>0</v>
      </c>
      <c r="H49" s="675">
        <f t="shared" si="3"/>
        <v>79275246.215847269</v>
      </c>
    </row>
    <row r="50" spans="1:8">
      <c r="A50" s="550">
        <v>20</v>
      </c>
      <c r="B50" s="542" t="s">
        <v>101</v>
      </c>
      <c r="C50" s="670">
        <v>0</v>
      </c>
      <c r="D50" s="670">
        <v>1048316321.1799998</v>
      </c>
      <c r="E50" s="531">
        <f t="shared" si="2"/>
        <v>1048316321.1799998</v>
      </c>
      <c r="F50" s="670">
        <v>0</v>
      </c>
      <c r="G50" s="670">
        <v>805123748.68000007</v>
      </c>
      <c r="H50" s="675">
        <f t="shared" si="3"/>
        <v>805123748.68000007</v>
      </c>
    </row>
    <row r="51" spans="1:8">
      <c r="A51" s="550">
        <v>21</v>
      </c>
      <c r="B51" s="533" t="s">
        <v>89</v>
      </c>
      <c r="C51" s="670">
        <v>180432462.9060069</v>
      </c>
      <c r="D51" s="670">
        <v>54287525.478300005</v>
      </c>
      <c r="E51" s="531">
        <f t="shared" si="2"/>
        <v>234719988.38430691</v>
      </c>
      <c r="F51" s="670">
        <v>147309739.46600002</v>
      </c>
      <c r="G51" s="670">
        <v>34866208.227299988</v>
      </c>
      <c r="H51" s="675">
        <f t="shared" si="3"/>
        <v>182175947.69330001</v>
      </c>
    </row>
    <row r="52" spans="1:8">
      <c r="A52" s="550">
        <v>21.1</v>
      </c>
      <c r="B52" s="532" t="s">
        <v>760</v>
      </c>
      <c r="C52" s="670">
        <v>3522030.53</v>
      </c>
      <c r="D52" s="670"/>
      <c r="E52" s="531">
        <f t="shared" si="2"/>
        <v>3522030.53</v>
      </c>
      <c r="F52" s="670">
        <v>2345640</v>
      </c>
      <c r="G52" s="670"/>
      <c r="H52" s="675">
        <f t="shared" si="3"/>
        <v>2345640</v>
      </c>
    </row>
    <row r="53" spans="1:8">
      <c r="A53" s="550">
        <v>22</v>
      </c>
      <c r="B53" s="542" t="s">
        <v>761</v>
      </c>
      <c r="C53" s="670">
        <f>SUM(C38,C40,C41,C46,C47,C50,C51)</f>
        <v>12411615654.344156</v>
      </c>
      <c r="D53" s="670">
        <f>SUM(D38,D40,D41,D46,D47,D50,D51)</f>
        <v>13421484931.364601</v>
      </c>
      <c r="E53" s="531">
        <f>C53+D53</f>
        <v>25833100585.708755</v>
      </c>
      <c r="F53" s="670">
        <f>SUM(F38,F40,F41,F46,F47,F50,F51)</f>
        <v>10251741642.011227</v>
      </c>
      <c r="G53" s="670">
        <f>SUM(G38,G40,G41,G46,G47,G50,G51)</f>
        <v>13133295647.755699</v>
      </c>
      <c r="H53" s="675">
        <f t="shared" si="3"/>
        <v>23385037289.766926</v>
      </c>
    </row>
    <row r="54" spans="1:8" ht="24" customHeight="1">
      <c r="A54" s="550"/>
      <c r="B54" s="543" t="s">
        <v>762</v>
      </c>
      <c r="C54" s="805"/>
      <c r="D54" s="805"/>
      <c r="E54" s="805"/>
      <c r="F54" s="805"/>
      <c r="G54" s="805"/>
      <c r="H54" s="806"/>
    </row>
    <row r="55" spans="1:8">
      <c r="A55" s="550">
        <v>23</v>
      </c>
      <c r="B55" s="542" t="s">
        <v>105</v>
      </c>
      <c r="C55" s="670">
        <v>27993660.18</v>
      </c>
      <c r="D55" s="670"/>
      <c r="E55" s="531">
        <f>C55+D55</f>
        <v>27993660.18</v>
      </c>
      <c r="F55" s="670">
        <v>27993660.18</v>
      </c>
      <c r="G55" s="670"/>
      <c r="H55" s="675">
        <f>F55+G55</f>
        <v>27993660.18</v>
      </c>
    </row>
    <row r="56" spans="1:8">
      <c r="A56" s="550">
        <v>24</v>
      </c>
      <c r="B56" s="542" t="s">
        <v>763</v>
      </c>
      <c r="C56" s="670"/>
      <c r="D56" s="670"/>
      <c r="E56" s="531">
        <f t="shared" ref="E56:E69" si="4">C56+D56</f>
        <v>0</v>
      </c>
      <c r="F56" s="670"/>
      <c r="G56" s="670"/>
      <c r="H56" s="675">
        <f t="shared" ref="H56:H68" si="5">F56+G56</f>
        <v>0</v>
      </c>
    </row>
    <row r="57" spans="1:8">
      <c r="A57" s="550">
        <v>25</v>
      </c>
      <c r="B57" s="547" t="s">
        <v>102</v>
      </c>
      <c r="C57" s="670">
        <v>252311118.03999999</v>
      </c>
      <c r="D57" s="670"/>
      <c r="E57" s="531">
        <f t="shared" si="4"/>
        <v>252311118.03999999</v>
      </c>
      <c r="F57" s="670">
        <v>242853117.23234159</v>
      </c>
      <c r="G57" s="670"/>
      <c r="H57" s="675">
        <f t="shared" si="5"/>
        <v>242853117.23234159</v>
      </c>
    </row>
    <row r="58" spans="1:8">
      <c r="A58" s="550">
        <v>26</v>
      </c>
      <c r="B58" s="545" t="s">
        <v>764</v>
      </c>
      <c r="C58" s="670">
        <v>-11366</v>
      </c>
      <c r="D58" s="670"/>
      <c r="E58" s="531">
        <f t="shared" si="4"/>
        <v>-11366</v>
      </c>
      <c r="F58" s="670">
        <v>-10173</v>
      </c>
      <c r="G58" s="670"/>
      <c r="H58" s="675">
        <f t="shared" si="5"/>
        <v>-10173</v>
      </c>
    </row>
    <row r="59" spans="1:8" ht="21">
      <c r="A59" s="550">
        <v>27</v>
      </c>
      <c r="B59" s="545" t="s">
        <v>765</v>
      </c>
      <c r="C59" s="670">
        <f>SUM(C60:C61)</f>
        <v>0</v>
      </c>
      <c r="D59" s="670">
        <f>SUM(D60:D61)</f>
        <v>0</v>
      </c>
      <c r="E59" s="531">
        <f t="shared" si="4"/>
        <v>0</v>
      </c>
      <c r="F59" s="670">
        <f>SUM(F60:F61)</f>
        <v>0</v>
      </c>
      <c r="G59" s="670">
        <f>SUM(G60:G61)</f>
        <v>0</v>
      </c>
      <c r="H59" s="675">
        <f t="shared" si="5"/>
        <v>0</v>
      </c>
    </row>
    <row r="60" spans="1:8">
      <c r="A60" s="550">
        <v>27.1</v>
      </c>
      <c r="B60" s="548" t="s">
        <v>766</v>
      </c>
      <c r="C60" s="670"/>
      <c r="D60" s="670"/>
      <c r="E60" s="531">
        <f t="shared" si="4"/>
        <v>0</v>
      </c>
      <c r="F60" s="670"/>
      <c r="G60" s="670"/>
      <c r="H60" s="675">
        <f t="shared" si="5"/>
        <v>0</v>
      </c>
    </row>
    <row r="61" spans="1:8">
      <c r="A61" s="550">
        <v>27.2</v>
      </c>
      <c r="B61" s="544" t="s">
        <v>767</v>
      </c>
      <c r="C61" s="670"/>
      <c r="D61" s="670"/>
      <c r="E61" s="531">
        <f t="shared" si="4"/>
        <v>0</v>
      </c>
      <c r="F61" s="670"/>
      <c r="G61" s="670"/>
      <c r="H61" s="675">
        <f t="shared" si="5"/>
        <v>0</v>
      </c>
    </row>
    <row r="62" spans="1:8">
      <c r="A62" s="550">
        <v>28</v>
      </c>
      <c r="B62" s="533" t="s">
        <v>768</v>
      </c>
      <c r="C62" s="670">
        <v>-101524217.41372287</v>
      </c>
      <c r="D62" s="670"/>
      <c r="E62" s="531">
        <f t="shared" si="4"/>
        <v>-101524217.41372287</v>
      </c>
      <c r="F62" s="670">
        <v>-53515095</v>
      </c>
      <c r="G62" s="670"/>
      <c r="H62" s="675">
        <f t="shared" si="5"/>
        <v>-53515095</v>
      </c>
    </row>
    <row r="63" spans="1:8">
      <c r="A63" s="550">
        <v>29</v>
      </c>
      <c r="B63" s="545" t="s">
        <v>769</v>
      </c>
      <c r="C63" s="670">
        <f>SUM(C64:C66)</f>
        <v>34891060.719999999</v>
      </c>
      <c r="D63" s="670">
        <f>SUM(D64:D66)</f>
        <v>0</v>
      </c>
      <c r="E63" s="531">
        <f t="shared" si="4"/>
        <v>34891060.719999999</v>
      </c>
      <c r="F63" s="670">
        <f>SUM(F64:F66)</f>
        <v>23983543.150000006</v>
      </c>
      <c r="G63" s="670">
        <f>SUM(G64:G66)</f>
        <v>0</v>
      </c>
      <c r="H63" s="675">
        <f t="shared" si="5"/>
        <v>23983543.150000006</v>
      </c>
    </row>
    <row r="64" spans="1:8">
      <c r="A64" s="550">
        <v>29.1</v>
      </c>
      <c r="B64" s="538" t="s">
        <v>770</v>
      </c>
      <c r="C64" s="670">
        <v>2358668.17</v>
      </c>
      <c r="D64" s="670"/>
      <c r="E64" s="531">
        <f t="shared" si="4"/>
        <v>2358668.17</v>
      </c>
      <c r="F64" s="670">
        <v>2358668.17</v>
      </c>
      <c r="G64" s="670"/>
      <c r="H64" s="675">
        <f t="shared" si="5"/>
        <v>2358668.17</v>
      </c>
    </row>
    <row r="65" spans="1:8" ht="24.95" customHeight="1">
      <c r="A65" s="550">
        <v>29.2</v>
      </c>
      <c r="B65" s="548" t="s">
        <v>771</v>
      </c>
      <c r="C65" s="670">
        <v>2440506.41</v>
      </c>
      <c r="D65" s="670"/>
      <c r="E65" s="531">
        <f t="shared" si="4"/>
        <v>2440506.41</v>
      </c>
      <c r="F65" s="670">
        <v>531522.52</v>
      </c>
      <c r="G65" s="670"/>
      <c r="H65" s="675">
        <f t="shared" si="5"/>
        <v>531522.52</v>
      </c>
    </row>
    <row r="66" spans="1:8" ht="22.5" customHeight="1">
      <c r="A66" s="550">
        <v>29.3</v>
      </c>
      <c r="B66" s="540" t="s">
        <v>772</v>
      </c>
      <c r="C66" s="670">
        <v>30091886.140000001</v>
      </c>
      <c r="D66" s="670"/>
      <c r="E66" s="531">
        <f t="shared" si="4"/>
        <v>30091886.140000001</v>
      </c>
      <c r="F66" s="670">
        <v>21093352.460000005</v>
      </c>
      <c r="G66" s="670"/>
      <c r="H66" s="675">
        <f t="shared" si="5"/>
        <v>21093352.460000005</v>
      </c>
    </row>
    <row r="67" spans="1:8">
      <c r="A67" s="550">
        <v>30</v>
      </c>
      <c r="B67" s="536" t="s">
        <v>103</v>
      </c>
      <c r="C67" s="670">
        <v>4209877770.0164165</v>
      </c>
      <c r="D67" s="670"/>
      <c r="E67" s="531">
        <f t="shared" si="4"/>
        <v>4209877770.0164165</v>
      </c>
      <c r="F67" s="670">
        <f>3518625458.49512-3232000-528234</f>
        <v>3514865224.49512</v>
      </c>
      <c r="G67" s="670"/>
      <c r="H67" s="675">
        <f t="shared" si="5"/>
        <v>3514865224.49512</v>
      </c>
    </row>
    <row r="68" spans="1:8">
      <c r="A68" s="550">
        <v>31</v>
      </c>
      <c r="B68" s="549" t="s">
        <v>773</v>
      </c>
      <c r="C68" s="670">
        <f>SUM(C55,C56,C57,C58,C59,C62,C63,C67)</f>
        <v>4423538025.5426941</v>
      </c>
      <c r="D68" s="670">
        <f>SUM(D55,D56,D57,D58,D59,D62,D63,D67)</f>
        <v>0</v>
      </c>
      <c r="E68" s="531">
        <f t="shared" si="4"/>
        <v>4423538025.5426941</v>
      </c>
      <c r="F68" s="670">
        <f>SUM(F55,F56,F57,F58,F59,F62,F63,F67)</f>
        <v>3756170277.0574617</v>
      </c>
      <c r="G68" s="670">
        <f>SUM(G55,G56,G57,G58,G59,G62,G63,G67)</f>
        <v>0</v>
      </c>
      <c r="H68" s="675">
        <f t="shared" si="5"/>
        <v>3756170277.0574617</v>
      </c>
    </row>
    <row r="69" spans="1:8" ht="15.75" thickBot="1">
      <c r="A69" s="551">
        <v>32</v>
      </c>
      <c r="B69" s="552" t="s">
        <v>774</v>
      </c>
      <c r="C69" s="673">
        <f>SUM(C53,C68)</f>
        <v>16835153679.88685</v>
      </c>
      <c r="D69" s="673">
        <f>SUM(D53,D68)</f>
        <v>13421484931.364601</v>
      </c>
      <c r="E69" s="553">
        <f t="shared" si="4"/>
        <v>30256638611.25145</v>
      </c>
      <c r="F69" s="673">
        <f>SUM(F53,F68)</f>
        <v>14007911919.068687</v>
      </c>
      <c r="G69" s="673">
        <f>SUM(G53,G68)</f>
        <v>13133295647.755699</v>
      </c>
      <c r="H69" s="712">
        <f>F69+G69</f>
        <v>27141207566.824387</v>
      </c>
    </row>
    <row r="70" spans="1:8">
      <c r="E70" s="477">
        <f>E36-E69</f>
        <v>1.7963409423828125E-2</v>
      </c>
      <c r="H70" s="477">
        <f>H36-H69</f>
        <v>0</v>
      </c>
    </row>
  </sheetData>
  <mergeCells count="7">
    <mergeCell ref="C37:H37"/>
    <mergeCell ref="C54:H54"/>
    <mergeCell ref="A4:A6"/>
    <mergeCell ref="B4:B5"/>
    <mergeCell ref="C4:E4"/>
    <mergeCell ref="F4:H4"/>
    <mergeCell ref="C6:H6"/>
  </mergeCells>
  <pageMargins left="0.7" right="0.7" top="0.75" bottom="0.75" header="0.3" footer="0.3"/>
  <pageSetup paperSize="9" scale="4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Normal="100" workbookViewId="0">
      <selection sqref="A1:C1"/>
    </sheetView>
  </sheetViews>
  <sheetFormatPr defaultColWidth="43.5703125" defaultRowHeight="11.25"/>
  <cols>
    <col min="1" max="1" width="8" style="125" customWidth="1"/>
    <col min="2" max="2" width="66.140625" style="126" customWidth="1"/>
    <col min="3" max="3" width="131.42578125" style="127" customWidth="1"/>
    <col min="4" max="5" width="10.28515625" style="118" customWidth="1"/>
    <col min="6" max="6" width="67.5703125" style="118" customWidth="1"/>
    <col min="7" max="16384" width="43.5703125" style="118"/>
  </cols>
  <sheetData>
    <row r="1" spans="1:3" ht="12.75" thickTop="1" thickBot="1">
      <c r="A1" s="977" t="s">
        <v>186</v>
      </c>
      <c r="B1" s="978"/>
      <c r="C1" s="979"/>
    </row>
    <row r="2" spans="1:3" ht="26.25" customHeight="1">
      <c r="A2" s="321"/>
      <c r="B2" s="980" t="s">
        <v>187</v>
      </c>
      <c r="C2" s="980"/>
    </row>
    <row r="3" spans="1:3" s="123" customFormat="1" ht="11.25" customHeight="1">
      <c r="A3" s="122"/>
      <c r="B3" s="980" t="s">
        <v>262</v>
      </c>
      <c r="C3" s="980"/>
    </row>
    <row r="4" spans="1:3" ht="12" customHeight="1" thickBot="1">
      <c r="A4" s="959" t="s">
        <v>266</v>
      </c>
      <c r="B4" s="960"/>
      <c r="C4" s="961"/>
    </row>
    <row r="5" spans="1:3" ht="12" thickTop="1">
      <c r="A5" s="119"/>
      <c r="B5" s="962" t="s">
        <v>188</v>
      </c>
      <c r="C5" s="963"/>
    </row>
    <row r="6" spans="1:3">
      <c r="A6" s="321"/>
      <c r="B6" s="939" t="s">
        <v>263</v>
      </c>
      <c r="C6" s="940"/>
    </row>
    <row r="7" spans="1:3">
      <c r="A7" s="321"/>
      <c r="B7" s="939" t="s">
        <v>189</v>
      </c>
      <c r="C7" s="940"/>
    </row>
    <row r="8" spans="1:3">
      <c r="A8" s="321"/>
      <c r="B8" s="939" t="s">
        <v>264</v>
      </c>
      <c r="C8" s="940"/>
    </row>
    <row r="9" spans="1:3">
      <c r="A9" s="321"/>
      <c r="B9" s="983" t="s">
        <v>265</v>
      </c>
      <c r="C9" s="984"/>
    </row>
    <row r="10" spans="1:3">
      <c r="A10" s="321"/>
      <c r="B10" s="975" t="s">
        <v>190</v>
      </c>
      <c r="C10" s="976" t="s">
        <v>190</v>
      </c>
    </row>
    <row r="11" spans="1:3">
      <c r="A11" s="321"/>
      <c r="B11" s="975" t="s">
        <v>191</v>
      </c>
      <c r="C11" s="976" t="s">
        <v>191</v>
      </c>
    </row>
    <row r="12" spans="1:3">
      <c r="A12" s="321"/>
      <c r="B12" s="975" t="s">
        <v>192</v>
      </c>
      <c r="C12" s="976" t="s">
        <v>192</v>
      </c>
    </row>
    <row r="13" spans="1:3">
      <c r="A13" s="321"/>
      <c r="B13" s="975" t="s">
        <v>193</v>
      </c>
      <c r="C13" s="976" t="s">
        <v>193</v>
      </c>
    </row>
    <row r="14" spans="1:3">
      <c r="A14" s="321"/>
      <c r="B14" s="975" t="s">
        <v>194</v>
      </c>
      <c r="C14" s="976" t="s">
        <v>194</v>
      </c>
    </row>
    <row r="15" spans="1:3" ht="21.75" customHeight="1">
      <c r="A15" s="321"/>
      <c r="B15" s="975" t="s">
        <v>195</v>
      </c>
      <c r="C15" s="976" t="s">
        <v>195</v>
      </c>
    </row>
    <row r="16" spans="1:3">
      <c r="A16" s="321"/>
      <c r="B16" s="975" t="s">
        <v>196</v>
      </c>
      <c r="C16" s="976" t="s">
        <v>197</v>
      </c>
    </row>
    <row r="17" spans="1:6">
      <c r="A17" s="321"/>
      <c r="B17" s="975" t="s">
        <v>198</v>
      </c>
      <c r="C17" s="976" t="s">
        <v>199</v>
      </c>
    </row>
    <row r="18" spans="1:6">
      <c r="A18" s="321"/>
      <c r="B18" s="975" t="s">
        <v>200</v>
      </c>
      <c r="C18" s="976" t="s">
        <v>201</v>
      </c>
    </row>
    <row r="19" spans="1:6">
      <c r="A19" s="321"/>
      <c r="B19" s="975" t="s">
        <v>202</v>
      </c>
      <c r="C19" s="976" t="s">
        <v>202</v>
      </c>
    </row>
    <row r="20" spans="1:6">
      <c r="A20" s="321"/>
      <c r="B20" s="981" t="s">
        <v>955</v>
      </c>
      <c r="C20" s="982" t="s">
        <v>203</v>
      </c>
    </row>
    <row r="21" spans="1:6">
      <c r="A21" s="321"/>
      <c r="B21" s="975" t="s">
        <v>944</v>
      </c>
      <c r="C21" s="976" t="s">
        <v>204</v>
      </c>
    </row>
    <row r="22" spans="1:6" ht="23.25" customHeight="1">
      <c r="A22" s="321"/>
      <c r="B22" s="975" t="s">
        <v>205</v>
      </c>
      <c r="C22" s="976" t="s">
        <v>206</v>
      </c>
      <c r="F22" s="474"/>
    </row>
    <row r="23" spans="1:6">
      <c r="A23" s="321"/>
      <c r="B23" s="975" t="s">
        <v>207</v>
      </c>
      <c r="C23" s="976" t="s">
        <v>207</v>
      </c>
    </row>
    <row r="24" spans="1:6">
      <c r="A24" s="321"/>
      <c r="B24" s="975" t="s">
        <v>208</v>
      </c>
      <c r="C24" s="976" t="s">
        <v>209</v>
      </c>
    </row>
    <row r="25" spans="1:6" ht="12" thickBot="1">
      <c r="A25" s="120"/>
      <c r="B25" s="969" t="s">
        <v>210</v>
      </c>
      <c r="C25" s="970"/>
    </row>
    <row r="26" spans="1:6" ht="12.75" thickTop="1" thickBot="1">
      <c r="A26" s="959" t="s">
        <v>843</v>
      </c>
      <c r="B26" s="960"/>
      <c r="C26" s="961"/>
    </row>
    <row r="27" spans="1:6" ht="12.75" thickTop="1" thickBot="1">
      <c r="A27" s="121"/>
      <c r="B27" s="971" t="s">
        <v>844</v>
      </c>
      <c r="C27" s="972"/>
    </row>
    <row r="28" spans="1:6" ht="12.75" thickTop="1" thickBot="1">
      <c r="A28" s="959" t="s">
        <v>267</v>
      </c>
      <c r="B28" s="960"/>
      <c r="C28" s="961"/>
    </row>
    <row r="29" spans="1:6" ht="12" thickTop="1">
      <c r="A29" s="119"/>
      <c r="B29" s="973" t="s">
        <v>847</v>
      </c>
      <c r="C29" s="974" t="s">
        <v>211</v>
      </c>
    </row>
    <row r="30" spans="1:6">
      <c r="A30" s="321"/>
      <c r="B30" s="964" t="s">
        <v>215</v>
      </c>
      <c r="C30" s="965" t="s">
        <v>212</v>
      </c>
    </row>
    <row r="31" spans="1:6">
      <c r="A31" s="321"/>
      <c r="B31" s="964" t="s">
        <v>845</v>
      </c>
      <c r="C31" s="965" t="s">
        <v>213</v>
      </c>
    </row>
    <row r="32" spans="1:6">
      <c r="A32" s="321"/>
      <c r="B32" s="964" t="s">
        <v>846</v>
      </c>
      <c r="C32" s="965" t="s">
        <v>214</v>
      </c>
    </row>
    <row r="33" spans="1:3">
      <c r="A33" s="321"/>
      <c r="B33" s="964" t="s">
        <v>218</v>
      </c>
      <c r="C33" s="965" t="s">
        <v>219</v>
      </c>
    </row>
    <row r="34" spans="1:3">
      <c r="A34" s="321"/>
      <c r="B34" s="964" t="s">
        <v>848</v>
      </c>
      <c r="C34" s="965" t="s">
        <v>216</v>
      </c>
    </row>
    <row r="35" spans="1:3">
      <c r="A35" s="321"/>
      <c r="B35" s="964" t="s">
        <v>849</v>
      </c>
      <c r="C35" s="965" t="s">
        <v>217</v>
      </c>
    </row>
    <row r="36" spans="1:3">
      <c r="A36" s="321"/>
      <c r="B36" s="966" t="s">
        <v>850</v>
      </c>
      <c r="C36" s="967"/>
    </row>
    <row r="37" spans="1:3" ht="24.75" customHeight="1">
      <c r="A37" s="321"/>
      <c r="B37" s="964" t="s">
        <v>851</v>
      </c>
      <c r="C37" s="965" t="s">
        <v>220</v>
      </c>
    </row>
    <row r="38" spans="1:3" ht="23.25" customHeight="1">
      <c r="A38" s="321"/>
      <c r="B38" s="964" t="s">
        <v>852</v>
      </c>
      <c r="C38" s="965" t="s">
        <v>221</v>
      </c>
    </row>
    <row r="39" spans="1:3" ht="23.25" customHeight="1">
      <c r="A39" s="334"/>
      <c r="B39" s="966" t="s">
        <v>853</v>
      </c>
      <c r="C39" s="968"/>
    </row>
    <row r="40" spans="1:3" ht="12" customHeight="1">
      <c r="A40" s="321"/>
      <c r="B40" s="964" t="s">
        <v>854</v>
      </c>
      <c r="C40" s="965"/>
    </row>
    <row r="41" spans="1:3" ht="12" thickBot="1">
      <c r="A41" s="959" t="s">
        <v>268</v>
      </c>
      <c r="B41" s="960"/>
      <c r="C41" s="961"/>
    </row>
    <row r="42" spans="1:3" ht="12" thickTop="1">
      <c r="A42" s="119"/>
      <c r="B42" s="962" t="s">
        <v>298</v>
      </c>
      <c r="C42" s="963" t="s">
        <v>222</v>
      </c>
    </row>
    <row r="43" spans="1:3">
      <c r="A43" s="321"/>
      <c r="B43" s="939" t="s">
        <v>297</v>
      </c>
      <c r="C43" s="940"/>
    </row>
    <row r="44" spans="1:3" ht="23.25" customHeight="1" thickBot="1">
      <c r="A44" s="120"/>
      <c r="B44" s="957" t="s">
        <v>223</v>
      </c>
      <c r="C44" s="958" t="s">
        <v>224</v>
      </c>
    </row>
    <row r="45" spans="1:3" ht="11.25" customHeight="1" thickTop="1" thickBot="1">
      <c r="A45" s="959" t="s">
        <v>269</v>
      </c>
      <c r="B45" s="960"/>
      <c r="C45" s="961"/>
    </row>
    <row r="46" spans="1:3" ht="26.25" customHeight="1" thickTop="1">
      <c r="A46" s="321"/>
      <c r="B46" s="939" t="s">
        <v>270</v>
      </c>
      <c r="C46" s="940"/>
    </row>
    <row r="47" spans="1:3" ht="12" thickBot="1">
      <c r="A47" s="959" t="s">
        <v>271</v>
      </c>
      <c r="B47" s="960"/>
      <c r="C47" s="961"/>
    </row>
    <row r="48" spans="1:3" ht="12" thickTop="1">
      <c r="A48" s="119"/>
      <c r="B48" s="962" t="s">
        <v>225</v>
      </c>
      <c r="C48" s="963" t="s">
        <v>225</v>
      </c>
    </row>
    <row r="49" spans="1:3" ht="11.25" customHeight="1">
      <c r="A49" s="321"/>
      <c r="B49" s="939" t="s">
        <v>226</v>
      </c>
      <c r="C49" s="940" t="s">
        <v>226</v>
      </c>
    </row>
    <row r="50" spans="1:3">
      <c r="A50" s="321"/>
      <c r="B50" s="939" t="s">
        <v>227</v>
      </c>
      <c r="C50" s="940" t="s">
        <v>227</v>
      </c>
    </row>
    <row r="51" spans="1:3" ht="11.25" customHeight="1">
      <c r="A51" s="321"/>
      <c r="B51" s="939" t="s">
        <v>856</v>
      </c>
      <c r="C51" s="940" t="s">
        <v>228</v>
      </c>
    </row>
    <row r="52" spans="1:3" ht="33.6" customHeight="1">
      <c r="A52" s="321"/>
      <c r="B52" s="939" t="s">
        <v>229</v>
      </c>
      <c r="C52" s="940" t="s">
        <v>229</v>
      </c>
    </row>
    <row r="53" spans="1:3" ht="11.25" customHeight="1">
      <c r="A53" s="321"/>
      <c r="B53" s="939" t="s">
        <v>318</v>
      </c>
      <c r="C53" s="940" t="s">
        <v>230</v>
      </c>
    </row>
    <row r="54" spans="1:3" ht="11.25" customHeight="1" thickBot="1">
      <c r="A54" s="959" t="s">
        <v>272</v>
      </c>
      <c r="B54" s="960"/>
      <c r="C54" s="961"/>
    </row>
    <row r="55" spans="1:3" ht="12" thickTop="1">
      <c r="A55" s="119"/>
      <c r="B55" s="962" t="s">
        <v>225</v>
      </c>
      <c r="C55" s="963" t="s">
        <v>225</v>
      </c>
    </row>
    <row r="56" spans="1:3">
      <c r="A56" s="321"/>
      <c r="B56" s="939" t="s">
        <v>231</v>
      </c>
      <c r="C56" s="940" t="s">
        <v>231</v>
      </c>
    </row>
    <row r="57" spans="1:3">
      <c r="A57" s="321"/>
      <c r="B57" s="939" t="s">
        <v>275</v>
      </c>
      <c r="C57" s="940" t="s">
        <v>232</v>
      </c>
    </row>
    <row r="58" spans="1:3">
      <c r="A58" s="321"/>
      <c r="B58" s="939" t="s">
        <v>233</v>
      </c>
      <c r="C58" s="940" t="s">
        <v>233</v>
      </c>
    </row>
    <row r="59" spans="1:3">
      <c r="A59" s="321"/>
      <c r="B59" s="939" t="s">
        <v>234</v>
      </c>
      <c r="C59" s="940" t="s">
        <v>234</v>
      </c>
    </row>
    <row r="60" spans="1:3">
      <c r="A60" s="321"/>
      <c r="B60" s="939" t="s">
        <v>235</v>
      </c>
      <c r="C60" s="940" t="s">
        <v>235</v>
      </c>
    </row>
    <row r="61" spans="1:3">
      <c r="A61" s="321"/>
      <c r="B61" s="939" t="s">
        <v>276</v>
      </c>
      <c r="C61" s="940" t="s">
        <v>236</v>
      </c>
    </row>
    <row r="62" spans="1:3">
      <c r="A62" s="321"/>
      <c r="B62" s="939" t="s">
        <v>237</v>
      </c>
      <c r="C62" s="940" t="s">
        <v>237</v>
      </c>
    </row>
    <row r="63" spans="1:3" ht="12" thickBot="1">
      <c r="A63" s="120"/>
      <c r="B63" s="957" t="s">
        <v>238</v>
      </c>
      <c r="C63" s="958" t="s">
        <v>238</v>
      </c>
    </row>
    <row r="64" spans="1:3" ht="11.25" customHeight="1" thickTop="1">
      <c r="A64" s="945" t="s">
        <v>273</v>
      </c>
      <c r="B64" s="946"/>
      <c r="C64" s="947"/>
    </row>
    <row r="65" spans="1:3" ht="12" thickBot="1">
      <c r="A65" s="120"/>
      <c r="B65" s="957" t="s">
        <v>239</v>
      </c>
      <c r="C65" s="958" t="s">
        <v>239</v>
      </c>
    </row>
    <row r="66" spans="1:3" ht="11.25" customHeight="1" thickTop="1" thickBot="1">
      <c r="A66" s="959" t="s">
        <v>274</v>
      </c>
      <c r="B66" s="960"/>
      <c r="C66" s="961"/>
    </row>
    <row r="67" spans="1:3" ht="12" thickTop="1">
      <c r="A67" s="119"/>
      <c r="B67" s="962" t="s">
        <v>240</v>
      </c>
      <c r="C67" s="963" t="s">
        <v>240</v>
      </c>
    </row>
    <row r="68" spans="1:3">
      <c r="A68" s="321"/>
      <c r="B68" s="939" t="s">
        <v>858</v>
      </c>
      <c r="C68" s="940" t="s">
        <v>241</v>
      </c>
    </row>
    <row r="69" spans="1:3">
      <c r="A69" s="321"/>
      <c r="B69" s="939" t="s">
        <v>242</v>
      </c>
      <c r="C69" s="940" t="s">
        <v>242</v>
      </c>
    </row>
    <row r="70" spans="1:3" ht="54.95" customHeight="1">
      <c r="A70" s="321"/>
      <c r="B70" s="955" t="s">
        <v>687</v>
      </c>
      <c r="C70" s="956" t="s">
        <v>243</v>
      </c>
    </row>
    <row r="71" spans="1:3" ht="33.75" customHeight="1">
      <c r="A71" s="321"/>
      <c r="B71" s="955" t="s">
        <v>277</v>
      </c>
      <c r="C71" s="956" t="s">
        <v>244</v>
      </c>
    </row>
    <row r="72" spans="1:3" ht="15.75" customHeight="1">
      <c r="A72" s="321"/>
      <c r="B72" s="955" t="s">
        <v>859</v>
      </c>
      <c r="C72" s="956" t="s">
        <v>245</v>
      </c>
    </row>
    <row r="73" spans="1:3">
      <c r="A73" s="321"/>
      <c r="B73" s="939" t="s">
        <v>246</v>
      </c>
      <c r="C73" s="940" t="s">
        <v>246</v>
      </c>
    </row>
    <row r="74" spans="1:3" ht="12" thickBot="1">
      <c r="A74" s="120"/>
      <c r="B74" s="957" t="s">
        <v>247</v>
      </c>
      <c r="C74" s="958" t="s">
        <v>247</v>
      </c>
    </row>
    <row r="75" spans="1:3" ht="12" thickTop="1">
      <c r="A75" s="945" t="s">
        <v>301</v>
      </c>
      <c r="B75" s="946"/>
      <c r="C75" s="947"/>
    </row>
    <row r="76" spans="1:3">
      <c r="A76" s="321"/>
      <c r="B76" s="939" t="s">
        <v>239</v>
      </c>
      <c r="C76" s="940"/>
    </row>
    <row r="77" spans="1:3">
      <c r="A77" s="321"/>
      <c r="B77" s="939" t="s">
        <v>299</v>
      </c>
      <c r="C77" s="940"/>
    </row>
    <row r="78" spans="1:3">
      <c r="A78" s="321"/>
      <c r="B78" s="939" t="s">
        <v>300</v>
      </c>
      <c r="C78" s="940"/>
    </row>
    <row r="79" spans="1:3">
      <c r="A79" s="945" t="s">
        <v>302</v>
      </c>
      <c r="B79" s="946"/>
      <c r="C79" s="947"/>
    </row>
    <row r="80" spans="1:3">
      <c r="A80" s="321"/>
      <c r="B80" s="939" t="s">
        <v>239</v>
      </c>
      <c r="C80" s="940"/>
    </row>
    <row r="81" spans="1:3">
      <c r="A81" s="321"/>
      <c r="B81" s="939" t="s">
        <v>303</v>
      </c>
      <c r="C81" s="940"/>
    </row>
    <row r="82" spans="1:3" ht="79.5" customHeight="1">
      <c r="A82" s="321"/>
      <c r="B82" s="939" t="s">
        <v>317</v>
      </c>
      <c r="C82" s="940"/>
    </row>
    <row r="83" spans="1:3" ht="53.25" customHeight="1">
      <c r="A83" s="321"/>
      <c r="B83" s="939" t="s">
        <v>316</v>
      </c>
      <c r="C83" s="940"/>
    </row>
    <row r="84" spans="1:3">
      <c r="A84" s="321"/>
      <c r="B84" s="939" t="s">
        <v>304</v>
      </c>
      <c r="C84" s="940"/>
    </row>
    <row r="85" spans="1:3">
      <c r="A85" s="321"/>
      <c r="B85" s="939" t="s">
        <v>305</v>
      </c>
      <c r="C85" s="940"/>
    </row>
    <row r="86" spans="1:3">
      <c r="A86" s="321"/>
      <c r="B86" s="939" t="s">
        <v>306</v>
      </c>
      <c r="C86" s="940"/>
    </row>
    <row r="87" spans="1:3">
      <c r="A87" s="945" t="s">
        <v>307</v>
      </c>
      <c r="B87" s="946"/>
      <c r="C87" s="947"/>
    </row>
    <row r="88" spans="1:3">
      <c r="A88" s="321"/>
      <c r="B88" s="939" t="s">
        <v>239</v>
      </c>
      <c r="C88" s="940"/>
    </row>
    <row r="89" spans="1:3">
      <c r="A89" s="321"/>
      <c r="B89" s="939" t="s">
        <v>309</v>
      </c>
      <c r="C89" s="940"/>
    </row>
    <row r="90" spans="1:3" ht="12" customHeight="1">
      <c r="A90" s="321"/>
      <c r="B90" s="939" t="s">
        <v>310</v>
      </c>
      <c r="C90" s="940"/>
    </row>
    <row r="91" spans="1:3">
      <c r="A91" s="321"/>
      <c r="B91" s="939" t="s">
        <v>311</v>
      </c>
      <c r="C91" s="940"/>
    </row>
    <row r="92" spans="1:3" ht="24.75" customHeight="1">
      <c r="A92" s="321"/>
      <c r="B92" s="948" t="s">
        <v>347</v>
      </c>
      <c r="C92" s="949"/>
    </row>
    <row r="93" spans="1:3" ht="24" customHeight="1">
      <c r="A93" s="321"/>
      <c r="B93" s="948" t="s">
        <v>348</v>
      </c>
      <c r="C93" s="949"/>
    </row>
    <row r="94" spans="1:3" ht="13.5" customHeight="1">
      <c r="A94" s="321"/>
      <c r="B94" s="950" t="s">
        <v>312</v>
      </c>
      <c r="C94" s="951"/>
    </row>
    <row r="95" spans="1:3" ht="11.25" customHeight="1" thickBot="1">
      <c r="A95" s="952" t="s">
        <v>343</v>
      </c>
      <c r="B95" s="953"/>
      <c r="C95" s="954"/>
    </row>
    <row r="96" spans="1:3" ht="12.75" thickTop="1" thickBot="1">
      <c r="A96" s="944" t="s">
        <v>248</v>
      </c>
      <c r="B96" s="944"/>
      <c r="C96" s="944"/>
    </row>
    <row r="97" spans="1:3">
      <c r="A97" s="189">
        <v>2</v>
      </c>
      <c r="B97" s="308" t="s">
        <v>323</v>
      </c>
      <c r="C97" s="308" t="s">
        <v>344</v>
      </c>
    </row>
    <row r="98" spans="1:3">
      <c r="A98" s="124">
        <v>3</v>
      </c>
      <c r="B98" s="309" t="s">
        <v>324</v>
      </c>
      <c r="C98" s="310" t="s">
        <v>345</v>
      </c>
    </row>
    <row r="99" spans="1:3">
      <c r="A99" s="124">
        <v>4</v>
      </c>
      <c r="B99" s="309" t="s">
        <v>325</v>
      </c>
      <c r="C99" s="310" t="s">
        <v>349</v>
      </c>
    </row>
    <row r="100" spans="1:3" ht="11.25" customHeight="1">
      <c r="A100" s="124">
        <v>5</v>
      </c>
      <c r="B100" s="309" t="s">
        <v>326</v>
      </c>
      <c r="C100" s="310" t="s">
        <v>346</v>
      </c>
    </row>
    <row r="101" spans="1:3" ht="12" customHeight="1">
      <c r="A101" s="124">
        <v>6</v>
      </c>
      <c r="B101" s="309" t="s">
        <v>341</v>
      </c>
      <c r="C101" s="310" t="s">
        <v>327</v>
      </c>
    </row>
    <row r="102" spans="1:3" ht="12" customHeight="1">
      <c r="A102" s="124">
        <v>7</v>
      </c>
      <c r="B102" s="309" t="s">
        <v>328</v>
      </c>
      <c r="C102" s="310" t="s">
        <v>342</v>
      </c>
    </row>
    <row r="103" spans="1:3">
      <c r="A103" s="124">
        <v>8</v>
      </c>
      <c r="B103" s="309" t="s">
        <v>333</v>
      </c>
      <c r="C103" s="310" t="s">
        <v>353</v>
      </c>
    </row>
    <row r="104" spans="1:3" ht="11.25" customHeight="1">
      <c r="A104" s="945" t="s">
        <v>313</v>
      </c>
      <c r="B104" s="946"/>
      <c r="C104" s="947"/>
    </row>
    <row r="105" spans="1:3" ht="12" customHeight="1">
      <c r="A105" s="321"/>
      <c r="B105" s="939" t="s">
        <v>239</v>
      </c>
      <c r="C105" s="940"/>
    </row>
    <row r="106" spans="1:3">
      <c r="A106" s="945" t="s">
        <v>488</v>
      </c>
      <c r="B106" s="946"/>
      <c r="C106" s="947"/>
    </row>
    <row r="107" spans="1:3" ht="12" customHeight="1">
      <c r="A107" s="321"/>
      <c r="B107" s="939" t="s">
        <v>490</v>
      </c>
      <c r="C107" s="940"/>
    </row>
    <row r="108" spans="1:3">
      <c r="A108" s="321"/>
      <c r="B108" s="939" t="s">
        <v>491</v>
      </c>
      <c r="C108" s="940"/>
    </row>
    <row r="109" spans="1:3">
      <c r="A109" s="321"/>
      <c r="B109" s="939" t="s">
        <v>489</v>
      </c>
      <c r="C109" s="940"/>
    </row>
    <row r="110" spans="1:3">
      <c r="A110" s="936" t="s">
        <v>723</v>
      </c>
      <c r="B110" s="936"/>
      <c r="C110" s="936"/>
    </row>
    <row r="111" spans="1:3">
      <c r="A111" s="941" t="s">
        <v>186</v>
      </c>
      <c r="B111" s="941"/>
      <c r="C111" s="941"/>
    </row>
    <row r="112" spans="1:3">
      <c r="A112" s="457">
        <v>1</v>
      </c>
      <c r="B112" s="926" t="s">
        <v>606</v>
      </c>
      <c r="C112" s="927"/>
    </row>
    <row r="113" spans="1:3">
      <c r="A113" s="457">
        <v>2</v>
      </c>
      <c r="B113" s="942" t="s">
        <v>607</v>
      </c>
      <c r="C113" s="943"/>
    </row>
    <row r="114" spans="1:3">
      <c r="A114" s="457">
        <v>3</v>
      </c>
      <c r="B114" s="926" t="s">
        <v>932</v>
      </c>
      <c r="C114" s="927"/>
    </row>
    <row r="115" spans="1:3">
      <c r="A115" s="457">
        <v>4</v>
      </c>
      <c r="B115" s="926" t="s">
        <v>931</v>
      </c>
      <c r="C115" s="927"/>
    </row>
    <row r="116" spans="1:3">
      <c r="A116" s="457">
        <v>5</v>
      </c>
      <c r="B116" s="461" t="s">
        <v>930</v>
      </c>
      <c r="C116" s="460"/>
    </row>
    <row r="117" spans="1:3">
      <c r="A117" s="457">
        <v>6</v>
      </c>
      <c r="B117" s="926" t="s">
        <v>942</v>
      </c>
      <c r="C117" s="927"/>
    </row>
    <row r="118" spans="1:3" ht="48.6" customHeight="1">
      <c r="A118" s="457">
        <v>7</v>
      </c>
      <c r="B118" s="926" t="s">
        <v>943</v>
      </c>
      <c r="C118" s="927"/>
    </row>
    <row r="119" spans="1:3">
      <c r="A119" s="431">
        <v>8</v>
      </c>
      <c r="B119" s="428" t="s">
        <v>633</v>
      </c>
      <c r="C119" s="454" t="s">
        <v>929</v>
      </c>
    </row>
    <row r="120" spans="1:3" ht="22.5">
      <c r="A120" s="457">
        <v>9.01</v>
      </c>
      <c r="B120" s="428" t="s">
        <v>517</v>
      </c>
      <c r="C120" s="441" t="s">
        <v>682</v>
      </c>
    </row>
    <row r="121" spans="1:3" ht="33.75">
      <c r="A121" s="457">
        <v>9.02</v>
      </c>
      <c r="B121" s="428" t="s">
        <v>518</v>
      </c>
      <c r="C121" s="441" t="s">
        <v>685</v>
      </c>
    </row>
    <row r="122" spans="1:3">
      <c r="A122" s="457">
        <v>9.0299999999999994</v>
      </c>
      <c r="B122" s="444" t="s">
        <v>867</v>
      </c>
      <c r="C122" s="444" t="s">
        <v>608</v>
      </c>
    </row>
    <row r="123" spans="1:3">
      <c r="A123" s="457">
        <v>9.0399999999999991</v>
      </c>
      <c r="B123" s="428" t="s">
        <v>519</v>
      </c>
      <c r="C123" s="444" t="s">
        <v>609</v>
      </c>
    </row>
    <row r="124" spans="1:3">
      <c r="A124" s="457">
        <v>9.0500000000000007</v>
      </c>
      <c r="B124" s="428" t="s">
        <v>520</v>
      </c>
      <c r="C124" s="444" t="s">
        <v>610</v>
      </c>
    </row>
    <row r="125" spans="1:3" ht="22.5">
      <c r="A125" s="457">
        <v>9.06</v>
      </c>
      <c r="B125" s="428" t="s">
        <v>521</v>
      </c>
      <c r="C125" s="444" t="s">
        <v>611</v>
      </c>
    </row>
    <row r="126" spans="1:3">
      <c r="A126" s="457">
        <v>9.07</v>
      </c>
      <c r="B126" s="459" t="s">
        <v>522</v>
      </c>
      <c r="C126" s="444" t="s">
        <v>612</v>
      </c>
    </row>
    <row r="127" spans="1:3" ht="22.5">
      <c r="A127" s="457">
        <v>9.08</v>
      </c>
      <c r="B127" s="428" t="s">
        <v>523</v>
      </c>
      <c r="C127" s="444" t="s">
        <v>613</v>
      </c>
    </row>
    <row r="128" spans="1:3" ht="22.5">
      <c r="A128" s="457">
        <v>9.09</v>
      </c>
      <c r="B128" s="428" t="s">
        <v>524</v>
      </c>
      <c r="C128" s="444" t="s">
        <v>614</v>
      </c>
    </row>
    <row r="129" spans="1:3">
      <c r="A129" s="458">
        <v>9.1</v>
      </c>
      <c r="B129" s="428" t="s">
        <v>525</v>
      </c>
      <c r="C129" s="444" t="s">
        <v>615</v>
      </c>
    </row>
    <row r="130" spans="1:3">
      <c r="A130" s="457">
        <v>9.11</v>
      </c>
      <c r="B130" s="428" t="s">
        <v>526</v>
      </c>
      <c r="C130" s="444" t="s">
        <v>616</v>
      </c>
    </row>
    <row r="131" spans="1:3">
      <c r="A131" s="457">
        <v>9.1199999999999992</v>
      </c>
      <c r="B131" s="428" t="s">
        <v>527</v>
      </c>
      <c r="C131" s="444" t="s">
        <v>617</v>
      </c>
    </row>
    <row r="132" spans="1:3">
      <c r="A132" s="457">
        <v>9.1300000000000008</v>
      </c>
      <c r="B132" s="428" t="s">
        <v>528</v>
      </c>
      <c r="C132" s="444" t="s">
        <v>618</v>
      </c>
    </row>
    <row r="133" spans="1:3">
      <c r="A133" s="457">
        <v>9.14</v>
      </c>
      <c r="B133" s="428" t="s">
        <v>529</v>
      </c>
      <c r="C133" s="444" t="s">
        <v>619</v>
      </c>
    </row>
    <row r="134" spans="1:3">
      <c r="A134" s="457">
        <v>9.15</v>
      </c>
      <c r="B134" s="428" t="s">
        <v>530</v>
      </c>
      <c r="C134" s="444" t="s">
        <v>620</v>
      </c>
    </row>
    <row r="135" spans="1:3" ht="22.5">
      <c r="A135" s="457">
        <v>9.16</v>
      </c>
      <c r="B135" s="428" t="s">
        <v>531</v>
      </c>
      <c r="C135" s="444" t="s">
        <v>621</v>
      </c>
    </row>
    <row r="136" spans="1:3">
      <c r="A136" s="457">
        <v>9.17</v>
      </c>
      <c r="B136" s="444" t="s">
        <v>532</v>
      </c>
      <c r="C136" s="444" t="s">
        <v>622</v>
      </c>
    </row>
    <row r="137" spans="1:3" ht="22.5">
      <c r="A137" s="457">
        <v>9.18</v>
      </c>
      <c r="B137" s="428" t="s">
        <v>533</v>
      </c>
      <c r="C137" s="444" t="s">
        <v>623</v>
      </c>
    </row>
    <row r="138" spans="1:3">
      <c r="A138" s="457">
        <v>9.19</v>
      </c>
      <c r="B138" s="428" t="s">
        <v>534</v>
      </c>
      <c r="C138" s="444" t="s">
        <v>624</v>
      </c>
    </row>
    <row r="139" spans="1:3">
      <c r="A139" s="458">
        <v>9.1999999999999993</v>
      </c>
      <c r="B139" s="428" t="s">
        <v>535</v>
      </c>
      <c r="C139" s="444" t="s">
        <v>625</v>
      </c>
    </row>
    <row r="140" spans="1:3">
      <c r="A140" s="457">
        <v>9.2100000000000009</v>
      </c>
      <c r="B140" s="428" t="s">
        <v>536</v>
      </c>
      <c r="C140" s="444" t="s">
        <v>626</v>
      </c>
    </row>
    <row r="141" spans="1:3">
      <c r="A141" s="457">
        <v>9.2200000000000006</v>
      </c>
      <c r="B141" s="428" t="s">
        <v>537</v>
      </c>
      <c r="C141" s="444" t="s">
        <v>627</v>
      </c>
    </row>
    <row r="142" spans="1:3" ht="22.5">
      <c r="A142" s="457">
        <v>9.23</v>
      </c>
      <c r="B142" s="428" t="s">
        <v>538</v>
      </c>
      <c r="C142" s="444" t="s">
        <v>628</v>
      </c>
    </row>
    <row r="143" spans="1:3" ht="22.5">
      <c r="A143" s="457">
        <v>9.24</v>
      </c>
      <c r="B143" s="428" t="s">
        <v>539</v>
      </c>
      <c r="C143" s="444" t="s">
        <v>629</v>
      </c>
    </row>
    <row r="144" spans="1:3">
      <c r="A144" s="457">
        <v>9.2500000000000107</v>
      </c>
      <c r="B144" s="428" t="s">
        <v>540</v>
      </c>
      <c r="C144" s="444" t="s">
        <v>630</v>
      </c>
    </row>
    <row r="145" spans="1:3" ht="22.5">
      <c r="A145" s="457">
        <v>9.2600000000000193</v>
      </c>
      <c r="B145" s="428" t="s">
        <v>631</v>
      </c>
      <c r="C145" s="456" t="s">
        <v>632</v>
      </c>
    </row>
    <row r="146" spans="1:3" s="322" customFormat="1" ht="22.5">
      <c r="A146" s="457">
        <v>9.2700000000000298</v>
      </c>
      <c r="B146" s="428" t="s">
        <v>99</v>
      </c>
      <c r="C146" s="456" t="s">
        <v>683</v>
      </c>
    </row>
    <row r="147" spans="1:3" s="322" customFormat="1">
      <c r="A147" s="432"/>
      <c r="B147" s="922" t="s">
        <v>634</v>
      </c>
      <c r="C147" s="923"/>
    </row>
    <row r="148" spans="1:3" s="322" customFormat="1">
      <c r="A148" s="431">
        <v>1</v>
      </c>
      <c r="B148" s="928" t="s">
        <v>928</v>
      </c>
      <c r="C148" s="929"/>
    </row>
    <row r="149" spans="1:3" s="322" customFormat="1">
      <c r="A149" s="431">
        <v>2</v>
      </c>
      <c r="B149" s="928" t="s">
        <v>684</v>
      </c>
      <c r="C149" s="929"/>
    </row>
    <row r="150" spans="1:3" s="322" customFormat="1">
      <c r="A150" s="431">
        <v>3</v>
      </c>
      <c r="B150" s="928" t="s">
        <v>681</v>
      </c>
      <c r="C150" s="929"/>
    </row>
    <row r="151" spans="1:3" s="322" customFormat="1">
      <c r="A151" s="432"/>
      <c r="B151" s="922" t="s">
        <v>635</v>
      </c>
      <c r="C151" s="923"/>
    </row>
    <row r="152" spans="1:3" s="322" customFormat="1">
      <c r="A152" s="431">
        <v>1</v>
      </c>
      <c r="B152" s="930" t="s">
        <v>927</v>
      </c>
      <c r="C152" s="931"/>
    </row>
    <row r="153" spans="1:3" s="322" customFormat="1">
      <c r="A153" s="431">
        <v>2</v>
      </c>
      <c r="B153" s="428" t="s">
        <v>865</v>
      </c>
      <c r="C153" s="454" t="s">
        <v>947</v>
      </c>
    </row>
    <row r="154" spans="1:3" ht="22.5">
      <c r="A154" s="431">
        <v>3</v>
      </c>
      <c r="B154" s="428" t="s">
        <v>864</v>
      </c>
      <c r="C154" s="454" t="s">
        <v>926</v>
      </c>
    </row>
    <row r="155" spans="1:3">
      <c r="A155" s="431">
        <v>4</v>
      </c>
      <c r="B155" s="428" t="s">
        <v>510</v>
      </c>
      <c r="C155" s="428" t="s">
        <v>948</v>
      </c>
    </row>
    <row r="156" spans="1:3" ht="24.95" customHeight="1">
      <c r="A156" s="432"/>
      <c r="B156" s="922" t="s">
        <v>636</v>
      </c>
      <c r="C156" s="923"/>
    </row>
    <row r="157" spans="1:3" ht="33.75">
      <c r="A157" s="431"/>
      <c r="B157" s="428" t="s">
        <v>915</v>
      </c>
      <c r="C157" s="433" t="s">
        <v>949</v>
      </c>
    </row>
    <row r="158" spans="1:3">
      <c r="A158" s="432"/>
      <c r="B158" s="922" t="s">
        <v>637</v>
      </c>
      <c r="C158" s="923"/>
    </row>
    <row r="159" spans="1:3" ht="39" customHeight="1">
      <c r="A159" s="432"/>
      <c r="B159" s="924" t="s">
        <v>925</v>
      </c>
      <c r="C159" s="925"/>
    </row>
    <row r="160" spans="1:3">
      <c r="A160" s="432" t="s">
        <v>638</v>
      </c>
      <c r="B160" s="455" t="s">
        <v>548</v>
      </c>
      <c r="C160" s="446" t="s">
        <v>639</v>
      </c>
    </row>
    <row r="161" spans="1:3">
      <c r="A161" s="432" t="s">
        <v>368</v>
      </c>
      <c r="B161" s="452" t="s">
        <v>549</v>
      </c>
      <c r="C161" s="454" t="s">
        <v>924</v>
      </c>
    </row>
    <row r="162" spans="1:3" ht="22.5">
      <c r="A162" s="432" t="s">
        <v>375</v>
      </c>
      <c r="B162" s="446" t="s">
        <v>550</v>
      </c>
      <c r="C162" s="454" t="s">
        <v>640</v>
      </c>
    </row>
    <row r="163" spans="1:3">
      <c r="A163" s="432" t="s">
        <v>641</v>
      </c>
      <c r="B163" s="452" t="s">
        <v>551</v>
      </c>
      <c r="C163" s="453" t="s">
        <v>642</v>
      </c>
    </row>
    <row r="164" spans="1:3" ht="22.5">
      <c r="A164" s="432" t="s">
        <v>643</v>
      </c>
      <c r="B164" s="452" t="s">
        <v>880</v>
      </c>
      <c r="C164" s="451" t="s">
        <v>923</v>
      </c>
    </row>
    <row r="165" spans="1:3" ht="22.5">
      <c r="A165" s="432" t="s">
        <v>376</v>
      </c>
      <c r="B165" s="452" t="s">
        <v>552</v>
      </c>
      <c r="C165" s="451" t="s">
        <v>645</v>
      </c>
    </row>
    <row r="166" spans="1:3" ht="22.5">
      <c r="A166" s="432" t="s">
        <v>644</v>
      </c>
      <c r="B166" s="449" t="s">
        <v>555</v>
      </c>
      <c r="C166" s="450" t="s">
        <v>652</v>
      </c>
    </row>
    <row r="167" spans="1:3" ht="22.5">
      <c r="A167" s="432" t="s">
        <v>646</v>
      </c>
      <c r="B167" s="449" t="s">
        <v>553</v>
      </c>
      <c r="C167" s="451" t="s">
        <v>648</v>
      </c>
    </row>
    <row r="168" spans="1:3" ht="26.45" customHeight="1">
      <c r="A168" s="432" t="s">
        <v>647</v>
      </c>
      <c r="B168" s="449" t="s">
        <v>554</v>
      </c>
      <c r="C168" s="450" t="s">
        <v>650</v>
      </c>
    </row>
    <row r="169" spans="1:3" ht="22.5">
      <c r="A169" s="432" t="s">
        <v>649</v>
      </c>
      <c r="B169" s="426" t="s">
        <v>556</v>
      </c>
      <c r="C169" s="450" t="s">
        <v>654</v>
      </c>
    </row>
    <row r="170" spans="1:3" ht="22.5">
      <c r="A170" s="432" t="s">
        <v>651</v>
      </c>
      <c r="B170" s="449" t="s">
        <v>557</v>
      </c>
      <c r="C170" s="448" t="s">
        <v>655</v>
      </c>
    </row>
    <row r="171" spans="1:3">
      <c r="A171" s="432" t="s">
        <v>653</v>
      </c>
      <c r="B171" s="447" t="s">
        <v>558</v>
      </c>
      <c r="C171" s="446" t="s">
        <v>656</v>
      </c>
    </row>
    <row r="172" spans="1:3" ht="22.5">
      <c r="A172" s="432"/>
      <c r="B172" s="445" t="s">
        <v>922</v>
      </c>
      <c r="C172" s="444" t="s">
        <v>657</v>
      </c>
    </row>
    <row r="173" spans="1:3" ht="22.5">
      <c r="A173" s="432"/>
      <c r="B173" s="445" t="s">
        <v>921</v>
      </c>
      <c r="C173" s="444" t="s">
        <v>658</v>
      </c>
    </row>
    <row r="174" spans="1:3" ht="22.5">
      <c r="A174" s="432"/>
      <c r="B174" s="445" t="s">
        <v>920</v>
      </c>
      <c r="C174" s="444" t="s">
        <v>659</v>
      </c>
    </row>
    <row r="175" spans="1:3">
      <c r="A175" s="432"/>
      <c r="B175" s="922" t="s">
        <v>660</v>
      </c>
      <c r="C175" s="923"/>
    </row>
    <row r="176" spans="1:3">
      <c r="A176" s="432"/>
      <c r="B176" s="928" t="s">
        <v>919</v>
      </c>
      <c r="C176" s="929"/>
    </row>
    <row r="177" spans="1:3">
      <c r="A177" s="431">
        <v>1</v>
      </c>
      <c r="B177" s="444" t="s">
        <v>562</v>
      </c>
      <c r="C177" s="444" t="s">
        <v>562</v>
      </c>
    </row>
    <row r="178" spans="1:3" ht="33.75">
      <c r="A178" s="431">
        <v>2</v>
      </c>
      <c r="B178" s="444" t="s">
        <v>661</v>
      </c>
      <c r="C178" s="444" t="s">
        <v>662</v>
      </c>
    </row>
    <row r="179" spans="1:3">
      <c r="A179" s="431">
        <v>3</v>
      </c>
      <c r="B179" s="444" t="s">
        <v>564</v>
      </c>
      <c r="C179" s="444" t="s">
        <v>663</v>
      </c>
    </row>
    <row r="180" spans="1:3" ht="22.5">
      <c r="A180" s="431">
        <v>4</v>
      </c>
      <c r="B180" s="444" t="s">
        <v>565</v>
      </c>
      <c r="C180" s="444" t="s">
        <v>664</v>
      </c>
    </row>
    <row r="181" spans="1:3" ht="22.5">
      <c r="A181" s="431">
        <v>5</v>
      </c>
      <c r="B181" s="444" t="s">
        <v>566</v>
      </c>
      <c r="C181" s="444" t="s">
        <v>686</v>
      </c>
    </row>
    <row r="182" spans="1:3" ht="45">
      <c r="A182" s="431">
        <v>6</v>
      </c>
      <c r="B182" s="444" t="s">
        <v>567</v>
      </c>
      <c r="C182" s="444" t="s">
        <v>665</v>
      </c>
    </row>
    <row r="183" spans="1:3">
      <c r="A183" s="432"/>
      <c r="B183" s="922" t="s">
        <v>666</v>
      </c>
      <c r="C183" s="923"/>
    </row>
    <row r="184" spans="1:3">
      <c r="A184" s="432"/>
      <c r="B184" s="933" t="s">
        <v>918</v>
      </c>
      <c r="C184" s="934"/>
    </row>
    <row r="185" spans="1:3" ht="22.5">
      <c r="A185" s="432">
        <v>1.1000000000000001</v>
      </c>
      <c r="B185" s="443" t="s">
        <v>572</v>
      </c>
      <c r="C185" s="441" t="s">
        <v>667</v>
      </c>
    </row>
    <row r="186" spans="1:3" ht="50.1" customHeight="1">
      <c r="A186" s="432" t="s">
        <v>157</v>
      </c>
      <c r="B186" s="427" t="s">
        <v>573</v>
      </c>
      <c r="C186" s="441" t="s">
        <v>668</v>
      </c>
    </row>
    <row r="187" spans="1:3">
      <c r="A187" s="432" t="s">
        <v>574</v>
      </c>
      <c r="B187" s="442" t="s">
        <v>575</v>
      </c>
      <c r="C187" s="935" t="s">
        <v>917</v>
      </c>
    </row>
    <row r="188" spans="1:3">
      <c r="A188" s="432" t="s">
        <v>576</v>
      </c>
      <c r="B188" s="442" t="s">
        <v>577</v>
      </c>
      <c r="C188" s="935"/>
    </row>
    <row r="189" spans="1:3">
      <c r="A189" s="432" t="s">
        <v>578</v>
      </c>
      <c r="B189" s="442" t="s">
        <v>579</v>
      </c>
      <c r="C189" s="935"/>
    </row>
    <row r="190" spans="1:3">
      <c r="A190" s="432" t="s">
        <v>580</v>
      </c>
      <c r="B190" s="442" t="s">
        <v>581</v>
      </c>
      <c r="C190" s="935"/>
    </row>
    <row r="191" spans="1:3" ht="25.5" customHeight="1">
      <c r="A191" s="432">
        <v>1.2</v>
      </c>
      <c r="B191" s="440" t="s">
        <v>893</v>
      </c>
      <c r="C191" s="425" t="s">
        <v>950</v>
      </c>
    </row>
    <row r="192" spans="1:3" ht="22.5">
      <c r="A192" s="432" t="s">
        <v>583</v>
      </c>
      <c r="B192" s="435" t="s">
        <v>584</v>
      </c>
      <c r="C192" s="438" t="s">
        <v>669</v>
      </c>
    </row>
    <row r="193" spans="1:4" ht="22.5">
      <c r="A193" s="432" t="s">
        <v>585</v>
      </c>
      <c r="B193" s="439" t="s">
        <v>586</v>
      </c>
      <c r="C193" s="438" t="s">
        <v>670</v>
      </c>
    </row>
    <row r="194" spans="1:4" ht="26.1" customHeight="1">
      <c r="A194" s="432" t="s">
        <v>587</v>
      </c>
      <c r="B194" s="437" t="s">
        <v>588</v>
      </c>
      <c r="C194" s="425" t="s">
        <v>671</v>
      </c>
    </row>
    <row r="195" spans="1:4" ht="22.5">
      <c r="A195" s="432" t="s">
        <v>589</v>
      </c>
      <c r="B195" s="436" t="s">
        <v>590</v>
      </c>
      <c r="C195" s="425" t="s">
        <v>672</v>
      </c>
      <c r="D195" s="323"/>
    </row>
    <row r="196" spans="1:4" ht="22.5">
      <c r="A196" s="432">
        <v>1.4</v>
      </c>
      <c r="B196" s="435" t="s">
        <v>679</v>
      </c>
      <c r="C196" s="434" t="s">
        <v>673</v>
      </c>
      <c r="D196" s="324"/>
    </row>
    <row r="197" spans="1:4" ht="12.75">
      <c r="A197" s="432">
        <v>1.5</v>
      </c>
      <c r="B197" s="435" t="s">
        <v>680</v>
      </c>
      <c r="C197" s="434" t="s">
        <v>673</v>
      </c>
      <c r="D197" s="325"/>
    </row>
    <row r="198" spans="1:4" ht="12.75">
      <c r="A198" s="432"/>
      <c r="B198" s="936" t="s">
        <v>674</v>
      </c>
      <c r="C198" s="936"/>
      <c r="D198" s="325"/>
    </row>
    <row r="199" spans="1:4" ht="12.75">
      <c r="A199" s="432"/>
      <c r="B199" s="933" t="s">
        <v>916</v>
      </c>
      <c r="C199" s="933"/>
      <c r="D199" s="325"/>
    </row>
    <row r="200" spans="1:4" ht="12.75">
      <c r="A200" s="431"/>
      <c r="B200" s="428" t="s">
        <v>915</v>
      </c>
      <c r="C200" s="433" t="s">
        <v>947</v>
      </c>
      <c r="D200" s="325"/>
    </row>
    <row r="201" spans="1:4" ht="12.75">
      <c r="A201" s="432"/>
      <c r="B201" s="936" t="s">
        <v>675</v>
      </c>
      <c r="C201" s="936"/>
      <c r="D201" s="326"/>
    </row>
    <row r="202" spans="1:4" ht="12.75">
      <c r="A202" s="431"/>
      <c r="B202" s="937" t="s">
        <v>914</v>
      </c>
      <c r="C202" s="937"/>
      <c r="D202" s="327"/>
    </row>
    <row r="203" spans="1:4" ht="12.75">
      <c r="B203" s="936" t="s">
        <v>713</v>
      </c>
      <c r="C203" s="936"/>
      <c r="D203" s="328"/>
    </row>
    <row r="204" spans="1:4" ht="22.5">
      <c r="A204" s="427">
        <v>1</v>
      </c>
      <c r="B204" s="428" t="s">
        <v>689</v>
      </c>
      <c r="C204" s="425" t="s">
        <v>701</v>
      </c>
      <c r="D204" s="327"/>
    </row>
    <row r="205" spans="1:4" ht="18" customHeight="1">
      <c r="A205" s="427">
        <v>2</v>
      </c>
      <c r="B205" s="428" t="s">
        <v>690</v>
      </c>
      <c r="C205" s="425" t="s">
        <v>702</v>
      </c>
      <c r="D205" s="328"/>
    </row>
    <row r="206" spans="1:4" ht="22.5">
      <c r="A206" s="427">
        <v>3</v>
      </c>
      <c r="B206" s="428" t="s">
        <v>691</v>
      </c>
      <c r="C206" s="428" t="s">
        <v>703</v>
      </c>
      <c r="D206" s="329"/>
    </row>
    <row r="207" spans="1:4" ht="12.75">
      <c r="A207" s="427">
        <v>4</v>
      </c>
      <c r="B207" s="428" t="s">
        <v>692</v>
      </c>
      <c r="C207" s="428" t="s">
        <v>704</v>
      </c>
      <c r="D207" s="329"/>
    </row>
    <row r="208" spans="1:4" ht="22.5">
      <c r="A208" s="427">
        <v>5</v>
      </c>
      <c r="B208" s="428" t="s">
        <v>693</v>
      </c>
      <c r="C208" s="428" t="s">
        <v>705</v>
      </c>
    </row>
    <row r="209" spans="1:3" ht="24.6" customHeight="1">
      <c r="A209" s="427">
        <v>6</v>
      </c>
      <c r="B209" s="428" t="s">
        <v>694</v>
      </c>
      <c r="C209" s="428" t="s">
        <v>706</v>
      </c>
    </row>
    <row r="210" spans="1:3" ht="22.5">
      <c r="A210" s="427">
        <v>7</v>
      </c>
      <c r="B210" s="428" t="s">
        <v>695</v>
      </c>
      <c r="C210" s="428" t="s">
        <v>707</v>
      </c>
    </row>
    <row r="211" spans="1:3">
      <c r="A211" s="427">
        <v>7.1</v>
      </c>
      <c r="B211" s="430" t="s">
        <v>696</v>
      </c>
      <c r="C211" s="428" t="s">
        <v>708</v>
      </c>
    </row>
    <row r="212" spans="1:3" ht="22.5">
      <c r="A212" s="427">
        <v>7.2</v>
      </c>
      <c r="B212" s="430" t="s">
        <v>697</v>
      </c>
      <c r="C212" s="428" t="s">
        <v>709</v>
      </c>
    </row>
    <row r="213" spans="1:3">
      <c r="A213" s="427">
        <v>7.3</v>
      </c>
      <c r="B213" s="429" t="s">
        <v>698</v>
      </c>
      <c r="C213" s="428" t="s">
        <v>710</v>
      </c>
    </row>
    <row r="214" spans="1:3" ht="39.6" customHeight="1">
      <c r="A214" s="427">
        <v>8</v>
      </c>
      <c r="B214" s="428" t="s">
        <v>699</v>
      </c>
      <c r="C214" s="425" t="s">
        <v>711</v>
      </c>
    </row>
    <row r="215" spans="1:3">
      <c r="A215" s="427">
        <v>9</v>
      </c>
      <c r="B215" s="428" t="s">
        <v>700</v>
      </c>
      <c r="C215" s="425" t="s">
        <v>712</v>
      </c>
    </row>
    <row r="216" spans="1:3" ht="22.5">
      <c r="A216" s="470">
        <v>10.1</v>
      </c>
      <c r="B216" s="471" t="s">
        <v>720</v>
      </c>
      <c r="C216" s="462" t="s">
        <v>721</v>
      </c>
    </row>
    <row r="217" spans="1:3">
      <c r="A217" s="938"/>
      <c r="B217" s="472" t="s">
        <v>906</v>
      </c>
      <c r="C217" s="425" t="s">
        <v>913</v>
      </c>
    </row>
    <row r="218" spans="1:3">
      <c r="A218" s="938"/>
      <c r="B218" s="426" t="s">
        <v>571</v>
      </c>
      <c r="C218" s="425" t="s">
        <v>912</v>
      </c>
    </row>
    <row r="219" spans="1:3">
      <c r="A219" s="938"/>
      <c r="B219" s="426" t="s">
        <v>905</v>
      </c>
      <c r="C219" s="425" t="s">
        <v>951</v>
      </c>
    </row>
    <row r="220" spans="1:3">
      <c r="A220" s="938"/>
      <c r="B220" s="426" t="s">
        <v>714</v>
      </c>
      <c r="C220" s="425" t="s">
        <v>911</v>
      </c>
    </row>
    <row r="221" spans="1:3" ht="22.5">
      <c r="A221" s="938"/>
      <c r="B221" s="426" t="s">
        <v>718</v>
      </c>
      <c r="C221" s="441" t="s">
        <v>910</v>
      </c>
    </row>
    <row r="222" spans="1:3" ht="33.75">
      <c r="A222" s="938"/>
      <c r="B222" s="426" t="s">
        <v>717</v>
      </c>
      <c r="C222" s="425" t="s">
        <v>909</v>
      </c>
    </row>
    <row r="223" spans="1:3">
      <c r="A223" s="938"/>
      <c r="B223" s="426" t="s">
        <v>952</v>
      </c>
      <c r="C223" s="425" t="s">
        <v>908</v>
      </c>
    </row>
    <row r="224" spans="1:3" ht="22.5">
      <c r="A224" s="938"/>
      <c r="B224" s="426" t="s">
        <v>953</v>
      </c>
      <c r="C224" s="425" t="s">
        <v>907</v>
      </c>
    </row>
    <row r="225" spans="1:3" ht="12.75">
      <c r="A225" s="463"/>
      <c r="B225" s="464"/>
      <c r="C225" s="465"/>
    </row>
    <row r="226" spans="1:3" ht="12.75">
      <c r="A226" s="463"/>
      <c r="B226" s="465"/>
      <c r="C226" s="466"/>
    </row>
    <row r="227" spans="1:3" ht="12.75">
      <c r="A227" s="463"/>
      <c r="B227" s="465"/>
      <c r="C227" s="466"/>
    </row>
    <row r="228" spans="1:3" ht="12.75">
      <c r="A228" s="463"/>
      <c r="B228" s="467"/>
      <c r="C228" s="466"/>
    </row>
    <row r="229" spans="1:3" ht="12.75">
      <c r="A229" s="932"/>
      <c r="B229" s="468"/>
      <c r="C229" s="466"/>
    </row>
    <row r="230" spans="1:3" ht="12.75">
      <c r="A230" s="932"/>
      <c r="B230" s="468"/>
      <c r="C230" s="466"/>
    </row>
    <row r="231" spans="1:3" ht="12.75">
      <c r="A231" s="932"/>
      <c r="B231" s="468"/>
      <c r="C231" s="466"/>
    </row>
    <row r="232" spans="1:3" ht="12.75">
      <c r="A232" s="932"/>
      <c r="B232" s="468"/>
      <c r="C232" s="469"/>
    </row>
    <row r="233" spans="1:3" ht="40.5" customHeight="1">
      <c r="A233" s="932"/>
      <c r="B233" s="468"/>
      <c r="C233" s="466"/>
    </row>
    <row r="234" spans="1:3" ht="24" customHeight="1">
      <c r="A234" s="932"/>
      <c r="B234" s="468"/>
      <c r="C234" s="466"/>
    </row>
    <row r="235" spans="1:3" ht="12.75">
      <c r="A235" s="932"/>
      <c r="B235" s="468"/>
      <c r="C235" s="466"/>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5"/>
  <sheetViews>
    <sheetView tabSelected="1" zoomScaleNormal="100" zoomScaleSheetLayoutView="85" workbookViewId="0">
      <selection activeCell="C42" sqref="C42"/>
    </sheetView>
  </sheetViews>
  <sheetFormatPr defaultRowHeight="15"/>
  <cols>
    <col min="2" max="2" width="93.85546875" customWidth="1"/>
    <col min="3" max="4" width="17.85546875" style="477" customWidth="1"/>
    <col min="5" max="5" width="18" style="497" customWidth="1"/>
    <col min="6" max="7" width="17.85546875" style="477" customWidth="1"/>
    <col min="8" max="8" width="24.85546875" style="497" customWidth="1"/>
  </cols>
  <sheetData>
    <row r="1" spans="1:8" ht="15.75">
      <c r="A1" s="12" t="s">
        <v>108</v>
      </c>
      <c r="B1" s="258" t="str">
        <f>Info!C2</f>
        <v>სს ”საქართველოს ბანკი”</v>
      </c>
      <c r="C1" s="668"/>
      <c r="D1" s="668"/>
      <c r="E1" s="484"/>
      <c r="F1" s="668"/>
      <c r="G1" s="475"/>
      <c r="H1" s="484"/>
    </row>
    <row r="2" spans="1:8" ht="15.75">
      <c r="A2" s="12" t="s">
        <v>109</v>
      </c>
      <c r="B2" s="271">
        <f>'1. key ratios'!B2</f>
        <v>45291</v>
      </c>
      <c r="C2" s="669"/>
      <c r="D2" s="476"/>
      <c r="E2" s="526"/>
      <c r="F2" s="669"/>
      <c r="G2" s="476"/>
      <c r="H2" s="526"/>
    </row>
    <row r="3" spans="1:8" ht="15.75">
      <c r="A3" s="12"/>
      <c r="B3" s="11"/>
      <c r="C3" s="669"/>
      <c r="D3" s="476"/>
      <c r="E3" s="526"/>
      <c r="F3" s="669"/>
      <c r="G3" s="476"/>
      <c r="H3" s="526"/>
    </row>
    <row r="4" spans="1:8">
      <c r="A4" s="815" t="s">
        <v>25</v>
      </c>
      <c r="B4" s="813" t="s">
        <v>166</v>
      </c>
      <c r="C4" s="814" t="s">
        <v>114</v>
      </c>
      <c r="D4" s="814"/>
      <c r="E4" s="814"/>
      <c r="F4" s="814" t="s">
        <v>115</v>
      </c>
      <c r="G4" s="814"/>
      <c r="H4" s="814"/>
    </row>
    <row r="5" spans="1:8">
      <c r="A5" s="815"/>
      <c r="B5" s="813"/>
      <c r="C5" s="528" t="s">
        <v>26</v>
      </c>
      <c r="D5" s="528" t="s">
        <v>88</v>
      </c>
      <c r="E5" s="703" t="s">
        <v>66</v>
      </c>
      <c r="F5" s="528" t="s">
        <v>26</v>
      </c>
      <c r="G5" s="528" t="s">
        <v>88</v>
      </c>
      <c r="H5" s="703" t="s">
        <v>66</v>
      </c>
    </row>
    <row r="6" spans="1:8">
      <c r="A6" s="707">
        <v>1</v>
      </c>
      <c r="B6" s="708" t="s">
        <v>775</v>
      </c>
      <c r="C6" s="670">
        <f>SUM(C7:C12)</f>
        <v>1846822845.3432384</v>
      </c>
      <c r="D6" s="670">
        <f>SUM(D7:D12)</f>
        <v>818241607.64257002</v>
      </c>
      <c r="E6" s="704">
        <f>C6+D6</f>
        <v>2665064452.9858084</v>
      </c>
      <c r="F6" s="670">
        <f>SUM(F7:F12)</f>
        <v>1627440929.8432002</v>
      </c>
      <c r="G6" s="670">
        <f>SUM(G7:G12)</f>
        <v>560752859.75290036</v>
      </c>
      <c r="H6" s="704">
        <f>F6+G6</f>
        <v>2188193789.5961008</v>
      </c>
    </row>
    <row r="7" spans="1:8">
      <c r="A7" s="707">
        <v>1.1000000000000001</v>
      </c>
      <c r="B7" s="548" t="s">
        <v>729</v>
      </c>
      <c r="C7" s="670"/>
      <c r="D7" s="670"/>
      <c r="E7" s="704">
        <f t="shared" ref="E7:E45" si="0">C7+D7</f>
        <v>0</v>
      </c>
      <c r="F7" s="670"/>
      <c r="G7" s="670"/>
      <c r="H7" s="704">
        <f t="shared" ref="H7:H45" si="1">F7+G7</f>
        <v>0</v>
      </c>
    </row>
    <row r="8" spans="1:8" ht="21">
      <c r="A8" s="707">
        <v>1.2</v>
      </c>
      <c r="B8" s="548" t="s">
        <v>776</v>
      </c>
      <c r="C8" s="670"/>
      <c r="D8" s="670"/>
      <c r="E8" s="704">
        <f t="shared" si="0"/>
        <v>0</v>
      </c>
      <c r="F8" s="670"/>
      <c r="G8" s="670"/>
      <c r="H8" s="704">
        <f t="shared" si="1"/>
        <v>0</v>
      </c>
    </row>
    <row r="9" spans="1:8" ht="21">
      <c r="A9" s="707">
        <v>1.3</v>
      </c>
      <c r="B9" s="548" t="s">
        <v>777</v>
      </c>
      <c r="C9" s="670"/>
      <c r="D9" s="670"/>
      <c r="E9" s="704">
        <f t="shared" si="0"/>
        <v>0</v>
      </c>
      <c r="F9" s="670"/>
      <c r="G9" s="670"/>
      <c r="H9" s="704">
        <f t="shared" si="1"/>
        <v>0</v>
      </c>
    </row>
    <row r="10" spans="1:8">
      <c r="A10" s="707">
        <v>1.4</v>
      </c>
      <c r="B10" s="548" t="s">
        <v>733</v>
      </c>
      <c r="C10" s="670">
        <v>212369528.87</v>
      </c>
      <c r="D10" s="670">
        <v>116924749.31999996</v>
      </c>
      <c r="E10" s="704">
        <f t="shared" si="0"/>
        <v>329294278.18999994</v>
      </c>
      <c r="F10" s="670">
        <v>272784652.40999997</v>
      </c>
      <c r="G10" s="670">
        <v>20585552.400000036</v>
      </c>
      <c r="H10" s="704">
        <f t="shared" si="1"/>
        <v>293370204.81</v>
      </c>
    </row>
    <row r="11" spans="1:8">
      <c r="A11" s="707">
        <v>1.5</v>
      </c>
      <c r="B11" s="548" t="s">
        <v>736</v>
      </c>
      <c r="C11" s="670">
        <f>1631560042.66313+2893273.81010847</f>
        <v>1634453316.4732385</v>
      </c>
      <c r="D11" s="670">
        <v>701316858.32257009</v>
      </c>
      <c r="E11" s="704">
        <f t="shared" si="0"/>
        <v>2335770174.7958088</v>
      </c>
      <c r="F11" s="670">
        <f>1351625733.5432+3030543.89</f>
        <v>1354656277.4332001</v>
      </c>
      <c r="G11" s="670">
        <v>540167307.35290039</v>
      </c>
      <c r="H11" s="704">
        <f t="shared" si="1"/>
        <v>1894823584.7861004</v>
      </c>
    </row>
    <row r="12" spans="1:8">
      <c r="A12" s="707">
        <v>1.6</v>
      </c>
      <c r="B12" s="548" t="s">
        <v>99</v>
      </c>
      <c r="C12" s="670">
        <v>0</v>
      </c>
      <c r="D12" s="670"/>
      <c r="E12" s="704">
        <f t="shared" si="0"/>
        <v>0</v>
      </c>
      <c r="F12" s="670">
        <v>0</v>
      </c>
      <c r="G12" s="670"/>
      <c r="H12" s="704">
        <f t="shared" si="1"/>
        <v>0</v>
      </c>
    </row>
    <row r="13" spans="1:8">
      <c r="A13" s="707">
        <v>2</v>
      </c>
      <c r="B13" s="708" t="s">
        <v>778</v>
      </c>
      <c r="C13" s="670">
        <v>-932514628.26999998</v>
      </c>
      <c r="D13" s="670">
        <v>-186951665.94999999</v>
      </c>
      <c r="E13" s="704">
        <f t="shared" si="0"/>
        <v>-1119466294.22</v>
      </c>
      <c r="F13" s="670">
        <f>SUM(F14:F17)</f>
        <v>-849639093.65999997</v>
      </c>
      <c r="G13" s="670">
        <f>SUM(G14:G17)</f>
        <v>-179348944.37989998</v>
      </c>
      <c r="H13" s="704">
        <f t="shared" si="1"/>
        <v>-1028988038.0398999</v>
      </c>
    </row>
    <row r="14" spans="1:8">
      <c r="A14" s="707">
        <v>2.1</v>
      </c>
      <c r="B14" s="548" t="s">
        <v>779</v>
      </c>
      <c r="C14" s="670"/>
      <c r="D14" s="670"/>
      <c r="E14" s="704">
        <f t="shared" si="0"/>
        <v>0</v>
      </c>
      <c r="F14" s="670"/>
      <c r="G14" s="670"/>
      <c r="H14" s="704">
        <f t="shared" si="1"/>
        <v>0</v>
      </c>
    </row>
    <row r="15" spans="1:8" ht="21">
      <c r="A15" s="707">
        <v>2.2000000000000002</v>
      </c>
      <c r="B15" s="548" t="s">
        <v>780</v>
      </c>
      <c r="C15" s="670"/>
      <c r="D15" s="670"/>
      <c r="E15" s="704">
        <f t="shared" si="0"/>
        <v>0</v>
      </c>
      <c r="F15" s="670"/>
      <c r="G15" s="670"/>
      <c r="H15" s="704">
        <f t="shared" si="1"/>
        <v>0</v>
      </c>
    </row>
    <row r="16" spans="1:8">
      <c r="A16" s="707">
        <v>2.2999999999999998</v>
      </c>
      <c r="B16" s="548" t="s">
        <v>781</v>
      </c>
      <c r="C16" s="670">
        <v>-927650494.36000001</v>
      </c>
      <c r="D16" s="670">
        <v>-212204798.47</v>
      </c>
      <c r="E16" s="704">
        <f t="shared" si="0"/>
        <v>-1139855292.8299999</v>
      </c>
      <c r="F16" s="670">
        <v>-845185044.19999993</v>
      </c>
      <c r="G16" s="670">
        <v>-207765161.94989997</v>
      </c>
      <c r="H16" s="704">
        <f t="shared" si="1"/>
        <v>-1052950206.1499</v>
      </c>
    </row>
    <row r="17" spans="1:8">
      <c r="A17" s="707">
        <v>2.4</v>
      </c>
      <c r="B17" s="548" t="s">
        <v>782</v>
      </c>
      <c r="C17" s="670">
        <v>-4864133.91</v>
      </c>
      <c r="D17" s="670">
        <v>25253132.52</v>
      </c>
      <c r="E17" s="704">
        <f t="shared" si="0"/>
        <v>20388998.609999999</v>
      </c>
      <c r="F17" s="670">
        <v>-4454049.46</v>
      </c>
      <c r="G17" s="670">
        <v>28416217.57</v>
      </c>
      <c r="H17" s="704">
        <f t="shared" si="1"/>
        <v>23962168.109999999</v>
      </c>
    </row>
    <row r="18" spans="1:8">
      <c r="A18" s="707">
        <v>3</v>
      </c>
      <c r="B18" s="708" t="s">
        <v>783</v>
      </c>
      <c r="C18" s="670"/>
      <c r="D18" s="670"/>
      <c r="E18" s="704">
        <f t="shared" si="0"/>
        <v>0</v>
      </c>
      <c r="F18" s="670"/>
      <c r="G18" s="670"/>
      <c r="H18" s="704">
        <f t="shared" si="1"/>
        <v>0</v>
      </c>
    </row>
    <row r="19" spans="1:8">
      <c r="A19" s="707">
        <v>4</v>
      </c>
      <c r="B19" s="708" t="s">
        <v>784</v>
      </c>
      <c r="C19" s="670">
        <v>436772696.36999995</v>
      </c>
      <c r="D19" s="670">
        <v>186128499.13389987</v>
      </c>
      <c r="E19" s="704">
        <f t="shared" si="0"/>
        <v>622901195.50389981</v>
      </c>
      <c r="F19" s="670">
        <v>345982423.33000004</v>
      </c>
      <c r="G19" s="670">
        <v>164831576.66999996</v>
      </c>
      <c r="H19" s="704">
        <f t="shared" si="1"/>
        <v>510814000</v>
      </c>
    </row>
    <row r="20" spans="1:8">
      <c r="A20" s="707">
        <v>5</v>
      </c>
      <c r="B20" s="708" t="s">
        <v>785</v>
      </c>
      <c r="C20" s="670">
        <v>-103611541.83999999</v>
      </c>
      <c r="D20" s="670">
        <v>-186050717.1552</v>
      </c>
      <c r="E20" s="704">
        <f t="shared" si="0"/>
        <v>-289662258.99519998</v>
      </c>
      <c r="F20" s="670">
        <v>-112250054.66999999</v>
      </c>
      <c r="G20" s="670">
        <v>-148789945.33000001</v>
      </c>
      <c r="H20" s="704">
        <f t="shared" si="1"/>
        <v>-261040000</v>
      </c>
    </row>
    <row r="21" spans="1:8" ht="31.5">
      <c r="A21" s="707">
        <v>6</v>
      </c>
      <c r="B21" s="708" t="s">
        <v>786</v>
      </c>
      <c r="C21" s="670">
        <v>18905085.84</v>
      </c>
      <c r="D21" s="670"/>
      <c r="E21" s="704">
        <f t="shared" si="0"/>
        <v>18905085.84</v>
      </c>
      <c r="F21" s="670">
        <v>-2010000</v>
      </c>
      <c r="G21" s="670"/>
      <c r="H21" s="704">
        <f t="shared" si="1"/>
        <v>-2010000</v>
      </c>
    </row>
    <row r="22" spans="1:8" ht="21">
      <c r="A22" s="707">
        <v>7</v>
      </c>
      <c r="B22" s="708" t="s">
        <v>787</v>
      </c>
      <c r="C22" s="670"/>
      <c r="D22" s="670"/>
      <c r="E22" s="704">
        <f t="shared" si="0"/>
        <v>0</v>
      </c>
      <c r="F22" s="670"/>
      <c r="G22" s="670"/>
      <c r="H22" s="704">
        <f t="shared" si="1"/>
        <v>0</v>
      </c>
    </row>
    <row r="23" spans="1:8" ht="21">
      <c r="A23" s="707">
        <v>8</v>
      </c>
      <c r="B23" s="709" t="s">
        <v>788</v>
      </c>
      <c r="C23" s="670">
        <v>0</v>
      </c>
      <c r="D23" s="670"/>
      <c r="E23" s="704">
        <f t="shared" si="0"/>
        <v>0</v>
      </c>
      <c r="F23" s="670">
        <v>0</v>
      </c>
      <c r="G23" s="670"/>
      <c r="H23" s="704">
        <f t="shared" si="1"/>
        <v>0</v>
      </c>
    </row>
    <row r="24" spans="1:8" ht="40.5" customHeight="1">
      <c r="A24" s="707">
        <v>9</v>
      </c>
      <c r="B24" s="709" t="s">
        <v>789</v>
      </c>
      <c r="C24" s="670">
        <v>0</v>
      </c>
      <c r="D24" s="670"/>
      <c r="E24" s="704">
        <f t="shared" si="0"/>
        <v>0</v>
      </c>
      <c r="F24" s="670">
        <v>0</v>
      </c>
      <c r="G24" s="670"/>
      <c r="H24" s="704">
        <f t="shared" si="1"/>
        <v>0</v>
      </c>
    </row>
    <row r="25" spans="1:8">
      <c r="A25" s="707">
        <v>10</v>
      </c>
      <c r="B25" s="708" t="s">
        <v>790</v>
      </c>
      <c r="C25" s="670">
        <v>329572000</v>
      </c>
      <c r="D25" s="670">
        <v>0</v>
      </c>
      <c r="E25" s="704">
        <f t="shared" si="0"/>
        <v>329572000</v>
      </c>
      <c r="F25" s="670">
        <v>399218000</v>
      </c>
      <c r="G25" s="670">
        <v>0</v>
      </c>
      <c r="H25" s="704">
        <f t="shared" si="1"/>
        <v>399218000</v>
      </c>
    </row>
    <row r="26" spans="1:8" ht="21">
      <c r="A26" s="707">
        <v>11</v>
      </c>
      <c r="B26" s="708" t="s">
        <v>791</v>
      </c>
      <c r="C26" s="670">
        <v>81861751.909999967</v>
      </c>
      <c r="D26" s="670">
        <v>0</v>
      </c>
      <c r="E26" s="704">
        <f t="shared" si="0"/>
        <v>81861751.909999967</v>
      </c>
      <c r="F26" s="670">
        <v>19065075.440000001</v>
      </c>
      <c r="G26" s="670">
        <v>0</v>
      </c>
      <c r="H26" s="704">
        <f t="shared" si="1"/>
        <v>19065075.440000001</v>
      </c>
    </row>
    <row r="27" spans="1:8">
      <c r="A27" s="707">
        <v>12</v>
      </c>
      <c r="B27" s="708" t="s">
        <v>792</v>
      </c>
      <c r="C27" s="670">
        <v>9529241.9300000016</v>
      </c>
      <c r="D27" s="670">
        <v>0</v>
      </c>
      <c r="E27" s="704">
        <f t="shared" si="0"/>
        <v>9529241.9300000016</v>
      </c>
      <c r="F27" s="670">
        <v>5802000</v>
      </c>
      <c r="G27" s="670">
        <v>0</v>
      </c>
      <c r="H27" s="704">
        <f t="shared" si="1"/>
        <v>5802000</v>
      </c>
    </row>
    <row r="28" spans="1:8">
      <c r="A28" s="707">
        <v>13</v>
      </c>
      <c r="B28" s="708" t="s">
        <v>793</v>
      </c>
      <c r="C28" s="670">
        <v>-97886.629043340698</v>
      </c>
      <c r="D28" s="670">
        <v>0</v>
      </c>
      <c r="E28" s="704">
        <f t="shared" si="0"/>
        <v>-97886.629043340698</v>
      </c>
      <c r="F28" s="670">
        <v>-1520765.942728996</v>
      </c>
      <c r="G28" s="670">
        <v>0</v>
      </c>
      <c r="H28" s="704">
        <f t="shared" si="1"/>
        <v>-1520765.942728996</v>
      </c>
    </row>
    <row r="29" spans="1:8">
      <c r="A29" s="707">
        <v>14</v>
      </c>
      <c r="B29" s="708" t="s">
        <v>794</v>
      </c>
      <c r="C29" s="670">
        <f>SUM(C30:C31)</f>
        <v>-508499361.778</v>
      </c>
      <c r="D29" s="670">
        <f>SUM(D30:D31)</f>
        <v>0</v>
      </c>
      <c r="E29" s="704">
        <f t="shared" si="0"/>
        <v>-508499361.778</v>
      </c>
      <c r="F29" s="670">
        <v>-428353431.81999999</v>
      </c>
      <c r="G29" s="670">
        <v>0</v>
      </c>
      <c r="H29" s="704">
        <f t="shared" si="1"/>
        <v>-428353431.81999999</v>
      </c>
    </row>
    <row r="30" spans="1:8">
      <c r="A30" s="707">
        <v>14.1</v>
      </c>
      <c r="B30" s="540" t="s">
        <v>795</v>
      </c>
      <c r="C30" s="670">
        <v>-344450005.31999999</v>
      </c>
      <c r="D30" s="670"/>
      <c r="E30" s="704">
        <f t="shared" si="0"/>
        <v>-344450005.31999999</v>
      </c>
      <c r="F30" s="670">
        <v>-300403847.38</v>
      </c>
      <c r="G30" s="670"/>
      <c r="H30" s="704">
        <f t="shared" si="1"/>
        <v>-300403847.38</v>
      </c>
    </row>
    <row r="31" spans="1:8">
      <c r="A31" s="707">
        <v>14.2</v>
      </c>
      <c r="B31" s="540" t="s">
        <v>796</v>
      </c>
      <c r="C31" s="670">
        <v>-164049356.458</v>
      </c>
      <c r="D31" s="670"/>
      <c r="E31" s="704">
        <f t="shared" si="0"/>
        <v>-164049356.458</v>
      </c>
      <c r="F31" s="670">
        <v>-127949584.44</v>
      </c>
      <c r="G31" s="670"/>
      <c r="H31" s="704">
        <f t="shared" si="1"/>
        <v>-127949584.44</v>
      </c>
    </row>
    <row r="32" spans="1:8">
      <c r="A32" s="707">
        <v>15</v>
      </c>
      <c r="B32" s="705" t="s">
        <v>797</v>
      </c>
      <c r="C32" s="670">
        <v>-101166655.91</v>
      </c>
      <c r="D32" s="670"/>
      <c r="E32" s="704">
        <f t="shared" si="0"/>
        <v>-101166655.91</v>
      </c>
      <c r="F32" s="670">
        <v>-89253091</v>
      </c>
      <c r="G32" s="670"/>
      <c r="H32" s="704">
        <f t="shared" si="1"/>
        <v>-89253091</v>
      </c>
    </row>
    <row r="33" spans="1:8">
      <c r="A33" s="707">
        <v>16</v>
      </c>
      <c r="B33" s="536" t="s">
        <v>798</v>
      </c>
      <c r="C33" s="670">
        <v>-14376390.270000001</v>
      </c>
      <c r="D33" s="670">
        <v>1541915.6099999999</v>
      </c>
      <c r="E33" s="704">
        <f t="shared" si="0"/>
        <v>-12834474.660000002</v>
      </c>
      <c r="F33" s="670">
        <v>-29389785.23</v>
      </c>
      <c r="G33" s="670">
        <v>1361143.7799999998</v>
      </c>
      <c r="H33" s="704">
        <f t="shared" si="1"/>
        <v>-28028641.449999999</v>
      </c>
    </row>
    <row r="34" spans="1:8">
      <c r="A34" s="707">
        <v>17</v>
      </c>
      <c r="B34" s="708" t="s">
        <v>799</v>
      </c>
      <c r="C34" s="670">
        <f>C35+C36</f>
        <v>-1261318.6299999999</v>
      </c>
      <c r="D34" s="670">
        <f>SUM(D35:D36)</f>
        <v>134191.19089999993</v>
      </c>
      <c r="E34" s="704">
        <f t="shared" si="0"/>
        <v>-1127127.4391000001</v>
      </c>
      <c r="F34" s="670">
        <v>43177.669999999925</v>
      </c>
      <c r="G34" s="670">
        <v>-458386.75040000002</v>
      </c>
      <c r="H34" s="704">
        <f t="shared" si="1"/>
        <v>-415209.08040000009</v>
      </c>
    </row>
    <row r="35" spans="1:8">
      <c r="A35" s="707">
        <v>17.100000000000001</v>
      </c>
      <c r="B35" s="540" t="s">
        <v>800</v>
      </c>
      <c r="C35" s="670">
        <v>-752425.96</v>
      </c>
      <c r="D35" s="670">
        <v>134191.19089999993</v>
      </c>
      <c r="E35" s="704">
        <f t="shared" si="0"/>
        <v>-618234.76910000003</v>
      </c>
      <c r="F35" s="670">
        <v>338643.84999999992</v>
      </c>
      <c r="G35" s="670">
        <v>-458386.75040000002</v>
      </c>
      <c r="H35" s="704">
        <f t="shared" si="1"/>
        <v>-119742.9004000001</v>
      </c>
    </row>
    <row r="36" spans="1:8">
      <c r="A36" s="707">
        <v>17.2</v>
      </c>
      <c r="B36" s="540" t="s">
        <v>801</v>
      </c>
      <c r="C36" s="670">
        <v>-508892.67</v>
      </c>
      <c r="D36" s="670">
        <v>0</v>
      </c>
      <c r="E36" s="704">
        <f t="shared" si="0"/>
        <v>-508892.67</v>
      </c>
      <c r="F36" s="670">
        <v>-295466.18</v>
      </c>
      <c r="G36" s="670">
        <v>0</v>
      </c>
      <c r="H36" s="704">
        <f t="shared" si="1"/>
        <v>-295466.18</v>
      </c>
    </row>
    <row r="37" spans="1:8" ht="21">
      <c r="A37" s="707">
        <v>18</v>
      </c>
      <c r="B37" s="710" t="s">
        <v>802</v>
      </c>
      <c r="C37" s="670">
        <f>SUM(C38:C39)</f>
        <v>-99261860.17590709</v>
      </c>
      <c r="D37" s="670">
        <f>SUM(D38:D39)</f>
        <v>-24529327.002427466</v>
      </c>
      <c r="E37" s="704">
        <f t="shared" si="0"/>
        <v>-123791187.17833456</v>
      </c>
      <c r="F37" s="670">
        <v>-118356903.01263003</v>
      </c>
      <c r="G37" s="670">
        <v>0</v>
      </c>
      <c r="H37" s="704">
        <f t="shared" si="1"/>
        <v>-118356903.01263003</v>
      </c>
    </row>
    <row r="38" spans="1:8">
      <c r="A38" s="707">
        <v>18.100000000000001</v>
      </c>
      <c r="B38" s="548" t="s">
        <v>803</v>
      </c>
      <c r="C38" s="670">
        <v>927747.23849999974</v>
      </c>
      <c r="D38" s="670"/>
      <c r="E38" s="704">
        <f t="shared" si="0"/>
        <v>927747.23849999974</v>
      </c>
      <c r="F38" s="670">
        <v>-3089793.19</v>
      </c>
      <c r="G38" s="670"/>
      <c r="H38" s="704">
        <f t="shared" si="1"/>
        <v>-3089793.19</v>
      </c>
    </row>
    <row r="39" spans="1:8">
      <c r="A39" s="707">
        <v>18.2</v>
      </c>
      <c r="B39" s="548" t="s">
        <v>804</v>
      </c>
      <c r="C39" s="670">
        <v>-100189607.41440709</v>
      </c>
      <c r="D39" s="670">
        <v>-24529327.002427466</v>
      </c>
      <c r="E39" s="704">
        <f t="shared" si="0"/>
        <v>-124718934.41683456</v>
      </c>
      <c r="F39" s="670">
        <v>-115267109.82263003</v>
      </c>
      <c r="G39" s="670">
        <v>0</v>
      </c>
      <c r="H39" s="704">
        <f t="shared" si="1"/>
        <v>-115267109.82263003</v>
      </c>
    </row>
    <row r="40" spans="1:8" ht="21">
      <c r="A40" s="707">
        <v>19</v>
      </c>
      <c r="B40" s="710" t="s">
        <v>805</v>
      </c>
      <c r="C40" s="670"/>
      <c r="D40" s="670"/>
      <c r="E40" s="704">
        <f t="shared" si="0"/>
        <v>0</v>
      </c>
      <c r="F40" s="670"/>
      <c r="G40" s="670"/>
      <c r="H40" s="704">
        <f t="shared" si="1"/>
        <v>0</v>
      </c>
    </row>
    <row r="41" spans="1:8">
      <c r="A41" s="707">
        <v>20</v>
      </c>
      <c r="B41" s="710" t="s">
        <v>806</v>
      </c>
      <c r="C41" s="670">
        <v>-15944740.154099973</v>
      </c>
      <c r="D41" s="670">
        <v>0</v>
      </c>
      <c r="E41" s="704">
        <f t="shared" si="0"/>
        <v>-15944740.154099973</v>
      </c>
      <c r="F41" s="670">
        <v>-16939936.773014802</v>
      </c>
      <c r="G41" s="670">
        <v>0</v>
      </c>
      <c r="H41" s="704">
        <f t="shared" si="1"/>
        <v>-16939936.773014802</v>
      </c>
    </row>
    <row r="42" spans="1:8" ht="21">
      <c r="A42" s="707">
        <v>21</v>
      </c>
      <c r="B42" s="711" t="s">
        <v>807</v>
      </c>
      <c r="C42" s="670">
        <v>-1786272.25</v>
      </c>
      <c r="D42" s="670"/>
      <c r="E42" s="704">
        <f t="shared" si="0"/>
        <v>-1786272.25</v>
      </c>
      <c r="F42" s="670">
        <v>-3398460.83</v>
      </c>
      <c r="G42" s="670"/>
      <c r="H42" s="704">
        <f t="shared" si="1"/>
        <v>-3398460.83</v>
      </c>
    </row>
    <row r="43" spans="1:8">
      <c r="A43" s="707">
        <v>22</v>
      </c>
      <c r="B43" s="706" t="s">
        <v>808</v>
      </c>
      <c r="C43" s="670">
        <f>SUM(C6,C13,C18,C19,C20,C21,C22,C23,C24,C25,C26,C27,C28,C29,C32,C33,C34,C37,C40,C41,C42)</f>
        <v>944942965.48618782</v>
      </c>
      <c r="D43" s="670">
        <f>SUM(D6,D13,D18,D19,D20,D21,D22,D23,D24,D25,D26,D27,D28,D29,D32,D33,D34,D37,D40,D41,D42)</f>
        <v>608514503.46974242</v>
      </c>
      <c r="E43" s="704">
        <f t="shared" si="0"/>
        <v>1553457468.9559302</v>
      </c>
      <c r="F43" s="670">
        <v>746440083.34482646</v>
      </c>
      <c r="G43" s="670">
        <v>398348303.74260026</v>
      </c>
      <c r="H43" s="704">
        <f t="shared" si="1"/>
        <v>1144788387.0874267</v>
      </c>
    </row>
    <row r="44" spans="1:8">
      <c r="A44" s="707">
        <v>23</v>
      </c>
      <c r="B44" s="706" t="s">
        <v>809</v>
      </c>
      <c r="C44" s="670">
        <v>250489884.01999998</v>
      </c>
      <c r="D44" s="670"/>
      <c r="E44" s="704">
        <f t="shared" si="0"/>
        <v>250489884.01999998</v>
      </c>
      <c r="F44" s="670">
        <v>182923155.27000001</v>
      </c>
      <c r="G44" s="670"/>
      <c r="H44" s="704">
        <f t="shared" si="1"/>
        <v>182923155.27000001</v>
      </c>
    </row>
    <row r="45" spans="1:8">
      <c r="A45" s="707">
        <v>24</v>
      </c>
      <c r="B45" s="706" t="s">
        <v>810</v>
      </c>
      <c r="C45" s="670">
        <f>C43-C44</f>
        <v>694453081.46618783</v>
      </c>
      <c r="D45" s="670">
        <f>D43-D44</f>
        <v>608514503.46974242</v>
      </c>
      <c r="E45" s="704">
        <f t="shared" si="0"/>
        <v>1302967584.9359303</v>
      </c>
      <c r="F45" s="670">
        <v>563516928.07482648</v>
      </c>
      <c r="G45" s="670">
        <v>398348303.74260026</v>
      </c>
      <c r="H45" s="704">
        <f t="shared" si="1"/>
        <v>961865231.81742668</v>
      </c>
    </row>
  </sheetData>
  <mergeCells count="4">
    <mergeCell ref="B4:B5"/>
    <mergeCell ref="C4:E4"/>
    <mergeCell ref="F4:H4"/>
    <mergeCell ref="A4:A5"/>
  </mergeCells>
  <pageMargins left="0.7" right="0.7" top="0.75"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7"/>
  <sheetViews>
    <sheetView zoomScaleNormal="100" workbookViewId="0"/>
  </sheetViews>
  <sheetFormatPr defaultRowHeight="15"/>
  <cols>
    <col min="1" max="1" width="8.7109375" style="332"/>
    <col min="2" max="2" width="87.5703125" bestFit="1" customWidth="1"/>
    <col min="3" max="3" width="20" customWidth="1"/>
    <col min="4" max="4" width="17" customWidth="1"/>
    <col min="5" max="5" width="20.85546875" customWidth="1"/>
    <col min="6" max="6" width="20" customWidth="1"/>
    <col min="7" max="7" width="17" customWidth="1"/>
    <col min="8" max="8" width="20.85546875" customWidth="1"/>
  </cols>
  <sheetData>
    <row r="1" spans="1:8" ht="15.75">
      <c r="A1" s="12" t="s">
        <v>108</v>
      </c>
      <c r="B1" s="258" t="str">
        <f>Info!C2</f>
        <v>სს ”საქართველოს ბანკი”</v>
      </c>
      <c r="C1" s="186"/>
      <c r="D1" s="186"/>
      <c r="F1" s="186"/>
      <c r="G1" s="186"/>
    </row>
    <row r="2" spans="1:8" ht="15.75">
      <c r="A2" s="12" t="s">
        <v>109</v>
      </c>
      <c r="B2" s="271">
        <f>'1. key ratios'!B2</f>
        <v>45291</v>
      </c>
      <c r="C2" s="13"/>
      <c r="D2" s="13"/>
      <c r="E2" s="1"/>
      <c r="F2" s="13"/>
      <c r="G2" s="13"/>
      <c r="H2" s="1"/>
    </row>
    <row r="3" spans="1:8" ht="16.5" thickBot="1">
      <c r="A3" s="12"/>
      <c r="B3" s="11"/>
      <c r="C3" s="13"/>
      <c r="D3" s="13"/>
      <c r="E3" s="1"/>
      <c r="F3" s="13"/>
      <c r="G3" s="13"/>
      <c r="H3" s="1"/>
    </row>
    <row r="4" spans="1:8" ht="15.75">
      <c r="A4" s="807" t="s">
        <v>25</v>
      </c>
      <c r="B4" s="816" t="s">
        <v>151</v>
      </c>
      <c r="C4" s="818" t="s">
        <v>114</v>
      </c>
      <c r="D4" s="818"/>
      <c r="E4" s="818"/>
      <c r="F4" s="818" t="s">
        <v>115</v>
      </c>
      <c r="G4" s="818"/>
      <c r="H4" s="819"/>
    </row>
    <row r="5" spans="1:8">
      <c r="A5" s="808"/>
      <c r="B5" s="817"/>
      <c r="C5" s="698" t="s">
        <v>26</v>
      </c>
      <c r="D5" s="698" t="s">
        <v>88</v>
      </c>
      <c r="E5" s="698" t="s">
        <v>66</v>
      </c>
      <c r="F5" s="698" t="s">
        <v>26</v>
      </c>
      <c r="G5" s="698" t="s">
        <v>88</v>
      </c>
      <c r="H5" s="752" t="s">
        <v>66</v>
      </c>
    </row>
    <row r="6" spans="1:8" ht="15.75">
      <c r="A6" s="550">
        <v>1</v>
      </c>
      <c r="B6" s="699" t="s">
        <v>811</v>
      </c>
      <c r="C6" s="527"/>
      <c r="D6" s="527"/>
      <c r="E6" s="700">
        <f t="shared" ref="E6:E43" si="0">C6+D6</f>
        <v>0</v>
      </c>
      <c r="F6" s="527"/>
      <c r="G6" s="527"/>
      <c r="H6" s="753">
        <f t="shared" ref="H6:H43" si="1">F6+G6</f>
        <v>0</v>
      </c>
    </row>
    <row r="7" spans="1:8" ht="15.75">
      <c r="A7" s="550">
        <v>2</v>
      </c>
      <c r="B7" s="699" t="s">
        <v>176</v>
      </c>
      <c r="C7" s="527"/>
      <c r="D7" s="527"/>
      <c r="E7" s="700">
        <f t="shared" si="0"/>
        <v>0</v>
      </c>
      <c r="F7" s="527"/>
      <c r="G7" s="527"/>
      <c r="H7" s="753">
        <f t="shared" si="1"/>
        <v>0</v>
      </c>
    </row>
    <row r="8" spans="1:8" ht="15.75">
      <c r="A8" s="550">
        <v>3</v>
      </c>
      <c r="B8" s="699" t="s">
        <v>178</v>
      </c>
      <c r="C8" s="527">
        <f>C9+C10</f>
        <v>814768765.02999997</v>
      </c>
      <c r="D8" s="527">
        <f>D9+D10</f>
        <v>608863604.24479997</v>
      </c>
      <c r="E8" s="700">
        <f t="shared" si="0"/>
        <v>1423632369.2747998</v>
      </c>
      <c r="F8" s="527">
        <f>F9+F10</f>
        <v>882895137.46000004</v>
      </c>
      <c r="G8" s="527">
        <f>G9+G10</f>
        <v>660742546.6796999</v>
      </c>
      <c r="H8" s="753">
        <f>F8+G8</f>
        <v>1543637684.1396999</v>
      </c>
    </row>
    <row r="9" spans="1:8" ht="15.75">
      <c r="A9" s="550">
        <v>3.1</v>
      </c>
      <c r="B9" s="746" t="s">
        <v>812</v>
      </c>
      <c r="C9" s="527">
        <v>414354698.31</v>
      </c>
      <c r="D9" s="527">
        <v>289290455.81999999</v>
      </c>
      <c r="E9" s="700">
        <f t="shared" si="0"/>
        <v>703645154.13</v>
      </c>
      <c r="F9" s="527">
        <v>365424131.54000002</v>
      </c>
      <c r="G9" s="527">
        <v>281962082.32999998</v>
      </c>
      <c r="H9" s="753">
        <f t="shared" si="1"/>
        <v>647386213.87</v>
      </c>
    </row>
    <row r="10" spans="1:8" ht="15.75">
      <c r="A10" s="550">
        <v>3.2</v>
      </c>
      <c r="B10" s="746" t="s">
        <v>813</v>
      </c>
      <c r="C10" s="527">
        <v>400414066.72000003</v>
      </c>
      <c r="D10" s="527">
        <v>319573148.42479998</v>
      </c>
      <c r="E10" s="700">
        <f t="shared" si="0"/>
        <v>719987215.14479995</v>
      </c>
      <c r="F10" s="527">
        <v>517471005.92000002</v>
      </c>
      <c r="G10" s="527">
        <v>378780464.34969997</v>
      </c>
      <c r="H10" s="753">
        <f t="shared" si="1"/>
        <v>896251470.26970005</v>
      </c>
    </row>
    <row r="11" spans="1:8" ht="15.75">
      <c r="A11" s="550">
        <v>4</v>
      </c>
      <c r="B11" s="699" t="s">
        <v>177</v>
      </c>
      <c r="C11" s="527">
        <f>C12+C13</f>
        <v>2365329000</v>
      </c>
      <c r="D11" s="527">
        <f>D12+D13</f>
        <v>0</v>
      </c>
      <c r="E11" s="700">
        <f t="shared" si="0"/>
        <v>2365329000</v>
      </c>
      <c r="F11" s="527">
        <f>F12+F13</f>
        <v>2924032000</v>
      </c>
      <c r="G11" s="527">
        <f>G12+G13</f>
        <v>0</v>
      </c>
      <c r="H11" s="753">
        <f t="shared" si="1"/>
        <v>2924032000</v>
      </c>
    </row>
    <row r="12" spans="1:8" ht="15.75">
      <c r="A12" s="550">
        <v>4.0999999999999996</v>
      </c>
      <c r="B12" s="746" t="s">
        <v>814</v>
      </c>
      <c r="C12" s="527">
        <v>2365329000</v>
      </c>
      <c r="D12" s="527"/>
      <c r="E12" s="700">
        <f t="shared" si="0"/>
        <v>2365329000</v>
      </c>
      <c r="F12" s="527">
        <v>2924032000</v>
      </c>
      <c r="G12" s="527">
        <v>0</v>
      </c>
      <c r="H12" s="753">
        <f t="shared" si="1"/>
        <v>2924032000</v>
      </c>
    </row>
    <row r="13" spans="1:8" ht="15.75">
      <c r="A13" s="550">
        <v>4.2</v>
      </c>
      <c r="B13" s="746" t="s">
        <v>815</v>
      </c>
      <c r="C13" s="527"/>
      <c r="D13" s="527"/>
      <c r="E13" s="700">
        <f t="shared" si="0"/>
        <v>0</v>
      </c>
      <c r="F13" s="527"/>
      <c r="G13" s="527"/>
      <c r="H13" s="753">
        <f t="shared" si="1"/>
        <v>0</v>
      </c>
    </row>
    <row r="14" spans="1:8" ht="15.75">
      <c r="A14" s="550">
        <v>5</v>
      </c>
      <c r="B14" s="747" t="s">
        <v>816</v>
      </c>
      <c r="C14" s="527">
        <f>C15+C16+C17+C23+C24+C25+C26</f>
        <v>19602672786.209999</v>
      </c>
      <c r="D14" s="527">
        <f>D15+D16+D17+D23+D24+D25+D26</f>
        <v>21738372125.910004</v>
      </c>
      <c r="E14" s="700">
        <f t="shared" si="0"/>
        <v>41341044912.120003</v>
      </c>
      <c r="F14" s="527">
        <f>F15+F16+F17+F23+F24+F25+F26</f>
        <v>15195247074.730001</v>
      </c>
      <c r="G14" s="527">
        <f>G15+G16+G17+G23+G24+G25+G26</f>
        <v>18778216461.760002</v>
      </c>
      <c r="H14" s="753">
        <f>F14+G14</f>
        <v>33973463536.490005</v>
      </c>
    </row>
    <row r="15" spans="1:8" ht="15.75">
      <c r="A15" s="550">
        <v>5.0999999999999996</v>
      </c>
      <c r="B15" s="748" t="s">
        <v>817</v>
      </c>
      <c r="C15" s="527">
        <v>500152862.25999999</v>
      </c>
      <c r="D15" s="527">
        <v>270815469.36000001</v>
      </c>
      <c r="E15" s="700">
        <f t="shared" si="0"/>
        <v>770968331.62</v>
      </c>
      <c r="F15" s="527">
        <v>287339186.72000003</v>
      </c>
      <c r="G15" s="527">
        <v>203507523.00999999</v>
      </c>
      <c r="H15" s="753">
        <f t="shared" si="1"/>
        <v>490846709.73000002</v>
      </c>
    </row>
    <row r="16" spans="1:8" ht="15.75">
      <c r="A16" s="550">
        <v>5.2</v>
      </c>
      <c r="B16" s="748" t="s">
        <v>818</v>
      </c>
      <c r="C16" s="527">
        <v>163639746.31999999</v>
      </c>
      <c r="D16" s="527">
        <v>137556.98000000001</v>
      </c>
      <c r="E16" s="700">
        <f t="shared" si="0"/>
        <v>163777303.29999998</v>
      </c>
      <c r="F16" s="527">
        <v>182526469.90000001</v>
      </c>
      <c r="G16" s="527">
        <v>193010.24</v>
      </c>
      <c r="H16" s="753">
        <f t="shared" si="1"/>
        <v>182719480.14000002</v>
      </c>
    </row>
    <row r="17" spans="1:8" ht="15.75">
      <c r="A17" s="550">
        <v>5.3</v>
      </c>
      <c r="B17" s="748" t="s">
        <v>819</v>
      </c>
      <c r="C17" s="527">
        <f>SUM(C18:C22)</f>
        <v>16416366237.469999</v>
      </c>
      <c r="D17" s="527">
        <f>SUM(D18:D22)</f>
        <v>16988929559.570002</v>
      </c>
      <c r="E17" s="700">
        <f>C17+D17</f>
        <v>33405295797.040001</v>
      </c>
      <c r="F17" s="527">
        <f>SUM(F18:F22)</f>
        <v>12087532104</v>
      </c>
      <c r="G17" s="527">
        <f>SUM(G18:G22)</f>
        <v>13487013810.440001</v>
      </c>
      <c r="H17" s="753">
        <f>F17+G17</f>
        <v>25574545914.440002</v>
      </c>
    </row>
    <row r="18" spans="1:8" ht="15.75">
      <c r="A18" s="550" t="s">
        <v>179</v>
      </c>
      <c r="B18" s="749" t="s">
        <v>820</v>
      </c>
      <c r="C18" s="527">
        <v>11572426667.389999</v>
      </c>
      <c r="D18" s="527">
        <v>5614993413.7799997</v>
      </c>
      <c r="E18" s="700">
        <f t="shared" si="0"/>
        <v>17187420081.169998</v>
      </c>
      <c r="F18" s="527">
        <v>8449100158.1099997</v>
      </c>
      <c r="G18" s="527">
        <v>5320603220.4499998</v>
      </c>
      <c r="H18" s="753">
        <f t="shared" si="1"/>
        <v>13769703378.559999</v>
      </c>
    </row>
    <row r="19" spans="1:8" ht="15.75">
      <c r="A19" s="550" t="s">
        <v>180</v>
      </c>
      <c r="B19" s="750" t="s">
        <v>821</v>
      </c>
      <c r="C19" s="527">
        <v>3442327628.1700001</v>
      </c>
      <c r="D19" s="527">
        <v>9529187417.6000004</v>
      </c>
      <c r="E19" s="700">
        <f t="shared" si="0"/>
        <v>12971515045.77</v>
      </c>
      <c r="F19" s="527">
        <v>2430472909.0999999</v>
      </c>
      <c r="G19" s="527">
        <v>6656073867.3800001</v>
      </c>
      <c r="H19" s="753">
        <f t="shared" si="1"/>
        <v>9086546776.4799995</v>
      </c>
    </row>
    <row r="20" spans="1:8" ht="15.75">
      <c r="A20" s="550" t="s">
        <v>181</v>
      </c>
      <c r="B20" s="750" t="s">
        <v>822</v>
      </c>
      <c r="C20" s="527">
        <v>0</v>
      </c>
      <c r="D20" s="527">
        <v>0</v>
      </c>
      <c r="E20" s="700">
        <f t="shared" si="0"/>
        <v>0</v>
      </c>
      <c r="F20" s="527">
        <v>0</v>
      </c>
      <c r="G20" s="527">
        <v>0</v>
      </c>
      <c r="H20" s="753">
        <f t="shared" si="1"/>
        <v>0</v>
      </c>
    </row>
    <row r="21" spans="1:8" ht="15.75">
      <c r="A21" s="550" t="s">
        <v>182</v>
      </c>
      <c r="B21" s="750" t="s">
        <v>823</v>
      </c>
      <c r="C21" s="527">
        <v>1401611941.9100001</v>
      </c>
      <c r="D21" s="527">
        <v>1844748728.1900001</v>
      </c>
      <c r="E21" s="700">
        <f t="shared" si="0"/>
        <v>3246360670.1000004</v>
      </c>
      <c r="F21" s="527">
        <v>1207959036.79</v>
      </c>
      <c r="G21" s="527">
        <v>1510336722.6099999</v>
      </c>
      <c r="H21" s="753">
        <f t="shared" si="1"/>
        <v>2718295759.3999996</v>
      </c>
    </row>
    <row r="22" spans="1:8" ht="15.75">
      <c r="A22" s="550" t="s">
        <v>183</v>
      </c>
      <c r="B22" s="750" t="s">
        <v>540</v>
      </c>
      <c r="C22" s="527">
        <v>0</v>
      </c>
      <c r="D22" s="527">
        <v>0</v>
      </c>
      <c r="E22" s="700">
        <f t="shared" si="0"/>
        <v>0</v>
      </c>
      <c r="F22" s="527">
        <v>0</v>
      </c>
      <c r="G22" s="527">
        <v>0</v>
      </c>
      <c r="H22" s="753">
        <f t="shared" si="1"/>
        <v>0</v>
      </c>
    </row>
    <row r="23" spans="1:8" ht="15.75">
      <c r="A23" s="550">
        <v>5.4</v>
      </c>
      <c r="B23" s="748" t="s">
        <v>824</v>
      </c>
      <c r="C23" s="527">
        <v>208087110.97</v>
      </c>
      <c r="D23" s="527">
        <v>198821285.08000001</v>
      </c>
      <c r="E23" s="700">
        <f t="shared" si="0"/>
        <v>406908396.05000001</v>
      </c>
      <c r="F23" s="527">
        <v>181571681.49000001</v>
      </c>
      <c r="G23" s="527">
        <v>228115312.25</v>
      </c>
      <c r="H23" s="753">
        <f t="shared" si="1"/>
        <v>409686993.74000001</v>
      </c>
    </row>
    <row r="24" spans="1:8" ht="15.75">
      <c r="A24" s="550">
        <v>5.5</v>
      </c>
      <c r="B24" s="748" t="s">
        <v>825</v>
      </c>
      <c r="C24" s="527">
        <v>0</v>
      </c>
      <c r="D24" s="527">
        <v>0</v>
      </c>
      <c r="E24" s="700">
        <f t="shared" si="0"/>
        <v>0</v>
      </c>
      <c r="F24" s="527">
        <v>0</v>
      </c>
      <c r="G24" s="527">
        <v>0</v>
      </c>
      <c r="H24" s="753">
        <f t="shared" si="1"/>
        <v>0</v>
      </c>
    </row>
    <row r="25" spans="1:8" ht="15.75">
      <c r="A25" s="550">
        <v>5.6</v>
      </c>
      <c r="B25" s="748" t="s">
        <v>826</v>
      </c>
      <c r="C25" s="527">
        <v>240343206.88999999</v>
      </c>
      <c r="D25" s="527">
        <v>1173208274.1800001</v>
      </c>
      <c r="E25" s="700">
        <f t="shared" si="0"/>
        <v>1413551481.0700002</v>
      </c>
      <c r="F25" s="527">
        <v>248012686.11000001</v>
      </c>
      <c r="G25" s="527">
        <v>1390194464.1500001</v>
      </c>
      <c r="H25" s="753">
        <f t="shared" si="1"/>
        <v>1638207150.2600002</v>
      </c>
    </row>
    <row r="26" spans="1:8" ht="15.75">
      <c r="A26" s="550">
        <v>5.7</v>
      </c>
      <c r="B26" s="748" t="s">
        <v>540</v>
      </c>
      <c r="C26" s="527">
        <v>2074083622.3</v>
      </c>
      <c r="D26" s="527">
        <v>3106459980.7399998</v>
      </c>
      <c r="E26" s="700">
        <f t="shared" si="0"/>
        <v>5180543603.04</v>
      </c>
      <c r="F26" s="527">
        <v>2208264946.5100002</v>
      </c>
      <c r="G26" s="527">
        <v>3469192341.6700001</v>
      </c>
      <c r="H26" s="753">
        <f t="shared" si="1"/>
        <v>5677457288.1800003</v>
      </c>
    </row>
    <row r="27" spans="1:8" ht="15.75">
      <c r="A27" s="550">
        <v>6</v>
      </c>
      <c r="B27" s="747" t="s">
        <v>827</v>
      </c>
      <c r="C27" s="527">
        <v>470698234.50999999</v>
      </c>
      <c r="D27" s="527">
        <v>497049550.85749996</v>
      </c>
      <c r="E27" s="700">
        <f t="shared" si="0"/>
        <v>967747785.36749995</v>
      </c>
      <c r="F27" s="527">
        <v>493860103.08000004</v>
      </c>
      <c r="G27" s="527">
        <v>316323252.09580004</v>
      </c>
      <c r="H27" s="753">
        <f t="shared" si="1"/>
        <v>810183355.17580009</v>
      </c>
    </row>
    <row r="28" spans="1:8" ht="15.75">
      <c r="A28" s="550">
        <v>7</v>
      </c>
      <c r="B28" s="747" t="s">
        <v>828</v>
      </c>
      <c r="C28" s="527">
        <v>1216055675.1099999</v>
      </c>
      <c r="D28" s="527">
        <v>679555220.29359996</v>
      </c>
      <c r="E28" s="700">
        <f t="shared" si="0"/>
        <v>1895610895.4035997</v>
      </c>
      <c r="F28" s="527">
        <v>1055196991.02</v>
      </c>
      <c r="G28" s="527">
        <v>640725499.56089997</v>
      </c>
      <c r="H28" s="753">
        <f t="shared" si="1"/>
        <v>1695922490.5809</v>
      </c>
    </row>
    <row r="29" spans="1:8" ht="15.75">
      <c r="A29" s="550">
        <v>8</v>
      </c>
      <c r="B29" s="747" t="s">
        <v>829</v>
      </c>
      <c r="C29" s="527">
        <v>0</v>
      </c>
      <c r="D29" s="527">
        <v>77545139.726199985</v>
      </c>
      <c r="E29" s="700">
        <f t="shared" si="0"/>
        <v>77545139.726199985</v>
      </c>
      <c r="F29" s="527">
        <v>0</v>
      </c>
      <c r="G29" s="527">
        <v>116308762.9366</v>
      </c>
      <c r="H29" s="753">
        <f t="shared" si="1"/>
        <v>116308762.9366</v>
      </c>
    </row>
    <row r="30" spans="1:8" ht="15.75">
      <c r="A30" s="550">
        <v>9</v>
      </c>
      <c r="B30" s="699" t="s">
        <v>184</v>
      </c>
      <c r="C30" s="527">
        <f>C31+C32+C33+C34+C35+C36+C37</f>
        <v>576194149.15999973</v>
      </c>
      <c r="D30" s="527">
        <f>D31+D32+D33+D34+D35+D36+D37</f>
        <v>4299813889.9794416</v>
      </c>
      <c r="E30" s="700">
        <f t="shared" si="0"/>
        <v>4876008039.1394415</v>
      </c>
      <c r="F30" s="527">
        <f>F31+F32+F33+F34+F35+F36+F37</f>
        <v>890184651.61000013</v>
      </c>
      <c r="G30" s="527">
        <f>G31+G32+G33+G34+G35+G36+G37</f>
        <v>4979443121.6982975</v>
      </c>
      <c r="H30" s="753">
        <f t="shared" si="1"/>
        <v>5869627773.3082981</v>
      </c>
    </row>
    <row r="31" spans="1:8" ht="25.5">
      <c r="A31" s="550">
        <v>9.1</v>
      </c>
      <c r="B31" s="746" t="s">
        <v>830</v>
      </c>
      <c r="C31" s="527">
        <v>493262570.46999973</v>
      </c>
      <c r="D31" s="527">
        <v>1941657304.494514</v>
      </c>
      <c r="E31" s="700">
        <f t="shared" si="0"/>
        <v>2434919874.9645138</v>
      </c>
      <c r="F31" s="527">
        <v>652332661.1400001</v>
      </c>
      <c r="G31" s="527">
        <v>2274821064.6007538</v>
      </c>
      <c r="H31" s="753">
        <f t="shared" si="1"/>
        <v>2927153725.7407541</v>
      </c>
    </row>
    <row r="32" spans="1:8" ht="25.5">
      <c r="A32" s="550">
        <v>9.1999999999999993</v>
      </c>
      <c r="B32" s="746" t="s">
        <v>831</v>
      </c>
      <c r="C32" s="527">
        <v>82931578.689999998</v>
      </c>
      <c r="D32" s="527">
        <v>2358156585.4849277</v>
      </c>
      <c r="E32" s="700">
        <f t="shared" si="0"/>
        <v>2441088164.1749277</v>
      </c>
      <c r="F32" s="527">
        <v>237851990.47</v>
      </c>
      <c r="G32" s="527">
        <v>2704622057.0975437</v>
      </c>
      <c r="H32" s="753">
        <f t="shared" si="1"/>
        <v>2942474047.5675435</v>
      </c>
    </row>
    <row r="33" spans="1:8" ht="15.75">
      <c r="A33" s="550">
        <v>9.3000000000000007</v>
      </c>
      <c r="B33" s="746" t="s">
        <v>832</v>
      </c>
      <c r="C33" s="527"/>
      <c r="D33" s="527"/>
      <c r="E33" s="700">
        <f t="shared" si="0"/>
        <v>0</v>
      </c>
      <c r="F33" s="527"/>
      <c r="G33" s="527"/>
      <c r="H33" s="753">
        <f t="shared" si="1"/>
        <v>0</v>
      </c>
    </row>
    <row r="34" spans="1:8" ht="15.75">
      <c r="A34" s="550">
        <v>9.4</v>
      </c>
      <c r="B34" s="746" t="s">
        <v>833</v>
      </c>
      <c r="C34" s="527"/>
      <c r="D34" s="527"/>
      <c r="E34" s="700">
        <f t="shared" si="0"/>
        <v>0</v>
      </c>
      <c r="F34" s="527"/>
      <c r="G34" s="527"/>
      <c r="H34" s="753">
        <f t="shared" si="1"/>
        <v>0</v>
      </c>
    </row>
    <row r="35" spans="1:8" ht="15.75">
      <c r="A35" s="550">
        <v>9.5</v>
      </c>
      <c r="B35" s="746" t="s">
        <v>834</v>
      </c>
      <c r="C35" s="527"/>
      <c r="D35" s="527"/>
      <c r="E35" s="700">
        <f t="shared" si="0"/>
        <v>0</v>
      </c>
      <c r="F35" s="527"/>
      <c r="G35" s="527">
        <v>0</v>
      </c>
      <c r="H35" s="753">
        <f t="shared" si="1"/>
        <v>0</v>
      </c>
    </row>
    <row r="36" spans="1:8" ht="25.5">
      <c r="A36" s="550">
        <v>9.6</v>
      </c>
      <c r="B36" s="746" t="s">
        <v>835</v>
      </c>
      <c r="C36" s="527"/>
      <c r="D36" s="527"/>
      <c r="E36" s="700">
        <f t="shared" si="0"/>
        <v>0</v>
      </c>
      <c r="F36" s="527"/>
      <c r="G36" s="527"/>
      <c r="H36" s="753">
        <f t="shared" si="1"/>
        <v>0</v>
      </c>
    </row>
    <row r="37" spans="1:8" ht="25.5">
      <c r="A37" s="550">
        <v>9.6999999999999993</v>
      </c>
      <c r="B37" s="746" t="s">
        <v>836</v>
      </c>
      <c r="C37" s="527"/>
      <c r="D37" s="527"/>
      <c r="E37" s="700">
        <f t="shared" si="0"/>
        <v>0</v>
      </c>
      <c r="F37" s="527"/>
      <c r="G37" s="527"/>
      <c r="H37" s="753">
        <f t="shared" si="1"/>
        <v>0</v>
      </c>
    </row>
    <row r="38" spans="1:8" ht="15.75">
      <c r="A38" s="550">
        <v>10</v>
      </c>
      <c r="B38" s="751" t="s">
        <v>837</v>
      </c>
      <c r="C38" s="527">
        <f>C39+C40+C41+C42</f>
        <v>352646653.38999999</v>
      </c>
      <c r="D38" s="527">
        <f>D39+D40+D41+D42</f>
        <v>81368838.826900005</v>
      </c>
      <c r="E38" s="700">
        <f t="shared" si="0"/>
        <v>434015492.21689999</v>
      </c>
      <c r="F38" s="527">
        <f>F39+F40+F41+F42</f>
        <v>314606174.02999997</v>
      </c>
      <c r="G38" s="527">
        <f>G39+G40+G41+G42</f>
        <v>98819359.851904005</v>
      </c>
      <c r="H38" s="753">
        <f t="shared" si="1"/>
        <v>413425533.88190401</v>
      </c>
    </row>
    <row r="39" spans="1:8" ht="15.75">
      <c r="A39" s="550">
        <v>10.1</v>
      </c>
      <c r="B39" s="746" t="s">
        <v>838</v>
      </c>
      <c r="C39" s="527">
        <v>22699819.07</v>
      </c>
      <c r="D39" s="527">
        <v>1906919.08</v>
      </c>
      <c r="E39" s="700">
        <f t="shared" si="0"/>
        <v>24606738.149999999</v>
      </c>
      <c r="F39" s="527">
        <v>50649196.740000002</v>
      </c>
      <c r="G39" s="527">
        <v>16570482.98</v>
      </c>
      <c r="H39" s="753">
        <f t="shared" si="1"/>
        <v>67219679.719999999</v>
      </c>
    </row>
    <row r="40" spans="1:8" ht="25.5">
      <c r="A40" s="550">
        <v>10.199999999999999</v>
      </c>
      <c r="B40" s="746" t="s">
        <v>839</v>
      </c>
      <c r="C40" s="527">
        <v>5414179.75</v>
      </c>
      <c r="D40" s="527">
        <v>452558.88357300003</v>
      </c>
      <c r="E40" s="700">
        <f t="shared" si="0"/>
        <v>5866738.6335730003</v>
      </c>
      <c r="F40" s="527">
        <v>6994771.8600000003</v>
      </c>
      <c r="G40" s="527">
        <v>851638.57233200001</v>
      </c>
      <c r="H40" s="753">
        <f t="shared" si="1"/>
        <v>7846410.4323320007</v>
      </c>
    </row>
    <row r="41" spans="1:8" ht="25.5">
      <c r="A41" s="550">
        <v>10.3</v>
      </c>
      <c r="B41" s="746" t="s">
        <v>840</v>
      </c>
      <c r="C41" s="527">
        <v>257376050.68000001</v>
      </c>
      <c r="D41" s="527">
        <v>61410097.670000002</v>
      </c>
      <c r="E41" s="700">
        <f t="shared" si="0"/>
        <v>318786148.35000002</v>
      </c>
      <c r="F41" s="527">
        <v>203340864.34</v>
      </c>
      <c r="G41" s="527">
        <v>63798233.260000005</v>
      </c>
      <c r="H41" s="753">
        <f t="shared" si="1"/>
        <v>267139097.60000002</v>
      </c>
    </row>
    <row r="42" spans="1:8" ht="25.5">
      <c r="A42" s="550">
        <v>10.4</v>
      </c>
      <c r="B42" s="746" t="s">
        <v>841</v>
      </c>
      <c r="C42" s="527">
        <v>67156603.890000001</v>
      </c>
      <c r="D42" s="527">
        <v>17599263.193326999</v>
      </c>
      <c r="E42" s="700">
        <f t="shared" si="0"/>
        <v>84755867.083326995</v>
      </c>
      <c r="F42" s="527">
        <v>53621341.090000004</v>
      </c>
      <c r="G42" s="527">
        <v>17599005.039572001</v>
      </c>
      <c r="H42" s="753">
        <f t="shared" si="1"/>
        <v>71220346.129572004</v>
      </c>
    </row>
    <row r="43" spans="1:8" ht="16.5" thickBot="1">
      <c r="A43" s="551">
        <v>11</v>
      </c>
      <c r="B43" s="754" t="s">
        <v>185</v>
      </c>
      <c r="C43" s="701"/>
      <c r="D43" s="701"/>
      <c r="E43" s="702">
        <f t="shared" si="0"/>
        <v>0</v>
      </c>
      <c r="F43" s="701"/>
      <c r="G43" s="701"/>
      <c r="H43" s="755">
        <f t="shared" si="1"/>
        <v>0</v>
      </c>
    </row>
    <row r="44" spans="1:8" ht="15.75">
      <c r="C44" s="333"/>
      <c r="D44" s="333"/>
      <c r="E44" s="333"/>
      <c r="F44" s="333"/>
      <c r="G44" s="333"/>
      <c r="H44" s="333"/>
    </row>
    <row r="45" spans="1:8" ht="15.75">
      <c r="C45" s="333"/>
      <c r="D45" s="333"/>
      <c r="E45" s="333"/>
      <c r="F45" s="333"/>
      <c r="G45" s="333"/>
      <c r="H45" s="333"/>
    </row>
    <row r="46" spans="1:8" ht="15.75">
      <c r="C46" s="333"/>
      <c r="D46" s="333"/>
      <c r="E46" s="333"/>
      <c r="F46" s="333"/>
      <c r="G46" s="333"/>
      <c r="H46" s="333"/>
    </row>
    <row r="47" spans="1:8" ht="15.75">
      <c r="C47" s="333"/>
      <c r="D47" s="333"/>
      <c r="E47" s="333"/>
      <c r="F47" s="333"/>
      <c r="G47" s="333"/>
      <c r="H47" s="333"/>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9.5703125" style="2" bestFit="1" customWidth="1"/>
    <col min="2" max="2" width="93.5703125" style="2" customWidth="1"/>
    <col min="3" max="4" width="12.7109375" style="2" customWidth="1"/>
    <col min="5" max="7" width="11.7109375" style="9" bestFit="1" customWidth="1"/>
    <col min="8" max="8" width="9.7109375" style="9" customWidth="1"/>
    <col min="9" max="16384" width="9.140625" style="9"/>
  </cols>
  <sheetData>
    <row r="1" spans="1:8" ht="15">
      <c r="A1" s="12" t="s">
        <v>108</v>
      </c>
      <c r="B1" s="11" t="str">
        <f>Info!C2</f>
        <v>სს ”საქართველოს ბანკი”</v>
      </c>
      <c r="C1" s="11"/>
      <c r="D1" s="186"/>
    </row>
    <row r="2" spans="1:8" ht="15">
      <c r="A2" s="12" t="s">
        <v>109</v>
      </c>
      <c r="B2" s="271">
        <f>'1. key ratios'!B2</f>
        <v>45291</v>
      </c>
      <c r="C2" s="22"/>
      <c r="D2" s="476"/>
      <c r="E2" s="8"/>
      <c r="F2" s="8"/>
      <c r="G2" s="8"/>
      <c r="H2" s="8"/>
    </row>
    <row r="3" spans="1:8" ht="15">
      <c r="A3" s="12"/>
      <c r="B3" s="11"/>
      <c r="C3" s="22"/>
      <c r="D3" s="13"/>
      <c r="E3" s="8"/>
      <c r="F3" s="8"/>
      <c r="G3" s="8"/>
      <c r="H3" s="8"/>
    </row>
    <row r="4" spans="1:8" ht="15" customHeight="1" thickBot="1">
      <c r="A4" s="114" t="s">
        <v>252</v>
      </c>
      <c r="B4" s="115" t="s">
        <v>107</v>
      </c>
      <c r="C4" s="116" t="s">
        <v>87</v>
      </c>
    </row>
    <row r="5" spans="1:8" ht="15" customHeight="1">
      <c r="A5" s="112" t="s">
        <v>25</v>
      </c>
      <c r="B5" s="113"/>
      <c r="C5" s="269" t="str">
        <f>INT((MONTH($B$2))/3)&amp;"Q"&amp;"-"&amp;YEAR($B$2)</f>
        <v>4Q-2023</v>
      </c>
      <c r="D5" s="269" t="str">
        <f>IF(INT(MONTH($B$2))=3, "4"&amp;"Q"&amp;"-"&amp;YEAR($B$2)-1, IF(INT(MONTH($B$2))=6, "1"&amp;"Q"&amp;"-"&amp;YEAR($B$2), IF(INT(MONTH($B$2))=9, "2"&amp;"Q"&amp;"-"&amp;YEAR($B$2),IF(INT(MONTH($B$2))=12, "3"&amp;"Q"&amp;"-"&amp;YEAR($B$2), 0))))</f>
        <v>3Q-2023</v>
      </c>
      <c r="E5" s="269" t="str">
        <f>IF(INT(MONTH($B$2))=3, "3"&amp;"Q"&amp;"-"&amp;YEAR($B$2)-1, IF(INT(MONTH($B$2))=6, "4"&amp;"Q"&amp;"-"&amp;YEAR($B$2)-1, IF(INT(MONTH($B$2))=9, "1"&amp;"Q"&amp;"-"&amp;YEAR($B$2),IF(INT(MONTH($B$2))=12, "2"&amp;"Q"&amp;"-"&amp;YEAR($B$2), 0))))</f>
        <v>2Q-2023</v>
      </c>
      <c r="F5" s="269" t="str">
        <f>IF(INT(MONTH($B$2))=3, "2"&amp;"Q"&amp;"-"&amp;YEAR($B$2)-1, IF(INT(MONTH($B$2))=6, "3"&amp;"Q"&amp;"-"&amp;YEAR($B$2)-1, IF(INT(MONTH($B$2))=9, "4"&amp;"Q"&amp;"-"&amp;YEAR($B$2)-1,IF(INT(MONTH($B$2))=12, "1"&amp;"Q"&amp;"-"&amp;YEAR($B$2), 0))))</f>
        <v>1Q-2023</v>
      </c>
      <c r="G5" s="269" t="str">
        <f>IF(INT(MONTH($B$2))=3, "1"&amp;"Q"&amp;"-"&amp;YEAR($B$2)-1, IF(INT(MONTH($B$2))=6, "2"&amp;"Q"&amp;"-"&amp;YEAR($B$2)-1, IF(INT(MONTH($B$2))=9, "3"&amp;"Q"&amp;"-"&amp;YEAR($B$2)-1,IF(INT(MONTH($B$2))=12, "4"&amp;"Q"&amp;"-"&amp;YEAR($B$2)-1, 0))))</f>
        <v>4Q-2022</v>
      </c>
    </row>
    <row r="6" spans="1:8" ht="15" customHeight="1">
      <c r="A6" s="213">
        <v>1</v>
      </c>
      <c r="B6" s="260" t="s">
        <v>112</v>
      </c>
      <c r="C6" s="214">
        <f>C7+C9+C10</f>
        <v>19603125122.894077</v>
      </c>
      <c r="D6" s="263">
        <v>18320269657.364441</v>
      </c>
      <c r="E6" s="215">
        <v>17506854489.639347</v>
      </c>
      <c r="F6" s="214">
        <v>17087179299.749371</v>
      </c>
      <c r="G6" s="264">
        <v>17451383093.870884</v>
      </c>
    </row>
    <row r="7" spans="1:8" ht="15" customHeight="1">
      <c r="A7" s="213">
        <v>1.1000000000000001</v>
      </c>
      <c r="B7" s="216" t="s">
        <v>435</v>
      </c>
      <c r="C7" s="217">
        <v>18593535254.453899</v>
      </c>
      <c r="D7" s="217">
        <v>17378289499.983711</v>
      </c>
      <c r="E7" s="217">
        <v>16612623304.026764</v>
      </c>
      <c r="F7" s="217">
        <v>16253110501.412691</v>
      </c>
      <c r="G7" s="217">
        <v>16590135222.602516</v>
      </c>
    </row>
    <row r="8" spans="1:8" ht="25.5">
      <c r="A8" s="213" t="s">
        <v>157</v>
      </c>
      <c r="B8" s="218" t="s">
        <v>249</v>
      </c>
      <c r="C8" s="217">
        <v>147144734.51999998</v>
      </c>
      <c r="D8" s="217">
        <v>148740748.83999997</v>
      </c>
      <c r="E8" s="217">
        <v>148568390.82529998</v>
      </c>
      <c r="F8" s="217">
        <v>148555914.72509998</v>
      </c>
      <c r="G8" s="217">
        <v>151804720.6652</v>
      </c>
    </row>
    <row r="9" spans="1:8" ht="15" customHeight="1">
      <c r="A9" s="213">
        <v>1.2</v>
      </c>
      <c r="B9" s="216" t="s">
        <v>21</v>
      </c>
      <c r="C9" s="217">
        <v>996979915.79111564</v>
      </c>
      <c r="D9" s="217">
        <v>931327317.65896559</v>
      </c>
      <c r="E9" s="217">
        <v>885032059.15962493</v>
      </c>
      <c r="F9" s="217">
        <v>824012837.25019991</v>
      </c>
      <c r="G9" s="217">
        <v>845605725.42429984</v>
      </c>
    </row>
    <row r="10" spans="1:8" ht="15" customHeight="1">
      <c r="A10" s="213">
        <v>1.3</v>
      </c>
      <c r="B10" s="261" t="s">
        <v>74</v>
      </c>
      <c r="C10" s="217">
        <v>12609952.649062399</v>
      </c>
      <c r="D10" s="217">
        <v>10652839.721764</v>
      </c>
      <c r="E10" s="217">
        <v>9199126.4529559985</v>
      </c>
      <c r="F10" s="217">
        <v>10055961.086479401</v>
      </c>
      <c r="G10" s="217">
        <v>15642145.844064999</v>
      </c>
    </row>
    <row r="11" spans="1:8" ht="15" customHeight="1">
      <c r="A11" s="213">
        <v>2</v>
      </c>
      <c r="B11" s="260" t="s">
        <v>113</v>
      </c>
      <c r="C11" s="217">
        <v>123503666.79659675</v>
      </c>
      <c r="D11" s="217">
        <v>54126010.892461874</v>
      </c>
      <c r="E11" s="217">
        <v>90265974.725985453</v>
      </c>
      <c r="F11" s="217">
        <v>35275073.636974022</v>
      </c>
      <c r="G11" s="217">
        <v>108999294.88707557</v>
      </c>
    </row>
    <row r="12" spans="1:8" ht="15" customHeight="1">
      <c r="A12" s="228">
        <v>3</v>
      </c>
      <c r="B12" s="262" t="s">
        <v>111</v>
      </c>
      <c r="C12" s="217">
        <v>3335276249.9999995</v>
      </c>
      <c r="D12" s="217">
        <v>2507003750</v>
      </c>
      <c r="E12" s="217">
        <v>2507003750</v>
      </c>
      <c r="F12" s="217">
        <v>2507003750</v>
      </c>
      <c r="G12" s="217">
        <v>2507003750</v>
      </c>
    </row>
    <row r="13" spans="1:8" ht="15" customHeight="1" thickBot="1">
      <c r="A13" s="63">
        <v>4</v>
      </c>
      <c r="B13" s="267" t="s">
        <v>158</v>
      </c>
      <c r="C13" s="131">
        <f>C6+C11+C12</f>
        <v>23061905039.690674</v>
      </c>
      <c r="D13" s="265">
        <v>20881399418.256905</v>
      </c>
      <c r="E13" s="132">
        <v>20104124214.365334</v>
      </c>
      <c r="F13" s="131">
        <v>19629458123.386345</v>
      </c>
      <c r="G13" s="266">
        <v>20067386138.757961</v>
      </c>
    </row>
    <row r="14" spans="1:8">
      <c r="B14" s="18"/>
      <c r="C14" s="475"/>
      <c r="D14" s="475"/>
      <c r="E14" s="475"/>
      <c r="F14" s="475"/>
      <c r="G14" s="475"/>
    </row>
    <row r="15" spans="1:8" ht="25.5">
      <c r="B15" s="45" t="s">
        <v>436</v>
      </c>
      <c r="C15" s="475"/>
      <c r="D15" s="475"/>
      <c r="E15" s="475"/>
      <c r="F15" s="475"/>
      <c r="G15" s="475"/>
    </row>
    <row r="16" spans="1:8">
      <c r="B16" s="45"/>
    </row>
    <row r="17" spans="2:2">
      <c r="B17" s="45"/>
    </row>
    <row r="18" spans="2:2">
      <c r="B18" s="4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showGridLines="0" zoomScaleNormal="100" workbookViewId="0">
      <pane xSplit="1" ySplit="4" topLeftCell="B5" activePane="bottomRight" state="frozen"/>
      <selection pane="topRight"/>
      <selection pane="bottomLeft"/>
      <selection pane="bottomRight" activeCell="B5" sqref="B5"/>
    </sheetView>
  </sheetViews>
  <sheetFormatPr defaultRowHeight="15"/>
  <cols>
    <col min="1" max="1" width="9.5703125" style="2" bestFit="1" customWidth="1"/>
    <col min="2" max="2" width="58.85546875" style="2" customWidth="1"/>
    <col min="3" max="3" width="118.7109375" style="2" customWidth="1"/>
  </cols>
  <sheetData>
    <row r="1" spans="1:3">
      <c r="A1" s="2" t="s">
        <v>108</v>
      </c>
      <c r="B1" s="186" t="str">
        <f>Info!C2</f>
        <v>სს ”საქართველოს ბანკი”</v>
      </c>
    </row>
    <row r="2" spans="1:3">
      <c r="A2" s="2" t="s">
        <v>109</v>
      </c>
      <c r="B2" s="271">
        <f>'1. key ratios'!B2</f>
        <v>45291</v>
      </c>
    </row>
    <row r="4" spans="1:3" ht="30.75" thickBot="1">
      <c r="A4" s="128" t="s">
        <v>253</v>
      </c>
      <c r="B4" s="24" t="s">
        <v>91</v>
      </c>
      <c r="C4" s="10"/>
    </row>
    <row r="5" spans="1:3" ht="15.75">
      <c r="A5" s="7"/>
      <c r="B5" s="688" t="s">
        <v>92</v>
      </c>
      <c r="C5" s="268" t="s">
        <v>449</v>
      </c>
    </row>
    <row r="6" spans="1:3">
      <c r="A6" s="689">
        <v>1</v>
      </c>
      <c r="B6" s="555" t="s">
        <v>959</v>
      </c>
      <c r="C6" s="556" t="s">
        <v>960</v>
      </c>
    </row>
    <row r="7" spans="1:3">
      <c r="A7" s="689">
        <v>2</v>
      </c>
      <c r="B7" s="557" t="s">
        <v>961</v>
      </c>
      <c r="C7" s="556" t="s">
        <v>962</v>
      </c>
    </row>
    <row r="8" spans="1:3">
      <c r="A8" s="689">
        <v>3</v>
      </c>
      <c r="B8" s="557" t="s">
        <v>963</v>
      </c>
      <c r="C8" s="556" t="s">
        <v>962</v>
      </c>
    </row>
    <row r="9" spans="1:3">
      <c r="A9" s="689">
        <v>4</v>
      </c>
      <c r="B9" s="557" t="s">
        <v>964</v>
      </c>
      <c r="C9" s="556" t="s">
        <v>962</v>
      </c>
    </row>
    <row r="10" spans="1:3">
      <c r="A10" s="689">
        <v>5</v>
      </c>
      <c r="B10" s="557" t="s">
        <v>965</v>
      </c>
      <c r="C10" s="556" t="s">
        <v>966</v>
      </c>
    </row>
    <row r="11" spans="1:3">
      <c r="A11" s="689">
        <v>6</v>
      </c>
      <c r="B11" s="557" t="s">
        <v>967</v>
      </c>
      <c r="C11" s="556" t="s">
        <v>966</v>
      </c>
    </row>
    <row r="12" spans="1:3">
      <c r="A12" s="689">
        <v>7</v>
      </c>
      <c r="B12" s="557" t="s">
        <v>968</v>
      </c>
      <c r="C12" s="556" t="s">
        <v>966</v>
      </c>
    </row>
    <row r="13" spans="1:3">
      <c r="A13" s="689">
        <v>8</v>
      </c>
      <c r="B13" s="557" t="s">
        <v>969</v>
      </c>
      <c r="C13" s="556" t="s">
        <v>966</v>
      </c>
    </row>
    <row r="14" spans="1:3">
      <c r="A14" s="689"/>
      <c r="B14" s="684"/>
      <c r="C14" s="690"/>
    </row>
    <row r="15" spans="1:3">
      <c r="A15" s="689"/>
      <c r="B15" s="684"/>
      <c r="C15" s="690"/>
    </row>
    <row r="16" spans="1:3">
      <c r="A16" s="689"/>
      <c r="B16" s="820"/>
      <c r="C16" s="821"/>
    </row>
    <row r="17" spans="1:3">
      <c r="A17" s="689"/>
      <c r="B17" s="685" t="s">
        <v>93</v>
      </c>
      <c r="C17" s="691" t="s">
        <v>450</v>
      </c>
    </row>
    <row r="18" spans="1:3">
      <c r="A18" s="689">
        <v>1</v>
      </c>
      <c r="B18" s="558" t="s">
        <v>970</v>
      </c>
      <c r="C18" s="559" t="s">
        <v>971</v>
      </c>
    </row>
    <row r="19" spans="1:3">
      <c r="A19" s="689">
        <v>2</v>
      </c>
      <c r="B19" s="558" t="s">
        <v>972</v>
      </c>
      <c r="C19" s="559" t="s">
        <v>973</v>
      </c>
    </row>
    <row r="20" spans="1:3">
      <c r="A20" s="689">
        <v>3</v>
      </c>
      <c r="B20" s="560" t="s">
        <v>974</v>
      </c>
      <c r="C20" s="561" t="s">
        <v>973</v>
      </c>
    </row>
    <row r="21" spans="1:3">
      <c r="A21" s="689">
        <v>4</v>
      </c>
      <c r="B21" s="560" t="s">
        <v>975</v>
      </c>
      <c r="C21" s="561" t="s">
        <v>976</v>
      </c>
    </row>
    <row r="22" spans="1:3">
      <c r="A22" s="689">
        <v>5</v>
      </c>
      <c r="B22" s="560" t="s">
        <v>977</v>
      </c>
      <c r="C22" s="561" t="s">
        <v>978</v>
      </c>
    </row>
    <row r="23" spans="1:3">
      <c r="A23" s="689">
        <v>6</v>
      </c>
      <c r="B23" s="560" t="s">
        <v>979</v>
      </c>
      <c r="C23" s="561" t="s">
        <v>980</v>
      </c>
    </row>
    <row r="24" spans="1:3">
      <c r="A24" s="689">
        <v>7</v>
      </c>
      <c r="B24" s="560" t="s">
        <v>981</v>
      </c>
      <c r="C24" s="561" t="s">
        <v>982</v>
      </c>
    </row>
    <row r="25" spans="1:3" ht="15.75">
      <c r="A25" s="689"/>
      <c r="B25" s="686"/>
      <c r="C25" s="692"/>
    </row>
    <row r="26" spans="1:3" ht="15.75">
      <c r="A26" s="689"/>
      <c r="B26" s="686"/>
      <c r="C26" s="693"/>
    </row>
    <row r="27" spans="1:3" ht="15.75">
      <c r="A27" s="689"/>
      <c r="B27" s="686"/>
      <c r="C27" s="693"/>
    </row>
    <row r="28" spans="1:3">
      <c r="A28" s="689"/>
      <c r="B28" s="824" t="s">
        <v>94</v>
      </c>
      <c r="C28" s="825"/>
    </row>
    <row r="29" spans="1:3" ht="15.75">
      <c r="A29" s="689">
        <v>1</v>
      </c>
      <c r="B29" s="562" t="s">
        <v>983</v>
      </c>
      <c r="C29" s="563">
        <v>0.19770973014647777</v>
      </c>
    </row>
    <row r="30" spans="1:3" ht="15.75">
      <c r="A30" s="689">
        <v>2</v>
      </c>
      <c r="B30" s="562" t="s">
        <v>984</v>
      </c>
      <c r="C30" s="563">
        <v>0.79746588536319085</v>
      </c>
    </row>
    <row r="31" spans="1:3">
      <c r="A31" s="689"/>
      <c r="B31" s="822" t="s">
        <v>985</v>
      </c>
      <c r="C31" s="823"/>
    </row>
    <row r="32" spans="1:3">
      <c r="A32" s="689">
        <v>1</v>
      </c>
      <c r="B32" s="687" t="s">
        <v>986</v>
      </c>
      <c r="C32" s="563">
        <v>0.19709966805978288</v>
      </c>
    </row>
    <row r="33" spans="1:3" ht="15.75" thickBot="1">
      <c r="A33" s="694"/>
      <c r="B33" s="695"/>
      <c r="C33" s="563"/>
    </row>
  </sheetData>
  <mergeCells count="3">
    <mergeCell ref="B16:C16"/>
    <mergeCell ref="B31:C31"/>
    <mergeCell ref="B28:C28"/>
  </mergeCells>
  <dataValidations count="2">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3">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Normal="100" workbookViewId="0">
      <pane xSplit="1" ySplit="5" topLeftCell="B6" activePane="bottomRight" state="frozen"/>
      <selection pane="topRight"/>
      <selection pane="bottomLeft"/>
      <selection pane="bottomRight" activeCell="B6" sqref="B6:B7"/>
    </sheetView>
  </sheetViews>
  <sheetFormatPr defaultRowHeight="15"/>
  <cols>
    <col min="1" max="1" width="9.5703125" style="2" bestFit="1" customWidth="1"/>
    <col min="2" max="2" width="74.5703125" style="2" customWidth="1"/>
    <col min="3" max="3" width="28" style="574" customWidth="1"/>
    <col min="4" max="4" width="25.5703125" style="574" customWidth="1"/>
    <col min="5" max="5" width="31.140625" style="574" customWidth="1"/>
    <col min="6" max="6" width="12" bestFit="1" customWidth="1"/>
    <col min="7" max="7" width="12.5703125" bestFit="1" customWidth="1"/>
  </cols>
  <sheetData>
    <row r="1" spans="1:7" ht="15.75">
      <c r="A1" s="12" t="s">
        <v>108</v>
      </c>
      <c r="B1" s="11" t="str">
        <f>Info!C2</f>
        <v>სს ”საქართველოს ბანკი”</v>
      </c>
    </row>
    <row r="2" spans="1:7" s="16" customFormat="1">
      <c r="A2" s="16" t="s">
        <v>109</v>
      </c>
      <c r="B2" s="271">
        <f>'1. key ratios'!B2</f>
        <v>45291</v>
      </c>
      <c r="C2" s="575"/>
      <c r="D2" s="575"/>
      <c r="E2" s="575"/>
    </row>
    <row r="3" spans="1:7" s="16" customFormat="1">
      <c r="C3" s="575"/>
      <c r="D3" s="575"/>
      <c r="E3" s="575"/>
    </row>
    <row r="4" spans="1:7" s="16" customFormat="1" ht="15.75" thickBot="1">
      <c r="A4" s="16" t="s">
        <v>254</v>
      </c>
      <c r="B4" s="629" t="s">
        <v>168</v>
      </c>
      <c r="C4" s="575"/>
      <c r="D4" s="575"/>
      <c r="E4" s="576" t="s">
        <v>87</v>
      </c>
    </row>
    <row r="5" spans="1:7" s="60" customFormat="1" ht="12.75">
      <c r="A5" s="195"/>
      <c r="B5" s="196"/>
      <c r="C5" s="577" t="s">
        <v>0</v>
      </c>
      <c r="D5" s="577" t="s">
        <v>1</v>
      </c>
      <c r="E5" s="578" t="s">
        <v>2</v>
      </c>
    </row>
    <row r="6" spans="1:7" s="67" customFormat="1">
      <c r="A6" s="633"/>
      <c r="B6" s="826" t="s">
        <v>144</v>
      </c>
      <c r="C6" s="827" t="s">
        <v>855</v>
      </c>
      <c r="D6" s="828" t="s">
        <v>143</v>
      </c>
      <c r="E6" s="829"/>
      <c r="G6"/>
    </row>
    <row r="7" spans="1:7" s="67" customFormat="1" ht="63.75">
      <c r="A7" s="633"/>
      <c r="B7" s="826"/>
      <c r="C7" s="827"/>
      <c r="D7" s="630" t="s">
        <v>142</v>
      </c>
      <c r="E7" s="634" t="s">
        <v>352</v>
      </c>
      <c r="G7"/>
    </row>
    <row r="8" spans="1:7" s="67" customFormat="1" ht="21">
      <c r="A8" s="620">
        <v>1</v>
      </c>
      <c r="B8" s="530" t="s">
        <v>842</v>
      </c>
      <c r="C8" s="631">
        <f>SUM(C9:C11)</f>
        <v>4389117153.6210003</v>
      </c>
      <c r="D8" s="631">
        <f t="shared" ref="D8:E8" si="0">SUM(D9:D11)</f>
        <v>0</v>
      </c>
      <c r="E8" s="635">
        <f t="shared" si="0"/>
        <v>4389117153.6210003</v>
      </c>
      <c r="G8"/>
    </row>
    <row r="9" spans="1:7" s="67" customFormat="1">
      <c r="A9" s="620">
        <v>1.1000000000000001</v>
      </c>
      <c r="B9" s="532" t="s">
        <v>96</v>
      </c>
      <c r="C9" s="631">
        <f>'2. SOFP'!E8</f>
        <v>870807994.02100015</v>
      </c>
      <c r="D9" s="631"/>
      <c r="E9" s="579">
        <f>C9-D9</f>
        <v>870807994.02100015</v>
      </c>
      <c r="G9"/>
    </row>
    <row r="10" spans="1:7" s="67" customFormat="1">
      <c r="A10" s="620">
        <v>1.2</v>
      </c>
      <c r="B10" s="532" t="s">
        <v>97</v>
      </c>
      <c r="C10" s="631">
        <f>'2. SOFP'!E9</f>
        <v>2317044440.0999999</v>
      </c>
      <c r="D10" s="631"/>
      <c r="E10" s="579">
        <f t="shared" ref="E10:E36" si="1">C10-D10</f>
        <v>2317044440.0999999</v>
      </c>
      <c r="G10"/>
    </row>
    <row r="11" spans="1:7" s="67" customFormat="1">
      <c r="A11" s="620">
        <v>1.3</v>
      </c>
      <c r="B11" s="532" t="s">
        <v>98</v>
      </c>
      <c r="C11" s="631">
        <f>'2. SOFP'!E10</f>
        <v>1201264719.5</v>
      </c>
      <c r="D11" s="631"/>
      <c r="E11" s="579">
        <f t="shared" si="1"/>
        <v>1201264719.5</v>
      </c>
      <c r="G11"/>
    </row>
    <row r="12" spans="1:7" s="67" customFormat="1">
      <c r="A12" s="620">
        <v>2</v>
      </c>
      <c r="B12" s="533" t="s">
        <v>729</v>
      </c>
      <c r="C12" s="631">
        <f>'2. SOFP'!E11</f>
        <v>10942255.82</v>
      </c>
      <c r="D12" s="631"/>
      <c r="E12" s="579">
        <f t="shared" si="1"/>
        <v>10942255.82</v>
      </c>
      <c r="G12"/>
    </row>
    <row r="13" spans="1:7" s="67" customFormat="1">
      <c r="A13" s="620">
        <v>2.1</v>
      </c>
      <c r="B13" s="534" t="s">
        <v>730</v>
      </c>
      <c r="C13" s="631">
        <f>'2. SOFP'!E12</f>
        <v>10942255.82</v>
      </c>
      <c r="D13" s="631"/>
      <c r="E13" s="579">
        <f t="shared" si="1"/>
        <v>10942255.82</v>
      </c>
      <c r="G13"/>
    </row>
    <row r="14" spans="1:7" s="67" customFormat="1" ht="21">
      <c r="A14" s="620">
        <v>3</v>
      </c>
      <c r="B14" s="535" t="s">
        <v>731</v>
      </c>
      <c r="C14" s="631">
        <f>'2. SOFP'!E13</f>
        <v>0</v>
      </c>
      <c r="D14" s="631"/>
      <c r="E14" s="579">
        <f t="shared" si="1"/>
        <v>0</v>
      </c>
      <c r="G14"/>
    </row>
    <row r="15" spans="1:7" s="67" customFormat="1" ht="21">
      <c r="A15" s="620">
        <v>4</v>
      </c>
      <c r="B15" s="536" t="s">
        <v>732</v>
      </c>
      <c r="C15" s="631">
        <f>'2. SOFP'!E14</f>
        <v>0</v>
      </c>
      <c r="D15" s="631"/>
      <c r="E15" s="579">
        <f t="shared" si="1"/>
        <v>0</v>
      </c>
      <c r="G15"/>
    </row>
    <row r="16" spans="1:7" s="67" customFormat="1" ht="21">
      <c r="A16" s="620">
        <v>5</v>
      </c>
      <c r="B16" s="536" t="s">
        <v>733</v>
      </c>
      <c r="C16" s="631">
        <f>SUM(C17:C19)</f>
        <v>4302509500.1934004</v>
      </c>
      <c r="D16" s="631">
        <f t="shared" ref="D16:E16" si="2">SUM(D17:D19)</f>
        <v>6250296.0129000004</v>
      </c>
      <c r="E16" s="635">
        <f t="shared" si="2"/>
        <v>4296259204.1805</v>
      </c>
      <c r="G16"/>
    </row>
    <row r="17" spans="1:7" s="67" customFormat="1">
      <c r="A17" s="620">
        <v>5.0999999999999996</v>
      </c>
      <c r="B17" s="538" t="s">
        <v>734</v>
      </c>
      <c r="C17" s="631">
        <f>'2. SOFP'!E16</f>
        <v>7051249.0929000005</v>
      </c>
      <c r="D17" s="631">
        <f>'9. Capital'!C18</f>
        <v>6250296.0129000004</v>
      </c>
      <c r="E17" s="579">
        <f t="shared" si="1"/>
        <v>800953.08000000007</v>
      </c>
      <c r="G17"/>
    </row>
    <row r="18" spans="1:7" s="67" customFormat="1">
      <c r="A18" s="620">
        <v>5.2</v>
      </c>
      <c r="B18" s="538" t="s">
        <v>568</v>
      </c>
      <c r="C18" s="631">
        <f>'2. SOFP'!E17</f>
        <v>4295458251.1005001</v>
      </c>
      <c r="D18" s="631"/>
      <c r="E18" s="579">
        <f t="shared" si="1"/>
        <v>4295458251.1005001</v>
      </c>
      <c r="G18"/>
    </row>
    <row r="19" spans="1:7" s="67" customFormat="1">
      <c r="A19" s="620">
        <v>5.3</v>
      </c>
      <c r="B19" s="538" t="s">
        <v>735</v>
      </c>
      <c r="C19" s="631">
        <f>'2. SOFP'!E18</f>
        <v>0</v>
      </c>
      <c r="D19" s="631"/>
      <c r="E19" s="579">
        <f t="shared" si="1"/>
        <v>0</v>
      </c>
      <c r="G19"/>
    </row>
    <row r="20" spans="1:7" s="67" customFormat="1">
      <c r="A20" s="620">
        <v>6</v>
      </c>
      <c r="B20" s="535" t="s">
        <v>736</v>
      </c>
      <c r="C20" s="631">
        <f>SUM(C21:C22)</f>
        <v>20024952658.780499</v>
      </c>
      <c r="D20" s="631">
        <f t="shared" ref="D20:E20" si="3">SUM(D21:D22)</f>
        <v>0</v>
      </c>
      <c r="E20" s="635">
        <f t="shared" si="3"/>
        <v>20024952658.780499</v>
      </c>
      <c r="G20"/>
    </row>
    <row r="21" spans="1:7">
      <c r="A21" s="620">
        <v>6.1</v>
      </c>
      <c r="B21" s="538" t="s">
        <v>568</v>
      </c>
      <c r="C21" s="631">
        <f>'2. SOFP'!E20</f>
        <v>507894574.56709999</v>
      </c>
      <c r="D21" s="632"/>
      <c r="E21" s="579">
        <f t="shared" si="1"/>
        <v>507894574.56709999</v>
      </c>
    </row>
    <row r="22" spans="1:7">
      <c r="A22" s="620">
        <v>6.2</v>
      </c>
      <c r="B22" s="538" t="s">
        <v>735</v>
      </c>
      <c r="C22" s="631">
        <f>'2. SOFP'!E21</f>
        <v>19517058084.213398</v>
      </c>
      <c r="D22" s="632"/>
      <c r="E22" s="579">
        <f t="shared" si="1"/>
        <v>19517058084.213398</v>
      </c>
    </row>
    <row r="23" spans="1:7">
      <c r="A23" s="620">
        <v>7</v>
      </c>
      <c r="B23" s="539" t="s">
        <v>737</v>
      </c>
      <c r="C23" s="631">
        <f>'2. SOFP'!E22</f>
        <v>155990061.36397022</v>
      </c>
      <c r="D23" s="580">
        <v>9537976.6839702465</v>
      </c>
      <c r="E23" s="579">
        <f t="shared" si="1"/>
        <v>146452084.67999998</v>
      </c>
    </row>
    <row r="24" spans="1:7">
      <c r="A24" s="620">
        <v>8</v>
      </c>
      <c r="B24" s="539" t="s">
        <v>738</v>
      </c>
      <c r="C24" s="631">
        <f>'2. SOFP'!E23</f>
        <v>25741797.130000003</v>
      </c>
      <c r="D24" s="580">
        <v>0</v>
      </c>
      <c r="E24" s="579">
        <f t="shared" si="1"/>
        <v>25741797.130000003</v>
      </c>
    </row>
    <row r="25" spans="1:7">
      <c r="A25" s="620">
        <v>9</v>
      </c>
      <c r="B25" s="536" t="s">
        <v>739</v>
      </c>
      <c r="C25" s="632">
        <f>SUM(C26:C27)</f>
        <v>624726290.04999995</v>
      </c>
      <c r="D25" s="632">
        <f t="shared" ref="D25:E25" si="4">SUM(D26:D27)</f>
        <v>2358668.17</v>
      </c>
      <c r="E25" s="636">
        <f t="shared" si="4"/>
        <v>622367621.88</v>
      </c>
    </row>
    <row r="26" spans="1:7">
      <c r="A26" s="620">
        <v>9.1</v>
      </c>
      <c r="B26" s="540" t="s">
        <v>740</v>
      </c>
      <c r="C26" s="631">
        <f>'2. SOFP'!E25</f>
        <v>508860560.18000001</v>
      </c>
      <c r="D26" s="632">
        <f>'2. SOFP'!E64</f>
        <v>2358668.17</v>
      </c>
      <c r="E26" s="579">
        <f t="shared" si="1"/>
        <v>506501892.00999999</v>
      </c>
    </row>
    <row r="27" spans="1:7">
      <c r="A27" s="620">
        <v>9.1999999999999993</v>
      </c>
      <c r="B27" s="540" t="s">
        <v>741</v>
      </c>
      <c r="C27" s="631">
        <f>'2. SOFP'!E26</f>
        <v>115865729.87</v>
      </c>
      <c r="D27" s="632"/>
      <c r="E27" s="579">
        <f t="shared" si="1"/>
        <v>115865729.87</v>
      </c>
    </row>
    <row r="28" spans="1:7">
      <c r="A28" s="620">
        <v>10</v>
      </c>
      <c r="B28" s="536" t="s">
        <v>36</v>
      </c>
      <c r="C28" s="632">
        <f>SUM(C29:C30)</f>
        <v>166555746.55000001</v>
      </c>
      <c r="D28" s="632">
        <f t="shared" ref="D28:E28" si="5">SUM(D29:D30)</f>
        <v>166555746.55000001</v>
      </c>
      <c r="E28" s="636">
        <f t="shared" si="5"/>
        <v>0</v>
      </c>
    </row>
    <row r="29" spans="1:7">
      <c r="A29" s="620">
        <v>10.1</v>
      </c>
      <c r="B29" s="540" t="s">
        <v>742</v>
      </c>
      <c r="C29" s="631">
        <f>'2. SOFP'!E28</f>
        <v>33331342.84</v>
      </c>
      <c r="D29" s="632">
        <f>C29</f>
        <v>33331342.84</v>
      </c>
      <c r="E29" s="579">
        <f t="shared" si="1"/>
        <v>0</v>
      </c>
    </row>
    <row r="30" spans="1:7">
      <c r="A30" s="620">
        <v>10.199999999999999</v>
      </c>
      <c r="B30" s="540" t="s">
        <v>743</v>
      </c>
      <c r="C30" s="631">
        <f>'2. SOFP'!E29</f>
        <v>133224403.71000001</v>
      </c>
      <c r="D30" s="632">
        <f>C30</f>
        <v>133224403.71000001</v>
      </c>
      <c r="E30" s="579">
        <f t="shared" si="1"/>
        <v>0</v>
      </c>
    </row>
    <row r="31" spans="1:7">
      <c r="A31" s="620">
        <v>11</v>
      </c>
      <c r="B31" s="536" t="s">
        <v>744</v>
      </c>
      <c r="C31" s="632">
        <f>SUM(C32:C33)</f>
        <v>0</v>
      </c>
      <c r="D31" s="632">
        <f t="shared" ref="D31:E31" si="6">SUM(D32:D33)</f>
        <v>0</v>
      </c>
      <c r="E31" s="636">
        <f t="shared" si="6"/>
        <v>0</v>
      </c>
    </row>
    <row r="32" spans="1:7">
      <c r="A32" s="620">
        <v>11.1</v>
      </c>
      <c r="B32" s="540" t="s">
        <v>745</v>
      </c>
      <c r="C32" s="631">
        <f>'2. SOFP'!E31</f>
        <v>0</v>
      </c>
      <c r="D32" s="632"/>
      <c r="E32" s="579">
        <f t="shared" si="1"/>
        <v>0</v>
      </c>
    </row>
    <row r="33" spans="1:7">
      <c r="A33" s="620">
        <v>11.2</v>
      </c>
      <c r="B33" s="540" t="s">
        <v>746</v>
      </c>
      <c r="C33" s="631">
        <f>'2. SOFP'!E32</f>
        <v>0</v>
      </c>
      <c r="D33" s="632"/>
      <c r="E33" s="579">
        <f t="shared" si="1"/>
        <v>0</v>
      </c>
    </row>
    <row r="34" spans="1:7">
      <c r="A34" s="620">
        <v>13</v>
      </c>
      <c r="B34" s="536" t="s">
        <v>99</v>
      </c>
      <c r="C34" s="631">
        <f>'2. SOFP'!E33</f>
        <v>556103147.76054704</v>
      </c>
      <c r="D34" s="632"/>
      <c r="E34" s="579">
        <f t="shared" si="1"/>
        <v>556103147.76054704</v>
      </c>
    </row>
    <row r="35" spans="1:7">
      <c r="A35" s="620">
        <v>13.1</v>
      </c>
      <c r="B35" s="541" t="s">
        <v>747</v>
      </c>
      <c r="C35" s="631">
        <f>'2. SOFP'!E34</f>
        <v>268963985.89999998</v>
      </c>
      <c r="D35" s="632"/>
      <c r="E35" s="579">
        <f t="shared" si="1"/>
        <v>268963985.89999998</v>
      </c>
    </row>
    <row r="36" spans="1:7">
      <c r="A36" s="620">
        <v>13.2</v>
      </c>
      <c r="B36" s="541" t="s">
        <v>748</v>
      </c>
      <c r="C36" s="631">
        <f>'2. SOFP'!E35</f>
        <v>0</v>
      </c>
      <c r="D36" s="632"/>
      <c r="E36" s="579">
        <f t="shared" si="1"/>
        <v>0</v>
      </c>
    </row>
    <row r="37" spans="1:7" ht="26.25" thickBot="1">
      <c r="A37" s="637"/>
      <c r="B37" s="638" t="s">
        <v>319</v>
      </c>
      <c r="C37" s="639">
        <f>SUM(C8,C12,C14,C15,C16,C20,C23,C24,C25,C28,C31,C34)</f>
        <v>30256638611.269417</v>
      </c>
      <c r="D37" s="639">
        <f t="shared" ref="D37:E37" si="7">SUM(D8,D12,D14,D15,D16,D20,D23,D24,D25,D28,D31,D34)</f>
        <v>184702687.41687027</v>
      </c>
      <c r="E37" s="640">
        <f t="shared" si="7"/>
        <v>30071935923.852551</v>
      </c>
      <c r="F37" s="477"/>
    </row>
    <row r="38" spans="1:7" s="2" customFormat="1">
      <c r="B38" s="27"/>
      <c r="C38" s="574"/>
      <c r="D38" s="574"/>
      <c r="E38" s="574"/>
      <c r="F38"/>
      <c r="G38"/>
    </row>
    <row r="39" spans="1:7" s="2" customFormat="1">
      <c r="B39" s="27"/>
      <c r="C39" s="574"/>
      <c r="D39" s="574"/>
      <c r="E39" s="574"/>
      <c r="F39"/>
      <c r="G39"/>
    </row>
    <row r="40" spans="1:7" s="2" customFormat="1">
      <c r="B40" s="27"/>
      <c r="C40" s="574"/>
      <c r="D40" s="574"/>
      <c r="E40" s="574"/>
      <c r="F40"/>
      <c r="G40"/>
    </row>
    <row r="41" spans="1:7" s="2" customFormat="1">
      <c r="B41" s="27"/>
      <c r="C41" s="574"/>
      <c r="D41" s="574"/>
      <c r="E41" s="574"/>
      <c r="F41"/>
      <c r="G41"/>
    </row>
    <row r="42" spans="1:7" s="2" customFormat="1">
      <c r="B42" s="27"/>
      <c r="C42" s="574"/>
      <c r="D42" s="574"/>
      <c r="E42" s="574"/>
      <c r="F42"/>
      <c r="G42"/>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B5" sqref="B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2" t="s">
        <v>108</v>
      </c>
      <c r="B1" s="11" t="str">
        <f>Info!C2</f>
        <v>სს ”საქართველოს ბანკი”</v>
      </c>
    </row>
    <row r="2" spans="1:6" s="16" customFormat="1" ht="15.75" customHeight="1">
      <c r="A2" s="16" t="s">
        <v>109</v>
      </c>
      <c r="B2" s="271">
        <f>'1. key ratios'!B2</f>
        <v>45291</v>
      </c>
      <c r="C2"/>
      <c r="D2"/>
      <c r="E2"/>
      <c r="F2"/>
    </row>
    <row r="3" spans="1:6" s="16" customFormat="1" ht="15.75" customHeight="1">
      <c r="C3"/>
      <c r="D3"/>
      <c r="E3"/>
      <c r="F3"/>
    </row>
    <row r="4" spans="1:6" s="16" customFormat="1" ht="26.25" thickBot="1">
      <c r="A4" s="16" t="s">
        <v>255</v>
      </c>
      <c r="B4" s="104" t="s">
        <v>171</v>
      </c>
      <c r="C4" s="98" t="s">
        <v>87</v>
      </c>
      <c r="D4"/>
      <c r="E4"/>
      <c r="F4"/>
    </row>
    <row r="5" spans="1:6">
      <c r="A5" s="99">
        <v>1</v>
      </c>
      <c r="B5" s="100" t="s">
        <v>726</v>
      </c>
      <c r="C5" s="133">
        <f>'7. LI1'!E37</f>
        <v>30071935923.852551</v>
      </c>
      <c r="E5" s="482"/>
    </row>
    <row r="6" spans="1:6" s="91" customFormat="1">
      <c r="A6" s="59">
        <v>2.1</v>
      </c>
      <c r="B6" s="106" t="s">
        <v>860</v>
      </c>
      <c r="C6" s="478">
        <v>2939795247.586</v>
      </c>
      <c r="E6" s="482"/>
    </row>
    <row r="7" spans="1:6" s="4" customFormat="1" ht="25.5" outlineLevel="1">
      <c r="A7" s="105">
        <v>2.2000000000000002</v>
      </c>
      <c r="B7" s="101" t="s">
        <v>861</v>
      </c>
      <c r="C7" s="479">
        <v>1604170013.5298998</v>
      </c>
      <c r="E7" s="482"/>
    </row>
    <row r="8" spans="1:6" s="4" customFormat="1" ht="26.25">
      <c r="A8" s="105">
        <v>3</v>
      </c>
      <c r="B8" s="102" t="s">
        <v>727</v>
      </c>
      <c r="C8" s="134">
        <f>SUM(C5:C7)</f>
        <v>34615901184.968452</v>
      </c>
      <c r="E8" s="482"/>
    </row>
    <row r="9" spans="1:6" s="91" customFormat="1">
      <c r="A9" s="59">
        <v>4</v>
      </c>
      <c r="B9" s="109" t="s">
        <v>169</v>
      </c>
      <c r="C9" s="479">
        <v>0</v>
      </c>
      <c r="E9" s="482"/>
    </row>
    <row r="10" spans="1:6" s="4" customFormat="1" ht="25.5" outlineLevel="1">
      <c r="A10" s="105">
        <v>5.0999999999999996</v>
      </c>
      <c r="B10" s="101" t="s">
        <v>174</v>
      </c>
      <c r="C10" s="479">
        <v>-1750531644.7301469</v>
      </c>
      <c r="E10" s="482"/>
    </row>
    <row r="11" spans="1:6" s="4" customFormat="1" ht="25.5" outlineLevel="1">
      <c r="A11" s="105">
        <v>5.2</v>
      </c>
      <c r="B11" s="101" t="s">
        <v>175</v>
      </c>
      <c r="C11" s="479">
        <v>-1571127846.6479127</v>
      </c>
      <c r="E11" s="482"/>
    </row>
    <row r="12" spans="1:6" s="4" customFormat="1">
      <c r="A12" s="105">
        <v>6</v>
      </c>
      <c r="B12" s="107" t="s">
        <v>437</v>
      </c>
      <c r="C12" s="197"/>
      <c r="E12" s="482"/>
    </row>
    <row r="13" spans="1:6" s="4" customFormat="1" ht="15.75" thickBot="1">
      <c r="A13" s="108">
        <v>7</v>
      </c>
      <c r="B13" s="103" t="s">
        <v>170</v>
      </c>
      <c r="C13" s="135">
        <f>SUM(C8:C12)</f>
        <v>31294241693.590393</v>
      </c>
      <c r="E13" s="482"/>
    </row>
    <row r="15" spans="1:6" ht="26.25">
      <c r="B15" s="18" t="s">
        <v>438</v>
      </c>
    </row>
    <row r="17" spans="2:9" s="2" customFormat="1">
      <c r="B17" s="28"/>
      <c r="C17"/>
      <c r="D17"/>
      <c r="E17"/>
      <c r="F17"/>
      <c r="G17"/>
      <c r="H17"/>
      <c r="I17"/>
    </row>
    <row r="18" spans="2:9" s="2" customFormat="1">
      <c r="B18" s="25"/>
      <c r="C18"/>
      <c r="D18"/>
      <c r="E18"/>
      <c r="F18"/>
      <c r="G18"/>
      <c r="H18"/>
      <c r="I18"/>
    </row>
    <row r="19" spans="2:9" s="2" customFormat="1">
      <c r="B19" s="25"/>
      <c r="C19"/>
      <c r="D19"/>
      <c r="E19"/>
      <c r="F19"/>
      <c r="G19"/>
      <c r="H19"/>
      <c r="I19"/>
    </row>
    <row r="20" spans="2:9" s="2" customFormat="1">
      <c r="B20" s="27"/>
      <c r="C20"/>
      <c r="D20"/>
      <c r="E20"/>
      <c r="F20"/>
      <c r="G20"/>
      <c r="H20"/>
      <c r="I20"/>
    </row>
    <row r="21" spans="2:9" s="2" customFormat="1">
      <c r="B21" s="26"/>
      <c r="C21"/>
      <c r="D21"/>
      <c r="E21"/>
      <c r="F21"/>
      <c r="G21"/>
      <c r="H21"/>
      <c r="I21"/>
    </row>
    <row r="22" spans="2:9" s="2" customFormat="1">
      <c r="B22" s="27"/>
      <c r="C22"/>
      <c r="D22"/>
      <c r="E22"/>
      <c r="F22"/>
      <c r="G22"/>
      <c r="H22"/>
      <c r="I22"/>
    </row>
    <row r="23" spans="2:9" s="2" customFormat="1">
      <c r="B23" s="26"/>
      <c r="C23"/>
      <c r="D23"/>
      <c r="E23"/>
      <c r="F23"/>
      <c r="G23"/>
      <c r="H23"/>
      <c r="I23"/>
    </row>
    <row r="24" spans="2:9" s="2" customFormat="1">
      <c r="B24" s="26"/>
      <c r="C24"/>
      <c r="D24"/>
      <c r="E24"/>
      <c r="F24"/>
      <c r="G24"/>
      <c r="H24"/>
      <c r="I24"/>
    </row>
    <row r="25" spans="2:9" s="2" customFormat="1">
      <c r="B25" s="26"/>
      <c r="C25"/>
      <c r="D25"/>
      <c r="E25"/>
      <c r="F25"/>
      <c r="G25"/>
      <c r="H25"/>
      <c r="I25"/>
    </row>
    <row r="26" spans="2:9" s="2" customFormat="1">
      <c r="B26" s="26"/>
      <c r="C26"/>
      <c r="D26"/>
      <c r="E26"/>
      <c r="F26"/>
      <c r="G26"/>
      <c r="H26"/>
      <c r="I26"/>
    </row>
    <row r="27" spans="2:9" s="2" customFormat="1">
      <c r="B27" s="26"/>
      <c r="C27"/>
      <c r="D27"/>
      <c r="E27"/>
      <c r="F27"/>
      <c r="G27"/>
      <c r="H27"/>
      <c r="I27"/>
    </row>
    <row r="28" spans="2:9" s="2" customFormat="1">
      <c r="B28" s="27"/>
      <c r="C28"/>
      <c r="D28"/>
      <c r="E28"/>
      <c r="F28"/>
      <c r="G28"/>
      <c r="H28"/>
      <c r="I28"/>
    </row>
    <row r="29" spans="2:9" s="2" customFormat="1">
      <c r="B29" s="27"/>
      <c r="C29"/>
      <c r="D29"/>
      <c r="E29"/>
      <c r="F29"/>
      <c r="G29"/>
      <c r="H29"/>
      <c r="I29"/>
    </row>
    <row r="30" spans="2:9" s="2" customFormat="1">
      <c r="B30" s="27"/>
      <c r="C30"/>
      <c r="D30"/>
      <c r="E30"/>
      <c r="F30"/>
      <c r="G30"/>
      <c r="H30"/>
      <c r="I30"/>
    </row>
    <row r="31" spans="2:9" s="2" customFormat="1">
      <c r="B31" s="27"/>
      <c r="C31"/>
      <c r="D31"/>
      <c r="E31"/>
      <c r="F31"/>
      <c r="G31"/>
      <c r="H31"/>
      <c r="I31"/>
    </row>
    <row r="32" spans="2:9" s="2" customFormat="1">
      <c r="B32" s="27"/>
      <c r="C32"/>
      <c r="D32"/>
      <c r="E32"/>
      <c r="F32"/>
      <c r="G32"/>
      <c r="H32"/>
      <c r="I32"/>
    </row>
    <row r="33" spans="2:9" s="2" customFormat="1">
      <c r="B33" s="27"/>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lpstr>'3. SOPL'!Print_Area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2024-02-28T14:12:27Z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DLPManualFileClassification">
    <vt:lpwstr>{BD15A7F3-68A3-44DA-88DE-84F8F8C88452}</vt:lpwstr>
  </property>
  <property fmtid="{D5CDD505-2E9C-101B-9397-08002B2CF9AE}" pid="8" name="DLPManualFileClassificationLastModifiedBy">
    <vt:lpwstr>BOG0\mshelia</vt:lpwstr>
  </property>
  <property fmtid="{D5CDD505-2E9C-101B-9397-08002B2CF9AE}" pid="9" name="DLPManualFileClassificationLastModificationDate">
    <vt:lpwstr>1698054151</vt:lpwstr>
  </property>
  <property fmtid="{D5CDD505-2E9C-101B-9397-08002B2CF9AE}" pid="10" name="DLPManualFileClassificationVersion">
    <vt:lpwstr>11.6.600.21</vt:lpwstr>
  </property>
</Properties>
</file>