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120" yWindow="-120" windowWidth="29040" windowHeight="15840" tabRatio="919" firstSheet="21" activeTab="24"/>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r:id="rId30"/>
  </sheets>
  <externalReferences>
    <externalReference r:id="rId31"/>
    <externalReference r:id="rId32"/>
    <externalReference r:id="rId33"/>
    <externalReference r:id="rId34"/>
  </externalReferences>
  <definedNames>
    <definedName name="_cur1">'[1]Appl (2)'!$F$2:$F$7200</definedName>
    <definedName name="_cur2">'[1]Appl (2)'!$H$2:$H$7200</definedName>
    <definedName name="_xlnm._FilterDatabase" localSheetId="29" hidden="1">Instruction!$A$106:$C$110</definedName>
    <definedName name="_sum1">'[1]Appl (2)'!$E$2:$E$7200</definedName>
    <definedName name="_sum2">'[1]Appl (2)'!$G$2:$G$7200</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_xlnm.Print_Area" localSheetId="1">'1. key ratios'!$A$1:$J$51</definedName>
    <definedName name="_xlnm.Print_Area" localSheetId="3">'3. SOPL'!$A$1:$H$53</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5" i="100" l="1"/>
  <c r="D36" i="100"/>
  <c r="D37" i="100"/>
  <c r="D38" i="100"/>
  <c r="D39" i="100"/>
  <c r="D34" i="100"/>
  <c r="L8" i="100" l="1"/>
  <c r="C12" i="100"/>
  <c r="E8" i="100"/>
  <c r="D8" i="100"/>
  <c r="C14" i="100"/>
  <c r="C13" i="100"/>
  <c r="C8" i="100" l="1"/>
  <c r="L8" i="103" l="1"/>
  <c r="L7" i="103"/>
  <c r="D21" i="101"/>
  <c r="C21" i="101" l="1"/>
  <c r="G19" i="104" l="1"/>
  <c r="F19" i="104"/>
  <c r="E19" i="104"/>
  <c r="D19" i="104"/>
  <c r="C18" i="104"/>
  <c r="C17" i="104"/>
  <c r="C19" i="104" s="1"/>
  <c r="C16" i="104"/>
  <c r="C15" i="104"/>
  <c r="C14" i="104"/>
  <c r="C13" i="104"/>
  <c r="C12" i="104"/>
  <c r="C11" i="104"/>
  <c r="C10" i="104"/>
  <c r="C9" i="104"/>
  <c r="C8" i="104"/>
  <c r="C7" i="104"/>
  <c r="L10" i="103" l="1"/>
  <c r="C22" i="74" l="1"/>
  <c r="AA11" i="100" l="1"/>
  <c r="Z11" i="100"/>
  <c r="Y11" i="100"/>
  <c r="X11" i="100"/>
  <c r="W11" i="100"/>
  <c r="V11" i="100"/>
  <c r="U11" i="100"/>
  <c r="T11" i="100"/>
  <c r="S11" i="100"/>
  <c r="R11" i="100"/>
  <c r="Q11" i="100"/>
  <c r="P11" i="100"/>
  <c r="O11" i="100"/>
  <c r="N11" i="100"/>
  <c r="M11" i="100"/>
  <c r="L11" i="100"/>
  <c r="K11" i="100"/>
  <c r="J11" i="100"/>
  <c r="I11" i="100"/>
  <c r="H11" i="100"/>
  <c r="G11" i="100"/>
  <c r="F11" i="100"/>
  <c r="E11" i="100"/>
  <c r="D11" i="100"/>
  <c r="AA10" i="100"/>
  <c r="Z10" i="100"/>
  <c r="Y10" i="100"/>
  <c r="X10" i="100"/>
  <c r="W10" i="100"/>
  <c r="V10" i="100"/>
  <c r="U10" i="100"/>
  <c r="T10" i="100"/>
  <c r="S10" i="100"/>
  <c r="R10" i="100"/>
  <c r="Q10" i="100"/>
  <c r="P10" i="100"/>
  <c r="O10" i="100"/>
  <c r="N10" i="100"/>
  <c r="M10" i="100"/>
  <c r="L10" i="100"/>
  <c r="K10" i="100"/>
  <c r="J10" i="100"/>
  <c r="I10" i="100"/>
  <c r="H10" i="100"/>
  <c r="G10" i="100"/>
  <c r="F10" i="100"/>
  <c r="E10" i="100"/>
  <c r="D10" i="100"/>
  <c r="AA9" i="100"/>
  <c r="Z9" i="100"/>
  <c r="Y9" i="100"/>
  <c r="X9" i="100"/>
  <c r="W9" i="100"/>
  <c r="V9" i="100"/>
  <c r="U9" i="100"/>
  <c r="T9" i="100"/>
  <c r="S9" i="100"/>
  <c r="S8" i="100" s="1"/>
  <c r="R9" i="100"/>
  <c r="Q9" i="100"/>
  <c r="P9" i="100"/>
  <c r="O9" i="100"/>
  <c r="N9" i="100"/>
  <c r="M9" i="100"/>
  <c r="L9" i="100"/>
  <c r="K9" i="100"/>
  <c r="J9" i="100"/>
  <c r="I9" i="100"/>
  <c r="H9" i="100"/>
  <c r="G9" i="100"/>
  <c r="F9" i="100"/>
  <c r="E9" i="100"/>
  <c r="D9" i="100"/>
  <c r="J8" i="100" l="1"/>
  <c r="AA8" i="100"/>
  <c r="D33" i="102"/>
  <c r="D15" i="98" l="1"/>
  <c r="C15" i="98"/>
  <c r="F8" i="80" l="1"/>
  <c r="G17" i="94" l="1"/>
  <c r="F17" i="94"/>
  <c r="F14" i="94" s="1"/>
  <c r="H9" i="94"/>
  <c r="H10" i="94"/>
  <c r="H12" i="94"/>
  <c r="H13" i="94"/>
  <c r="H15" i="94"/>
  <c r="H16" i="94"/>
  <c r="H17" i="94"/>
  <c r="H18" i="94"/>
  <c r="H19" i="94"/>
  <c r="H20" i="94"/>
  <c r="H21" i="94"/>
  <c r="H22" i="94"/>
  <c r="H23" i="94"/>
  <c r="H24" i="94"/>
  <c r="H25" i="94"/>
  <c r="H26" i="94"/>
  <c r="H27" i="94"/>
  <c r="H28" i="94"/>
  <c r="H29" i="94"/>
  <c r="H31" i="94"/>
  <c r="H32" i="94"/>
  <c r="H33" i="94"/>
  <c r="H34" i="94"/>
  <c r="H35" i="94"/>
  <c r="H36" i="94"/>
  <c r="H37" i="94"/>
  <c r="H39" i="94"/>
  <c r="H40" i="94"/>
  <c r="H41" i="94"/>
  <c r="H42" i="94"/>
  <c r="F38" i="94" l="1"/>
  <c r="G38" i="94"/>
  <c r="H38" i="94" l="1"/>
  <c r="C17" i="94"/>
  <c r="D17" i="94"/>
  <c r="F8" i="94" l="1"/>
  <c r="G8" i="94"/>
  <c r="F11" i="94"/>
  <c r="G11" i="94"/>
  <c r="G14" i="94"/>
  <c r="H14" i="94" s="1"/>
  <c r="F30" i="94"/>
  <c r="G30" i="94"/>
  <c r="H43" i="94"/>
  <c r="H30" i="94" l="1"/>
  <c r="H11" i="94"/>
  <c r="H8" i="94"/>
  <c r="F34" i="93" l="1"/>
  <c r="G13" i="93"/>
  <c r="F13" i="93"/>
  <c r="G37" i="93"/>
  <c r="G34" i="93"/>
  <c r="G29" i="93"/>
  <c r="F29" i="93" l="1"/>
  <c r="F37" i="93"/>
  <c r="K24" i="36" l="1"/>
  <c r="J24" i="36"/>
  <c r="I24" i="36"/>
  <c r="H24" i="36"/>
  <c r="G24" i="36"/>
  <c r="F24" i="36"/>
  <c r="K23" i="36"/>
  <c r="J23" i="36"/>
  <c r="J25" i="36" s="1"/>
  <c r="I23" i="36"/>
  <c r="I25" i="36" s="1"/>
  <c r="H23" i="36"/>
  <c r="H25" i="36" s="1"/>
  <c r="G23" i="36"/>
  <c r="G25" i="36" s="1"/>
  <c r="F23" i="36"/>
  <c r="F25" i="36" s="1"/>
  <c r="K25" i="36" l="1"/>
  <c r="D24" i="80"/>
  <c r="D11" i="92" l="1"/>
  <c r="O13" i="104" l="1"/>
  <c r="O19" i="104" s="1"/>
  <c r="K13" i="104"/>
  <c r="K19" i="104" s="1"/>
  <c r="N13" i="104"/>
  <c r="N19" i="104" s="1"/>
  <c r="M13" i="104"/>
  <c r="M19" i="104" s="1"/>
  <c r="Q19" i="104"/>
  <c r="I13" i="104"/>
  <c r="J13" i="104"/>
  <c r="R19" i="104"/>
  <c r="L19" i="104"/>
  <c r="H13" i="104"/>
  <c r="H19" i="104" s="1"/>
  <c r="P13" i="104"/>
  <c r="J19" i="104" l="1"/>
  <c r="P19" i="104"/>
  <c r="I19" i="104"/>
  <c r="C10" i="99" l="1"/>
  <c r="C18" i="99" s="1"/>
  <c r="C9" i="100"/>
  <c r="C18" i="79" l="1"/>
  <c r="C26" i="79"/>
  <c r="B54" i="69"/>
  <c r="B53" i="69"/>
  <c r="C8" i="79" l="1"/>
  <c r="C30" i="79"/>
  <c r="C38" i="79"/>
  <c r="E39" i="69" l="1"/>
  <c r="E58" i="69"/>
  <c r="D30" i="92" l="1"/>
  <c r="C14" i="94" l="1"/>
  <c r="D7" i="92" l="1"/>
  <c r="G63" i="92"/>
  <c r="G59" i="92"/>
  <c r="F59" i="92"/>
  <c r="G47" i="92"/>
  <c r="F47" i="92"/>
  <c r="F41" i="92"/>
  <c r="G38" i="92"/>
  <c r="F38" i="92"/>
  <c r="F63" i="92" l="1"/>
  <c r="G41" i="92"/>
  <c r="C6" i="93" l="1"/>
  <c r="C34" i="93"/>
  <c r="C25" i="100" l="1"/>
  <c r="C23" i="100"/>
  <c r="C21" i="100"/>
  <c r="C10" i="100" l="1"/>
  <c r="C11" i="100"/>
  <c r="C22" i="102" l="1"/>
  <c r="C30" i="102"/>
  <c r="H13" i="102"/>
  <c r="E33" i="102"/>
  <c r="C14" i="102"/>
  <c r="C9" i="102"/>
  <c r="C11" i="102"/>
  <c r="C15" i="102"/>
  <c r="C19" i="102"/>
  <c r="C23" i="102"/>
  <c r="C25" i="102"/>
  <c r="C27" i="102"/>
  <c r="G33" i="102"/>
  <c r="C8" i="102"/>
  <c r="C10" i="102"/>
  <c r="C12" i="102"/>
  <c r="C16" i="102"/>
  <c r="C18" i="102"/>
  <c r="C20" i="102"/>
  <c r="C24" i="102"/>
  <c r="C26" i="102"/>
  <c r="C28" i="102"/>
  <c r="C32" i="102"/>
  <c r="C13" i="102"/>
  <c r="C21" i="102"/>
  <c r="C29" i="102"/>
  <c r="C7" i="102"/>
  <c r="C17" i="102"/>
  <c r="C31" i="102"/>
  <c r="H29" i="102"/>
  <c r="H20" i="102"/>
  <c r="H9" i="102"/>
  <c r="H12" i="102"/>
  <c r="F33" i="102"/>
  <c r="H21" i="102"/>
  <c r="H28" i="102"/>
  <c r="H17" i="102"/>
  <c r="H25" i="102"/>
  <c r="H11" i="102"/>
  <c r="H19" i="102"/>
  <c r="H27" i="102"/>
  <c r="H16" i="102"/>
  <c r="H24" i="102"/>
  <c r="H15" i="102"/>
  <c r="H31" i="102"/>
  <c r="H22" i="102"/>
  <c r="H8" i="102"/>
  <c r="H32" i="102"/>
  <c r="H23" i="102"/>
  <c r="H10" i="102"/>
  <c r="H14" i="102"/>
  <c r="H18" i="102"/>
  <c r="H26" i="102"/>
  <c r="H30" i="102"/>
  <c r="L33" i="102"/>
  <c r="J33" i="102"/>
  <c r="K33" i="102"/>
  <c r="C33" i="102" l="1"/>
  <c r="H7" i="102"/>
  <c r="H33" i="102" s="1"/>
  <c r="I33" i="102"/>
  <c r="E22" i="74" l="1"/>
  <c r="D22" i="74" l="1"/>
  <c r="C20" i="101" l="1"/>
  <c r="C9" i="101"/>
  <c r="C12" i="101"/>
  <c r="C17" i="101"/>
  <c r="C11" i="101"/>
  <c r="C19" i="101"/>
  <c r="C22" i="101"/>
  <c r="C10" i="101"/>
  <c r="C8" i="101"/>
  <c r="C14" i="101"/>
  <c r="C13" i="101"/>
  <c r="C15" i="101"/>
  <c r="C18" i="101"/>
  <c r="H22" i="96" l="1"/>
  <c r="C21" i="96" l="1"/>
  <c r="G16" i="96"/>
  <c r="H10" i="96"/>
  <c r="H7" i="96"/>
  <c r="H8" i="96"/>
  <c r="H9" i="96"/>
  <c r="H11" i="96"/>
  <c r="H18" i="96"/>
  <c r="H19" i="96"/>
  <c r="H15" i="96" l="1"/>
  <c r="H14" i="96"/>
  <c r="H17" i="96"/>
  <c r="H16" i="96"/>
  <c r="C22" i="95" l="1"/>
  <c r="C54" i="69" l="1"/>
  <c r="C53" i="69"/>
  <c r="C23" i="69"/>
  <c r="D17" i="72" l="1"/>
  <c r="C16" i="69"/>
  <c r="D38" i="92" l="1"/>
  <c r="C38" i="92" l="1"/>
  <c r="D41" i="92" l="1"/>
  <c r="C41" i="92"/>
  <c r="D47" i="92" l="1"/>
  <c r="C47" i="92"/>
  <c r="C53" i="92" s="1"/>
  <c r="D24" i="92"/>
  <c r="C24" i="92"/>
  <c r="C19" i="92"/>
  <c r="D15" i="92"/>
  <c r="C15" i="92"/>
  <c r="C7" i="92"/>
  <c r="D27" i="92" l="1"/>
  <c r="C27" i="92"/>
  <c r="D19" i="92"/>
  <c r="C11" i="92"/>
  <c r="D36" i="92" l="1"/>
  <c r="H21" i="95"/>
  <c r="B1" i="94" l="1"/>
  <c r="B1" i="93"/>
  <c r="B1" i="92"/>
  <c r="B1" i="104" l="1"/>
  <c r="B1" i="103"/>
  <c r="B1" i="102"/>
  <c r="B1" i="101"/>
  <c r="B1" i="100"/>
  <c r="B1" i="99"/>
  <c r="B1" i="98"/>
  <c r="B1" i="97"/>
  <c r="B1" i="96"/>
  <c r="B1" i="95"/>
  <c r="F21" i="96" l="1"/>
  <c r="H23" i="96"/>
  <c r="H8" i="95"/>
  <c r="H9" i="95"/>
  <c r="H10" i="95"/>
  <c r="H11" i="95"/>
  <c r="H12" i="95"/>
  <c r="H13" i="95"/>
  <c r="H15" i="95"/>
  <c r="H16" i="95"/>
  <c r="H17" i="95"/>
  <c r="H18" i="95"/>
  <c r="H19" i="95"/>
  <c r="H20" i="95"/>
  <c r="E22" i="95"/>
  <c r="F22" i="95"/>
  <c r="G22" i="95"/>
  <c r="D12" i="96" l="1"/>
  <c r="H12" i="96" s="1"/>
  <c r="D8" i="72" l="1"/>
  <c r="D16" i="72"/>
  <c r="D20" i="72"/>
  <c r="D31" i="72"/>
  <c r="E43" i="94" l="1"/>
  <c r="E42" i="94"/>
  <c r="E41" i="94"/>
  <c r="E40" i="94"/>
  <c r="E39" i="94"/>
  <c r="D38" i="94"/>
  <c r="C38" i="94"/>
  <c r="E37" i="94"/>
  <c r="E36" i="94"/>
  <c r="E35" i="94"/>
  <c r="E34" i="94"/>
  <c r="E33" i="94"/>
  <c r="E32" i="94"/>
  <c r="E31" i="94"/>
  <c r="D30" i="94"/>
  <c r="C30" i="94"/>
  <c r="E29" i="94"/>
  <c r="E28" i="94"/>
  <c r="E27" i="94"/>
  <c r="E26" i="94"/>
  <c r="E25" i="94"/>
  <c r="E24" i="94"/>
  <c r="E23" i="94"/>
  <c r="E22" i="94"/>
  <c r="E21" i="94"/>
  <c r="E20" i="94"/>
  <c r="E19" i="94"/>
  <c r="E18" i="94"/>
  <c r="E16" i="94"/>
  <c r="E15" i="94"/>
  <c r="D14" i="94"/>
  <c r="E13" i="94"/>
  <c r="E12" i="94"/>
  <c r="D11" i="94"/>
  <c r="C11" i="94"/>
  <c r="E10" i="94"/>
  <c r="E9" i="94"/>
  <c r="D8" i="94"/>
  <c r="C8" i="94"/>
  <c r="H7" i="94"/>
  <c r="E7" i="94"/>
  <c r="H6" i="94"/>
  <c r="E6" i="94"/>
  <c r="H44" i="93"/>
  <c r="E44" i="93"/>
  <c r="H42" i="93"/>
  <c r="E42" i="93"/>
  <c r="H41" i="93"/>
  <c r="E41" i="93"/>
  <c r="H40" i="93"/>
  <c r="E40" i="93"/>
  <c r="H39" i="93"/>
  <c r="E39" i="93"/>
  <c r="H38" i="93"/>
  <c r="E38" i="93"/>
  <c r="D37" i="93"/>
  <c r="C37" i="93"/>
  <c r="H36" i="93"/>
  <c r="E36" i="93"/>
  <c r="H35" i="93"/>
  <c r="E35" i="93"/>
  <c r="D34" i="93"/>
  <c r="E34" i="93" s="1"/>
  <c r="H33" i="93"/>
  <c r="E33" i="93"/>
  <c r="H32" i="93"/>
  <c r="E32" i="93"/>
  <c r="H31" i="93"/>
  <c r="E31" i="93"/>
  <c r="H30" i="93"/>
  <c r="E30" i="93"/>
  <c r="D29" i="93"/>
  <c r="C29" i="93"/>
  <c r="H28" i="93"/>
  <c r="E28" i="93"/>
  <c r="H27" i="93"/>
  <c r="E27" i="93"/>
  <c r="H26" i="93"/>
  <c r="E26" i="93"/>
  <c r="H25" i="93"/>
  <c r="E25" i="93"/>
  <c r="H24" i="93"/>
  <c r="E24" i="93"/>
  <c r="H23" i="93"/>
  <c r="E23" i="93"/>
  <c r="H22" i="93"/>
  <c r="E22" i="93"/>
  <c r="H21" i="93"/>
  <c r="E21" i="93"/>
  <c r="H20" i="93"/>
  <c r="E20" i="93"/>
  <c r="H19" i="93"/>
  <c r="E19" i="93"/>
  <c r="H18" i="93"/>
  <c r="E18" i="93"/>
  <c r="H17" i="93"/>
  <c r="E17" i="93"/>
  <c r="H16" i="93"/>
  <c r="E16" i="93"/>
  <c r="H15" i="93"/>
  <c r="E15" i="93"/>
  <c r="H14" i="93"/>
  <c r="E14" i="93"/>
  <c r="H12" i="93"/>
  <c r="E12" i="93"/>
  <c r="E10" i="93"/>
  <c r="H9" i="93"/>
  <c r="E9" i="93"/>
  <c r="H8" i="93"/>
  <c r="E8" i="93"/>
  <c r="H7" i="93"/>
  <c r="E7" i="93"/>
  <c r="G68" i="92"/>
  <c r="F68" i="92"/>
  <c r="H67" i="92"/>
  <c r="E67" i="92"/>
  <c r="H66" i="92"/>
  <c r="E66" i="92"/>
  <c r="H65" i="92"/>
  <c r="E65" i="92"/>
  <c r="H64" i="92"/>
  <c r="E64" i="92"/>
  <c r="H63" i="92"/>
  <c r="D63" i="92"/>
  <c r="C63" i="92"/>
  <c r="H62" i="92"/>
  <c r="E62" i="92"/>
  <c r="H61" i="92"/>
  <c r="E61" i="92"/>
  <c r="H60" i="92"/>
  <c r="E60" i="92"/>
  <c r="H59" i="92"/>
  <c r="D59" i="92"/>
  <c r="C59" i="92"/>
  <c r="H58" i="92"/>
  <c r="E58" i="92"/>
  <c r="H57" i="92"/>
  <c r="E57" i="92"/>
  <c r="H56" i="92"/>
  <c r="E56" i="92"/>
  <c r="H55" i="92"/>
  <c r="E55" i="92"/>
  <c r="H52" i="92"/>
  <c r="E52" i="92"/>
  <c r="C56" i="69" s="1"/>
  <c r="E56" i="69" s="1"/>
  <c r="H51" i="92"/>
  <c r="E51" i="92"/>
  <c r="H50" i="92"/>
  <c r="E50" i="92"/>
  <c r="H49" i="92"/>
  <c r="E49" i="92"/>
  <c r="H48" i="92"/>
  <c r="E48" i="92"/>
  <c r="H47" i="92"/>
  <c r="E47" i="92"/>
  <c r="H46" i="92"/>
  <c r="E46" i="92"/>
  <c r="H45" i="92"/>
  <c r="E45" i="92"/>
  <c r="H44" i="92"/>
  <c r="E44" i="92"/>
  <c r="H43" i="92"/>
  <c r="E43" i="92"/>
  <c r="H42" i="92"/>
  <c r="E42" i="92"/>
  <c r="G53" i="92"/>
  <c r="H41" i="92"/>
  <c r="D53" i="92"/>
  <c r="E41" i="92"/>
  <c r="H40" i="92"/>
  <c r="E40" i="92"/>
  <c r="H39" i="92"/>
  <c r="E39" i="92"/>
  <c r="H38" i="92"/>
  <c r="E38" i="92"/>
  <c r="H35" i="92"/>
  <c r="E35" i="92"/>
  <c r="H34" i="92"/>
  <c r="E34" i="92"/>
  <c r="H33" i="92"/>
  <c r="E33" i="92"/>
  <c r="C35" i="69" s="1"/>
  <c r="E35" i="69" s="1"/>
  <c r="H32" i="92"/>
  <c r="E32" i="92"/>
  <c r="H31" i="92"/>
  <c r="E31" i="92"/>
  <c r="G36" i="92"/>
  <c r="H30" i="92"/>
  <c r="E30" i="92"/>
  <c r="H29" i="92"/>
  <c r="E29" i="92"/>
  <c r="H28" i="92"/>
  <c r="E28" i="92"/>
  <c r="H27" i="92"/>
  <c r="E27" i="92"/>
  <c r="H26" i="92"/>
  <c r="E26" i="92"/>
  <c r="H25" i="92"/>
  <c r="E25" i="92"/>
  <c r="F36" i="92"/>
  <c r="E24" i="92"/>
  <c r="H23" i="92"/>
  <c r="E23" i="92"/>
  <c r="H22" i="92"/>
  <c r="E22" i="92"/>
  <c r="H21" i="92"/>
  <c r="E21" i="92"/>
  <c r="H20" i="92"/>
  <c r="E20" i="92"/>
  <c r="H19" i="92"/>
  <c r="E19" i="92"/>
  <c r="H18" i="92"/>
  <c r="E18" i="92"/>
  <c r="H17" i="92"/>
  <c r="E17" i="92"/>
  <c r="H16" i="92"/>
  <c r="E16" i="92"/>
  <c r="H15" i="92"/>
  <c r="E15" i="92"/>
  <c r="H14" i="92"/>
  <c r="E14" i="92"/>
  <c r="H13" i="92"/>
  <c r="E13" i="92"/>
  <c r="H12" i="92"/>
  <c r="E12" i="92"/>
  <c r="H11" i="92"/>
  <c r="E11" i="92"/>
  <c r="C10" i="69" s="1"/>
  <c r="E10" i="69" s="1"/>
  <c r="H10" i="92"/>
  <c r="E10" i="92"/>
  <c r="H9" i="92"/>
  <c r="E9" i="92"/>
  <c r="H8" i="92"/>
  <c r="E8" i="92"/>
  <c r="H7" i="92"/>
  <c r="C36" i="92"/>
  <c r="H11" i="93" l="1"/>
  <c r="C43" i="93"/>
  <c r="C45" i="93" s="1"/>
  <c r="E36" i="92"/>
  <c r="C60" i="69"/>
  <c r="E60" i="69" s="1"/>
  <c r="C65" i="69"/>
  <c r="E65" i="69" s="1"/>
  <c r="C64" i="69"/>
  <c r="E64" i="69" s="1"/>
  <c r="C69" i="69"/>
  <c r="E69" i="69" s="1"/>
  <c r="C15" i="72"/>
  <c r="E15" i="72" s="1"/>
  <c r="E13" i="69"/>
  <c r="E42" i="69"/>
  <c r="C66" i="69"/>
  <c r="E66" i="69" s="1"/>
  <c r="C14" i="72"/>
  <c r="E14" i="72" s="1"/>
  <c r="E12" i="69"/>
  <c r="C55" i="69"/>
  <c r="E55" i="69" s="1"/>
  <c r="C52" i="69"/>
  <c r="E52" i="69" s="1"/>
  <c r="C40" i="69"/>
  <c r="E40" i="69" s="1"/>
  <c r="C70" i="69"/>
  <c r="E70" i="69" s="1"/>
  <c r="C68" i="69"/>
  <c r="E68" i="69" s="1"/>
  <c r="D26" i="72"/>
  <c r="D25" i="72" s="1"/>
  <c r="C12" i="72"/>
  <c r="E12" i="72" s="1"/>
  <c r="C46" i="69"/>
  <c r="E46" i="69" s="1"/>
  <c r="C62" i="69"/>
  <c r="E62" i="69" s="1"/>
  <c r="D6" i="93"/>
  <c r="D43" i="93" s="1"/>
  <c r="D45" i="93" s="1"/>
  <c r="C47" i="69"/>
  <c r="E47" i="69" s="1"/>
  <c r="C51" i="69"/>
  <c r="E51" i="69" s="1"/>
  <c r="C59" i="69"/>
  <c r="E59" i="69" s="1"/>
  <c r="C41" i="69"/>
  <c r="E41" i="69" s="1"/>
  <c r="C71" i="69"/>
  <c r="E71" i="69" s="1"/>
  <c r="C34" i="72"/>
  <c r="E34" i="72" s="1"/>
  <c r="C44" i="69"/>
  <c r="E44" i="69" s="1"/>
  <c r="C48" i="69"/>
  <c r="E48" i="69" s="1"/>
  <c r="C50" i="69"/>
  <c r="C45" i="69"/>
  <c r="E45" i="69" s="1"/>
  <c r="C61" i="69"/>
  <c r="E61" i="69" s="1"/>
  <c r="D68" i="92"/>
  <c r="D69" i="92" s="1"/>
  <c r="H34" i="93"/>
  <c r="H29" i="93"/>
  <c r="H37" i="93"/>
  <c r="E59" i="92"/>
  <c r="H13" i="93"/>
  <c r="E38" i="94"/>
  <c r="E37" i="93"/>
  <c r="E29" i="93"/>
  <c r="G69" i="92"/>
  <c r="C19" i="72"/>
  <c r="E19" i="72" s="1"/>
  <c r="C18" i="69"/>
  <c r="E18" i="69" s="1"/>
  <c r="C36" i="72"/>
  <c r="E36" i="72" s="1"/>
  <c r="C37" i="69"/>
  <c r="E37" i="69" s="1"/>
  <c r="H36" i="92"/>
  <c r="E13" i="93"/>
  <c r="C9" i="72"/>
  <c r="E9" i="72" s="1"/>
  <c r="C7" i="69"/>
  <c r="E7" i="69" s="1"/>
  <c r="C33" i="72"/>
  <c r="E33" i="72" s="1"/>
  <c r="C34" i="69"/>
  <c r="E34" i="69" s="1"/>
  <c r="C27" i="72"/>
  <c r="E27" i="72" s="1"/>
  <c r="C28" i="69"/>
  <c r="E28" i="69" s="1"/>
  <c r="C30" i="72"/>
  <c r="C31" i="69"/>
  <c r="E31" i="69" s="1"/>
  <c r="C26" i="72"/>
  <c r="C27" i="69"/>
  <c r="E27" i="69" s="1"/>
  <c r="C13" i="72"/>
  <c r="E13" i="72" s="1"/>
  <c r="C11" i="69"/>
  <c r="E11" i="69" s="1"/>
  <c r="C23" i="72"/>
  <c r="E23" i="72" s="1"/>
  <c r="C22" i="69"/>
  <c r="E22" i="69" s="1"/>
  <c r="C10" i="72"/>
  <c r="E10" i="72" s="1"/>
  <c r="C8" i="69"/>
  <c r="E8" i="69" s="1"/>
  <c r="C24" i="72"/>
  <c r="E24" i="72" s="1"/>
  <c r="C25" i="69"/>
  <c r="E25" i="69" s="1"/>
  <c r="C35" i="72"/>
  <c r="E35" i="72" s="1"/>
  <c r="C36" i="69"/>
  <c r="E36" i="69" s="1"/>
  <c r="C18" i="72"/>
  <c r="E18" i="72" s="1"/>
  <c r="C17" i="69"/>
  <c r="E17" i="69" s="1"/>
  <c r="C29" i="72"/>
  <c r="C30" i="69"/>
  <c r="C17" i="72"/>
  <c r="E17" i="72" s="1"/>
  <c r="C15" i="69"/>
  <c r="C11" i="72"/>
  <c r="E11" i="72" s="1"/>
  <c r="C9" i="69"/>
  <c r="E9" i="69" s="1"/>
  <c r="C21" i="72"/>
  <c r="E21" i="72" s="1"/>
  <c r="C20" i="69"/>
  <c r="E20" i="69" s="1"/>
  <c r="C22" i="72"/>
  <c r="E22" i="72" s="1"/>
  <c r="C21" i="69"/>
  <c r="E21" i="69" s="1"/>
  <c r="C32" i="72"/>
  <c r="E32" i="72" s="1"/>
  <c r="C33" i="69"/>
  <c r="E33" i="69" s="1"/>
  <c r="E63" i="92"/>
  <c r="C68" i="92"/>
  <c r="E53" i="92"/>
  <c r="E8" i="94"/>
  <c r="E14" i="94"/>
  <c r="E30" i="94"/>
  <c r="E11" i="94"/>
  <c r="E17" i="94"/>
  <c r="H68" i="92"/>
  <c r="F53" i="92"/>
  <c r="E7" i="92"/>
  <c r="H24" i="92"/>
  <c r="G6" i="93" l="1"/>
  <c r="G43" i="93" s="1"/>
  <c r="G45" i="93" s="1"/>
  <c r="F6" i="93"/>
  <c r="F43" i="93" s="1"/>
  <c r="F45" i="93" s="1"/>
  <c r="H10" i="93"/>
  <c r="H53" i="92"/>
  <c r="F69" i="92"/>
  <c r="H69" i="92" s="1"/>
  <c r="H71" i="92" s="1"/>
  <c r="C63" i="69"/>
  <c r="E63" i="69" s="1"/>
  <c r="C67" i="69"/>
  <c r="E67" i="69" s="1"/>
  <c r="E15" i="69"/>
  <c r="C14" i="69"/>
  <c r="E14" i="69" s="1"/>
  <c r="C29" i="69"/>
  <c r="E29" i="69" s="1"/>
  <c r="E30" i="69"/>
  <c r="C49" i="69"/>
  <c r="E49" i="69" s="1"/>
  <c r="E50" i="69"/>
  <c r="E16" i="72"/>
  <c r="C43" i="69"/>
  <c r="E26" i="72"/>
  <c r="E25" i="72" s="1"/>
  <c r="E11" i="93"/>
  <c r="E31" i="72"/>
  <c r="D30" i="72"/>
  <c r="E30" i="72" s="1"/>
  <c r="D29" i="72"/>
  <c r="E29" i="72" s="1"/>
  <c r="E20" i="72"/>
  <c r="E8" i="72"/>
  <c r="E68" i="92"/>
  <c r="E6" i="93"/>
  <c r="C8" i="72"/>
  <c r="C25" i="72"/>
  <c r="C19" i="69"/>
  <c r="E19" i="69" s="1"/>
  <c r="C31" i="72"/>
  <c r="C20" i="72"/>
  <c r="C28" i="72"/>
  <c r="C32" i="69"/>
  <c r="E32" i="69" s="1"/>
  <c r="C26" i="69"/>
  <c r="E26" i="69" s="1"/>
  <c r="C6" i="69"/>
  <c r="E6" i="69" s="1"/>
  <c r="C16" i="72"/>
  <c r="E45" i="93"/>
  <c r="E43" i="93"/>
  <c r="C69" i="92"/>
  <c r="E69" i="92" s="1"/>
  <c r="C72" i="69" l="1"/>
  <c r="E72" i="69" s="1"/>
  <c r="E43" i="69"/>
  <c r="C57" i="69"/>
  <c r="E57" i="69" s="1"/>
  <c r="H6" i="93"/>
  <c r="D28" i="72"/>
  <c r="D37" i="72" s="1"/>
  <c r="E28" i="72"/>
  <c r="E37" i="72" s="1"/>
  <c r="C38" i="69"/>
  <c r="E38" i="69" s="1"/>
  <c r="C37" i="72"/>
  <c r="B1" i="80"/>
  <c r="G33" i="80"/>
  <c r="F33" i="80"/>
  <c r="E33" i="80"/>
  <c r="D33" i="80"/>
  <c r="C33" i="80"/>
  <c r="G24" i="80"/>
  <c r="F24" i="80"/>
  <c r="E24" i="80"/>
  <c r="C24" i="80"/>
  <c r="G18" i="80"/>
  <c r="F18" i="80"/>
  <c r="E18" i="80"/>
  <c r="D18" i="80"/>
  <c r="C18" i="80"/>
  <c r="G14" i="80"/>
  <c r="F14" i="80"/>
  <c r="E14" i="80"/>
  <c r="D14" i="80"/>
  <c r="C14" i="80"/>
  <c r="G11" i="80"/>
  <c r="F11" i="80"/>
  <c r="E11" i="80"/>
  <c r="D11" i="80"/>
  <c r="C11" i="80"/>
  <c r="G8" i="80"/>
  <c r="E8" i="80"/>
  <c r="D8" i="80"/>
  <c r="C8" i="80"/>
  <c r="G21" i="80" l="1"/>
  <c r="F37" i="80"/>
  <c r="E37" i="80"/>
  <c r="D21" i="80"/>
  <c r="E21" i="80"/>
  <c r="D37" i="80"/>
  <c r="F21" i="80"/>
  <c r="C21" i="80"/>
  <c r="C37" i="80"/>
  <c r="C73" i="69"/>
  <c r="C75" i="69" s="1"/>
  <c r="H45" i="93"/>
  <c r="H43" i="93"/>
  <c r="G37" i="80"/>
  <c r="C6" i="71"/>
  <c r="C13" i="71" s="1"/>
  <c r="G39" i="80" l="1"/>
  <c r="G41" i="80" s="1"/>
  <c r="B1" i="79" l="1"/>
  <c r="B1" i="37"/>
  <c r="B1" i="36"/>
  <c r="B1" i="74"/>
  <c r="B1" i="64"/>
  <c r="B1" i="35"/>
  <c r="B1" i="69"/>
  <c r="B1" i="77"/>
  <c r="B1" i="28"/>
  <c r="B1" i="73"/>
  <c r="B1" i="72"/>
  <c r="B1" i="52"/>
  <c r="B1" i="71"/>
  <c r="B1" i="6"/>
  <c r="C21" i="77" l="1"/>
  <c r="D16" i="77"/>
  <c r="D17" i="77"/>
  <c r="D15" i="77"/>
  <c r="D12" i="77"/>
  <c r="D13" i="77"/>
  <c r="D11" i="77"/>
  <c r="D8" i="77"/>
  <c r="D9" i="77"/>
  <c r="D7" i="77"/>
  <c r="C20" i="77"/>
  <c r="C19" i="77"/>
  <c r="D21" i="77" l="1"/>
  <c r="D19" i="77"/>
  <c r="D20" i="77"/>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C7" i="37"/>
  <c r="M21" i="37" l="1"/>
  <c r="L21" i="37"/>
  <c r="F21" i="37"/>
  <c r="H21" i="37"/>
  <c r="G21" i="37"/>
  <c r="I21" i="37"/>
  <c r="J21" i="37"/>
  <c r="N14" i="37"/>
  <c r="E14" i="37"/>
  <c r="E7" i="37"/>
  <c r="C21" i="37"/>
  <c r="N8" i="37"/>
  <c r="E21" i="37" l="1"/>
  <c r="N7" i="37"/>
  <c r="N21" i="37" s="1"/>
  <c r="K7" i="37"/>
  <c r="K21" i="37" s="1"/>
  <c r="C5" i="73" l="1"/>
  <c r="S21" i="35" l="1"/>
  <c r="S20" i="35"/>
  <c r="S19" i="35"/>
  <c r="S18" i="35"/>
  <c r="S17" i="35"/>
  <c r="S16" i="35"/>
  <c r="S15" i="35"/>
  <c r="S14" i="35"/>
  <c r="S13" i="35"/>
  <c r="S12" i="35"/>
  <c r="S11" i="35"/>
  <c r="S10" i="35"/>
  <c r="S9" i="35"/>
  <c r="S8" i="35"/>
  <c r="S22" i="35" l="1"/>
  <c r="F22" i="74" l="1"/>
  <c r="D22" i="35"/>
  <c r="E22" i="35"/>
  <c r="F22" i="35"/>
  <c r="G22" i="35"/>
  <c r="H22" i="35"/>
  <c r="I22" i="35"/>
  <c r="J22" i="35"/>
  <c r="K22" i="35"/>
  <c r="L22" i="35"/>
  <c r="M22" i="35"/>
  <c r="N22" i="35"/>
  <c r="O22" i="35"/>
  <c r="P22" i="35"/>
  <c r="Q22" i="35"/>
  <c r="R22" i="35"/>
  <c r="C22" i="35"/>
  <c r="V7" i="64" l="1"/>
  <c r="H8" i="74" s="1"/>
  <c r="T21" i="64" l="1"/>
  <c r="U21" i="64"/>
  <c r="V9" i="64"/>
  <c r="C8" i="73" l="1"/>
  <c r="C13" i="73" s="1"/>
  <c r="C44" i="28"/>
  <c r="C32" i="28" l="1"/>
  <c r="C31" i="28" s="1"/>
  <c r="C21" i="64" l="1"/>
  <c r="D21" i="64"/>
  <c r="E21" i="64"/>
  <c r="F21" i="64"/>
  <c r="G21" i="64"/>
  <c r="H21" i="64"/>
  <c r="I21" i="64"/>
  <c r="J21" i="64"/>
  <c r="K21" i="64"/>
  <c r="L21" i="64"/>
  <c r="M21" i="64"/>
  <c r="N21" i="64"/>
  <c r="O21" i="64"/>
  <c r="P21" i="64"/>
  <c r="Q21" i="64"/>
  <c r="R21" i="64"/>
  <c r="S21" i="64"/>
  <c r="V8" i="64" l="1"/>
  <c r="V10" i="64"/>
  <c r="H11" i="74" s="1"/>
  <c r="V11" i="64"/>
  <c r="V12" i="64"/>
  <c r="H13" i="74" s="1"/>
  <c r="V13" i="64"/>
  <c r="H14" i="74" s="1"/>
  <c r="V14" i="64"/>
  <c r="H15" i="74" s="1"/>
  <c r="V15" i="64"/>
  <c r="H16" i="74" s="1"/>
  <c r="V16" i="64"/>
  <c r="V17" i="64"/>
  <c r="H18" i="74" s="1"/>
  <c r="V18" i="64"/>
  <c r="V19" i="64"/>
  <c r="V20" i="64"/>
  <c r="H21" i="74" s="1"/>
  <c r="G22" i="74" l="1"/>
  <c r="H22" i="74" s="1"/>
  <c r="H17" i="74"/>
  <c r="V21" i="64"/>
  <c r="C48" i="28" l="1"/>
  <c r="C53" i="28" s="1"/>
  <c r="C36" i="28"/>
  <c r="C42" i="28" s="1"/>
  <c r="C12" i="28"/>
  <c r="C6" i="28" l="1"/>
  <c r="C29" i="28" l="1"/>
  <c r="B2" i="93"/>
  <c r="B2" i="97"/>
  <c r="B2" i="37"/>
  <c r="B2" i="69"/>
  <c r="B2" i="92"/>
  <c r="B2" i="36"/>
  <c r="B2" i="74"/>
  <c r="B2" i="95"/>
  <c r="B2" i="94"/>
  <c r="B2" i="103"/>
  <c r="B2" i="73"/>
  <c r="B2" i="77"/>
  <c r="B2" i="102"/>
  <c r="C5" i="6"/>
  <c r="B2" i="80"/>
  <c r="B2" i="101"/>
  <c r="B2" i="64"/>
  <c r="B2" i="99"/>
  <c r="B2" i="35"/>
  <c r="B2" i="104"/>
  <c r="B2" i="100"/>
  <c r="B2" i="72"/>
  <c r="B2" i="96"/>
  <c r="B2" i="98"/>
  <c r="B2" i="52"/>
  <c r="B2" i="79"/>
  <c r="B2" i="28"/>
  <c r="F5" i="6"/>
  <c r="B2" i="71"/>
  <c r="G5" i="71" s="1"/>
  <c r="E5" i="6"/>
  <c r="D5" i="6"/>
  <c r="G5" i="6"/>
  <c r="C5" i="71" l="1"/>
  <c r="E5" i="71"/>
  <c r="F5" i="71"/>
  <c r="D5" i="71"/>
  <c r="G20" i="96" l="1"/>
  <c r="G21" i="96" s="1"/>
  <c r="G34" i="97" l="1"/>
  <c r="C20" i="100" l="1"/>
  <c r="C17" i="100"/>
  <c r="C19" i="100"/>
  <c r="C18" i="100"/>
  <c r="C16" i="100" l="1"/>
  <c r="C15" i="100" l="1"/>
  <c r="D21" i="96" l="1"/>
  <c r="H20" i="96"/>
  <c r="E21" i="96" l="1"/>
  <c r="H13" i="96"/>
  <c r="H14" i="95"/>
  <c r="D22" i="95"/>
  <c r="H22" i="95" l="1"/>
  <c r="H21" i="96"/>
  <c r="H33" i="97" l="1"/>
  <c r="H8" i="97" l="1"/>
  <c r="H26" i="97"/>
  <c r="H30" i="97"/>
  <c r="H12" i="97"/>
  <c r="H14" i="97"/>
  <c r="H31" i="97"/>
  <c r="H18" i="97"/>
  <c r="H20" i="97"/>
  <c r="H32" i="97"/>
  <c r="H10" i="97"/>
  <c r="H16" i="97"/>
  <c r="H19" i="97"/>
  <c r="H28" i="97"/>
  <c r="H21" i="97"/>
  <c r="H25" i="97"/>
  <c r="H22" i="97"/>
  <c r="H24" i="97"/>
  <c r="H27" i="97"/>
  <c r="H17" i="97"/>
  <c r="H13" i="97"/>
  <c r="H9" i="97"/>
  <c r="H11" i="97"/>
  <c r="H23" i="97"/>
  <c r="H15" i="97"/>
  <c r="H29" i="97"/>
  <c r="H7" i="97"/>
  <c r="C34" i="97"/>
  <c r="E34" i="97"/>
  <c r="D34" i="97"/>
  <c r="F34" i="97"/>
  <c r="H34" i="97" l="1"/>
  <c r="C27" i="100" l="1"/>
  <c r="C28" i="100" l="1"/>
  <c r="C26" i="100" l="1"/>
  <c r="C24" i="100"/>
  <c r="C22" i="100" l="1"/>
  <c r="V8" i="100" l="1"/>
  <c r="Z8" i="100"/>
  <c r="F8" i="100"/>
  <c r="I8" i="100"/>
  <c r="P8" i="100"/>
  <c r="Q8" i="100"/>
  <c r="O8" i="100"/>
  <c r="M8" i="100"/>
  <c r="N8" i="100"/>
  <c r="R8" i="100"/>
  <c r="Y8" i="100"/>
  <c r="U8" i="100" l="1"/>
  <c r="T8" i="100"/>
  <c r="L9" i="103" s="1"/>
  <c r="K8" i="100"/>
  <c r="G8" i="100"/>
  <c r="W8" i="100"/>
  <c r="H8" i="100"/>
  <c r="X8" i="100"/>
  <c r="L6" i="103" l="1"/>
</calcChain>
</file>

<file path=xl/comments1.xml><?xml version="1.0" encoding="utf-8"?>
<comments xmlns="http://schemas.openxmlformats.org/spreadsheetml/2006/main">
  <authors>
    <author>Author</author>
  </authors>
  <commentList>
    <comment ref="C18" authorId="0" shapeId="0">
      <text>
        <r>
          <rPr>
            <b/>
            <sz val="9"/>
            <color indexed="81"/>
            <rFont val="Tahoma"/>
            <family val="2"/>
          </rPr>
          <t>Author:</t>
        </r>
        <r>
          <rPr>
            <sz val="9"/>
            <color indexed="81"/>
            <rFont val="Tahoma"/>
            <family val="2"/>
          </rPr>
          <t xml:space="preserve">
loans +fact</t>
        </r>
      </text>
    </comment>
  </commentList>
</comments>
</file>

<file path=xl/comments2.xml><?xml version="1.0" encoding="utf-8"?>
<comments xmlns="http://schemas.openxmlformats.org/spreadsheetml/2006/main">
  <authors>
    <author>Author</author>
  </authors>
  <commentList>
    <comment ref="C5" authorId="0" shapeId="0">
      <text>
        <r>
          <rPr>
            <b/>
            <sz val="9"/>
            <color indexed="81"/>
            <rFont val="Tahoma"/>
            <family val="2"/>
          </rPr>
          <t>Author:</t>
        </r>
        <r>
          <rPr>
            <sz val="9"/>
            <color indexed="81"/>
            <rFont val="Tahoma"/>
            <family val="2"/>
          </rPr>
          <t xml:space="preserve">
net value</t>
        </r>
      </text>
    </comment>
  </commentList>
</comments>
</file>

<file path=xl/sharedStrings.xml><?xml version="1.0" encoding="utf-8"?>
<sst xmlns="http://schemas.openxmlformats.org/spreadsheetml/2006/main" count="1618" uniqueCount="1012">
  <si>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</si>
  <si>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</si>
  <si>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</si>
  <si>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</si>
  <si>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</si>
  <si>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</si>
  <si>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</si>
  <si>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</si>
  <si>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</si>
  <si>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</si>
  <si>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</si>
  <si>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</si>
  <si>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</si>
  <si>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</si>
  <si>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</si>
  <si>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</si>
  <si>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</si>
  <si>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</si>
  <si>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</si>
  <si>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</si>
  <si>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</si>
  <si>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</si>
  <si>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</si>
  <si>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</si>
  <si>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</si>
  <si>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</si>
  <si>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</si>
  <si>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</si>
  <si>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</si>
  <si>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</si>
  <si>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</si>
  <si>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</si>
  <si>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</si>
  <si>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</si>
  <si>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</si>
  <si>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</si>
  <si>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</si>
  <si>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</si>
  <si>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</si>
  <si>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</si>
  <si>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</si>
  <si>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</si>
  <si>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</si>
  <si>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</si>
  <si>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</si>
  <si>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</si>
  <si>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</si>
  <si>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</si>
  <si>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</si>
  <si>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</si>
  <si>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</si>
  <si>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</si>
  <si>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</si>
  <si>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</si>
  <si>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</si>
  <si>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</si>
  <si>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</si>
  <si>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</si>
  <si>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</si>
  <si>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</si>
  <si>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</si>
  <si>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</si>
  <si>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</si>
  <si>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</si>
  <si>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</si>
  <si>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</si>
  <si>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</si>
  <si>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</si>
  <si>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</si>
  <si>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</si>
  <si>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</si>
  <si>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</si>
  <si>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</si>
  <si>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</si>
  <si>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</si>
  <si>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</si>
  <si>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</si>
  <si>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</si>
  <si>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</si>
  <si>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</si>
  <si>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</si>
  <si>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</si>
  <si>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</si>
  <si>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</si>
  <si>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</si>
  <si>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</si>
  <si>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</si>
  <si>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</si>
  <si>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</si>
  <si>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</si>
  <si>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</si>
  <si>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</si>
  <si>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</si>
  <si>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</si>
  <si>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</si>
  <si>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</si>
  <si>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</si>
  <si>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</si>
  <si>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</si>
  <si>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</si>
  <si>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</si>
  <si>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</si>
  <si>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</si>
  <si>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</si>
  <si>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</si>
  <si>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</si>
  <si>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</si>
  <si>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</si>
  <si>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</si>
  <si>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</si>
  <si>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</si>
  <si>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</si>
  <si>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</si>
  <si>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</si>
  <si>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</si>
  <si>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</si>
  <si>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</si>
  <si>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</si>
  <si>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</si>
  <si>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</si>
  <si>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</si>
  <si>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</si>
  <si>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</si>
  <si>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</si>
  <si>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</si>
  <si>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</si>
  <si>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</si>
  <si>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</si>
  <si>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</si>
  <si>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</si>
  <si>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</si>
  <si>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</si>
  <si>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</si>
  <si>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</si>
  <si>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</si>
  <si>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</si>
  <si>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</si>
  <si>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</si>
  <si>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</si>
  <si>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</si>
  <si>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</si>
  <si>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</si>
  <si>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</si>
  <si>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</si>
  <si>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</si>
  <si>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</si>
  <si>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</si>
  <si>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</si>
  <si>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</si>
  <si>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</si>
  <si>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</si>
  <si>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</si>
  <si>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</si>
  <si>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</si>
  <si>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</si>
  <si>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</si>
  <si>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</si>
  <si>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</si>
  <si>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</si>
  <si>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</si>
  <si>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</si>
  <si>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</si>
  <si>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</si>
  <si>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</si>
  <si>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</si>
  <si>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</si>
  <si>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</si>
  <si>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</si>
  <si>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</si>
  <si>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</si>
  <si>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</si>
  <si>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</si>
  <si>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</si>
  <si>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</si>
  <si>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</si>
  <si>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</si>
  <si>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</si>
  <si>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</si>
  <si>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</si>
  <si>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</si>
  <si>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</si>
  <si>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</si>
  <si>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</si>
  <si>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</si>
  <si>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</si>
  <si>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</si>
  <si>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</si>
  <si>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</si>
  <si>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</si>
  <si>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</si>
  <si>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</si>
  <si>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</si>
  <si>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</si>
  <si>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</si>
  <si>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</si>
  <si>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</si>
  <si>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</si>
  <si>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</si>
  <si>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</si>
  <si>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</si>
  <si>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</si>
  <si>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</si>
  <si>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</si>
  <si>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</si>
  <si>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</si>
  <si>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</si>
  <si>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</si>
  <si>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</si>
  <si>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</si>
  <si>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</si>
  <si>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</si>
  <si>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</si>
  <si>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</si>
  <si>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</si>
  <si>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</si>
  <si>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</si>
  <si>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</si>
  <si>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</si>
  <si>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</si>
  <si>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</si>
  <si>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</si>
  <si>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</si>
  <si>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</si>
  <si>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</si>
  <si>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</si>
  <si>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</si>
  <si>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</si>
  <si>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</si>
  <si>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</si>
  <si>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</si>
  <si>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</si>
  <si>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</si>
  <si>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</si>
  <si>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</si>
  <si>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</si>
  <si>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</si>
  <si>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</si>
  <si>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</si>
  <si>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</si>
  <si>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</si>
  <si>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</si>
  <si>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</si>
  <si>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</si>
  <si>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</si>
  <si>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</si>
  <si>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</si>
  <si>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</si>
  <si>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</si>
  <si>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</si>
  <si>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</si>
  <si>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</si>
  <si>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</si>
  <si>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</si>
  <si>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</si>
  <si>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</si>
  <si>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</si>
  <si>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</si>
  <si>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</si>
  <si>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</si>
  <si>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</si>
  <si>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</si>
  <si>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</si>
  <si>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</si>
  <si>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</si>
  <si>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</si>
  <si>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</si>
  <si>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</si>
  <si>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</si>
  <si>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</si>
  <si>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</si>
  <si>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</si>
  <si>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</si>
  <si>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</si>
  <si>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</si>
  <si>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</si>
  <si>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</si>
  <si>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</si>
  <si>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</si>
  <si>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</si>
  <si>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</si>
  <si>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</si>
  <si>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</si>
  <si>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</si>
  <si>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</si>
  <si>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</si>
  <si>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</si>
  <si>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</si>
  <si>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</si>
  <si>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</si>
  <si>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</si>
  <si>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</si>
  <si>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</si>
  <si>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</si>
  <si>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</si>
  <si>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</si>
  <si>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</si>
  <si>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</si>
  <si>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</si>
  <si>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</si>
  <si>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</si>
  <si>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</si>
  <si>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</si>
  <si>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</si>
  <si>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</si>
  <si>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</si>
  <si>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</si>
  <si>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</si>
  <si>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</si>
  <si>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</si>
  <si>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</si>
  <si>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</si>
  <si>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</si>
  <si>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</si>
  <si>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</si>
  <si>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</si>
  <si>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</si>
  <si>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</si>
  <si>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</si>
  <si>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</si>
  <si>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</si>
  <si>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</si>
  <si>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</si>
  <si>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</si>
  <si>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</si>
  <si>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</si>
  <si>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</si>
  <si>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</si>
  <si>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</si>
  <si>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</si>
  <si>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</si>
  <si>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</si>
  <si>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</si>
  <si>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</si>
  <si>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</si>
  <si>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</si>
  <si>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</si>
  <si>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</si>
  <si>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</si>
  <si>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</si>
  <si>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</si>
  <si>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</si>
  <si>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</si>
  <si>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</si>
  <si>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</si>
  <si>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</si>
  <si>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</si>
  <si>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</si>
  <si>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</si>
  <si>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</si>
  <si>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</si>
  <si>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</si>
  <si>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</si>
  <si>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</si>
  <si>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</si>
  <si>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</si>
  <si>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</si>
  <si>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</si>
  <si>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</si>
  <si>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</si>
  <si>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</si>
  <si>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</si>
  <si>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</si>
  <si>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</si>
  <si>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</si>
  <si>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</si>
  <si>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</si>
  <si>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</si>
  <si>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</si>
  <si>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</si>
  <si>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</si>
  <si>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</si>
  <si>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</si>
  <si>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</si>
  <si>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</si>
  <si>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</si>
  <si>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</si>
  <si>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</si>
  <si>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</si>
  <si>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</si>
  <si>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</si>
  <si>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</si>
  <si>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</si>
  <si>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</si>
  <si>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</si>
  <si>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</si>
  <si>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</si>
  <si>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</si>
  <si>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</si>
  <si>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</si>
  <si>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</si>
  <si>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</si>
  <si>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</si>
  <si>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</si>
  <si>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</si>
  <si>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</si>
  <si>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</si>
  <si>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</si>
  <si>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</si>
  <si>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</si>
  <si>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</si>
  <si>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</si>
  <si>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</si>
  <si>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</si>
  <si>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</si>
  <si>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</si>
  <si>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</si>
  <si>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</si>
  <si>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</si>
  <si>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</si>
  <si>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</si>
  <si>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</si>
  <si>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</si>
  <si>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</si>
  <si>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</si>
  <si>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</si>
  <si>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</si>
  <si>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</si>
  <si>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</si>
  <si>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</si>
  <si>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</si>
  <si>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</si>
  <si>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</si>
  <si>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</si>
  <si>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</si>
  <si>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</si>
  <si>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</si>
  <si>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</si>
  <si>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</si>
  <si>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</si>
  <si>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</si>
  <si>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</si>
  <si>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</si>
  <si>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</si>
  <si>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</si>
  <si>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</si>
  <si>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</si>
  <si>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</si>
  <si>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</si>
  <si>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</si>
  <si>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</si>
  <si>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</si>
  <si>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</si>
  <si>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</si>
  <si>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</si>
  <si>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</si>
  <si>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</si>
  <si>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</si>
  <si>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</si>
  <si>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</si>
  <si>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</si>
  <si>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</si>
  <si>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</si>
  <si>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</si>
  <si>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</si>
  <si>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</si>
  <si>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</si>
  <si>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</si>
  <si>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</si>
  <si>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</si>
  <si>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</si>
  <si>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</si>
  <si>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</si>
  <si>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</si>
  <si>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</si>
  <si>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</si>
  <si>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</si>
  <si>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</si>
  <si>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</si>
  <si>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</si>
  <si>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</si>
  <si>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</si>
  <si>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</si>
  <si>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</si>
  <si>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</si>
  <si>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</si>
  <si>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</si>
  <si>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</si>
  <si>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</si>
  <si>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</si>
  <si>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</si>
  <si>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</si>
  <si>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</si>
  <si>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</si>
  <si>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</si>
  <si>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</si>
  <si>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</si>
  <si>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</si>
  <si>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</si>
  <si>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</si>
  <si>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</si>
  <si>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</si>
  <si>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</si>
  <si>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</si>
  <si>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</si>
  <si>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</si>
  <si>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</si>
  <si>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</si>
  <si>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</si>
  <si>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</si>
  <si>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</si>
  <si>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</si>
  <si>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</si>
  <si>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</si>
  <si>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</si>
  <si>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</si>
  <si>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</si>
  <si>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</si>
  <si>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</si>
  <si>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</si>
  <si>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</si>
  <si>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</si>
  <si>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</si>
  <si>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</si>
  <si>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</si>
  <si>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</si>
  <si>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</si>
  <si>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</si>
  <si>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</si>
  <si>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</si>
  <si>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</si>
  <si>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</si>
  <si>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</si>
  <si>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</si>
  <si>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</si>
  <si>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</si>
  <si>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</si>
  <si>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</si>
  <si>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</si>
  <si>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</si>
  <si>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</si>
  <si>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</si>
  <si>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</si>
  <si>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</si>
  <si>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</si>
  <si>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</si>
  <si>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</si>
  <si>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</si>
  <si>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</si>
  <si>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</si>
  <si>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</si>
  <si>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</si>
  <si>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</si>
  <si>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</si>
  <si>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</si>
  <si>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</si>
  <si>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</si>
  <si>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</si>
  <si>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</si>
  <si>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</si>
  <si>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</si>
  <si>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</si>
  <si>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</si>
  <si>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</si>
  <si>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</si>
  <si>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</si>
  <si>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</si>
  <si>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</si>
  <si>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</si>
  <si>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</si>
  <si>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</si>
  <si>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</si>
  <si>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</si>
  <si>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</si>
  <si>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</si>
  <si>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</si>
  <si>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</si>
  <si>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</si>
  <si>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</si>
  <si>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</si>
  <si>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</si>
  <si>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</si>
  <si>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</si>
  <si>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</si>
  <si>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</si>
  <si>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</si>
  <si>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</si>
  <si>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</si>
  <si>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</si>
  <si>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</si>
  <si>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</si>
  <si>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</si>
  <si>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</si>
  <si>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</si>
  <si>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</si>
  <si>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</si>
  <si>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</si>
  <si>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</si>
  <si>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</si>
  <si>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</si>
  <si>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</si>
  <si>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</si>
  <si>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</si>
  <si>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</si>
  <si>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</si>
  <si>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</si>
  <si>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</si>
  <si>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</si>
  <si>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</si>
  <si>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</si>
  <si>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</si>
  <si>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</si>
  <si>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</si>
  <si>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</si>
  <si>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</si>
  <si>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</si>
  <si>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</si>
  <si>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</si>
  <si>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</si>
  <si>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</si>
  <si>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</si>
  <si>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</si>
  <si>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</si>
  <si>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</si>
  <si>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</si>
  <si>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</si>
  <si>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</si>
  <si>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</si>
  <si>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</si>
  <si>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</si>
  <si>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</si>
  <si>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</si>
  <si>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</si>
  <si>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</si>
  <si>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</si>
  <si>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</si>
  <si>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</si>
  <si>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</si>
  <si>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</si>
  <si>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</si>
  <si>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</si>
  <si>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</si>
  <si>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</si>
  <si>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</si>
  <si>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</si>
  <si>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</si>
  <si>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</si>
  <si>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</si>
  <si>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</si>
  <si>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</si>
  <si>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</si>
  <si>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</si>
  <si>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</si>
  <si>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</si>
  <si>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</si>
  <si>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</si>
  <si>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</si>
  <si>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</si>
  <si>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</si>
  <si>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</si>
  <si>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</si>
  <si>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</si>
  <si>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</si>
  <si>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</si>
  <si>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</si>
  <si>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</si>
  <si>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</si>
  <si>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</si>
  <si>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</si>
  <si>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</si>
  <si>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</si>
  <si>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</si>
  <si>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</si>
  <si>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</si>
  <si>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</si>
  <si>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</si>
  <si>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</si>
  <si>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</si>
  <si>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</si>
  <si>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</si>
  <si>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</si>
  <si>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</si>
  <si>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</si>
  <si>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</si>
  <si>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</si>
  <si>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</si>
  <si>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</si>
  <si>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</si>
  <si>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</si>
  <si>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</si>
  <si>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</si>
  <si>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</si>
  <si>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</si>
  <si>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</si>
  <si>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</si>
  <si>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</si>
  <si>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</si>
  <si>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</si>
  <si>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</si>
  <si>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</si>
  <si>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</si>
  <si>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</si>
  <si>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</si>
  <si>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</si>
  <si>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</si>
  <si>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</si>
  <si>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</si>
  <si>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</si>
  <si>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</si>
  <si>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</si>
  <si>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</si>
  <si>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</si>
  <si>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</si>
  <si>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</si>
  <si>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</si>
  <si>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</si>
  <si>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</si>
  <si>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</si>
  <si>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</si>
  <si>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</si>
  <si>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</si>
  <si>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</si>
  <si>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</si>
  <si>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</si>
  <si>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</si>
  <si>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</si>
  <si>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</si>
  <si>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</si>
  <si>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</si>
  <si>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</si>
  <si>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</si>
  <si>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</si>
  <si>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</si>
  <si>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</si>
  <si>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</si>
  <si>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</si>
  <si>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</si>
  <si>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</si>
  <si>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</si>
  <si>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</si>
  <si>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</si>
  <si>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</si>
  <si>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</si>
  <si>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</si>
  <si>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</si>
  <si>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</si>
  <si>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</si>
  <si>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</si>
  <si>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</si>
  <si>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</si>
  <si>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</si>
  <si>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</si>
  <si>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</si>
  <si>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</si>
  <si>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</si>
  <si>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</si>
  <si>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</si>
  <si>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</si>
  <si>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</si>
  <si>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</si>
  <si>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</si>
  <si>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</si>
  <si>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</si>
  <si>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</si>
  <si>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</si>
  <si>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</si>
  <si>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</si>
  <si>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</si>
  <si>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</si>
  <si>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</si>
  <si>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</si>
  <si>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</si>
  <si>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</si>
  <si>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</si>
  <si>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</si>
  <si>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</si>
  <si>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</si>
  <si>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</si>
  <si>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</si>
  <si>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</si>
  <si>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</si>
  <si>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</si>
  <si>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</si>
  <si>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</si>
  <si>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</si>
  <si>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</si>
  <si>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</si>
  <si>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</si>
  <si>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</si>
  <si>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</si>
  <si>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</si>
  <si>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</si>
  <si>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</si>
  <si>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</si>
  <si>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</si>
  <si>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</si>
  <si>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</si>
  <si>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</si>
  <si>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</si>
  <si>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</si>
  <si>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</si>
  <si>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</si>
  <si>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</si>
  <si>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</si>
  <si>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</si>
  <si>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</si>
  <si>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</si>
  <si>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</si>
  <si>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</si>
  <si>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</si>
  <si>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</si>
  <si>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</si>
  <si>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</si>
  <si>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</si>
  <si>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</si>
  <si>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</si>
  <si>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</si>
  <si>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</si>
  <si>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</si>
  <si>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</si>
  <si>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</si>
  <si>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</si>
  <si>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</si>
  <si>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</si>
  <si>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</si>
  <si>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</si>
  <si>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</si>
  <si>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</si>
  <si>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</si>
  <si>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</si>
  <si>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</si>
  <si>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</si>
  <si>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</si>
  <si>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</si>
  <si>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</si>
  <si>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</si>
  <si>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</si>
  <si>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</si>
  <si>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</si>
  <si>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</si>
  <si>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</si>
  <si>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</si>
  <si>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</si>
  <si>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</si>
  <si>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</si>
  <si>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</si>
  <si>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</si>
  <si>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</si>
  <si>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</si>
  <si>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</si>
  <si>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</si>
  <si>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</si>
  <si>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</si>
  <si>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</si>
  <si>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</si>
  <si>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</si>
  <si>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</si>
  <si>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</si>
  <si>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</si>
  <si>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</si>
  <si>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</si>
  <si>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</si>
  <si>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</si>
  <si>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</si>
  <si>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</si>
  <si>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</si>
  <si>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</si>
  <si>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</si>
  <si>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</si>
  <si>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</si>
  <si>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</si>
  <si>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</si>
  <si>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</si>
  <si>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</si>
  <si>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</si>
  <si>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</si>
  <si>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</si>
  <si>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</si>
  <si>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</si>
  <si>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</si>
  <si>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</si>
  <si>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</si>
  <si>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</si>
  <si>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</si>
  <si>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</si>
  <si>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</si>
  <si>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</si>
  <si>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</si>
  <si>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</si>
  <si>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</si>
  <si>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</si>
  <si>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</si>
  <si>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</si>
  <si>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</si>
  <si>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</si>
  <si>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</si>
  <si>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</si>
  <si>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</si>
  <si>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</si>
  <si>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</si>
  <si>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</si>
  <si>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</si>
  <si>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</si>
  <si>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</si>
  <si>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</si>
  <si>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</si>
  <si>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</si>
  <si>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</si>
  <si>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</si>
  <si>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</si>
  <si>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</si>
  <si>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</si>
  <si>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</si>
  <si>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</si>
  <si>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</si>
  <si>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</si>
  <si>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</si>
  <si>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</si>
  <si>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</si>
  <si>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</si>
  <si>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</si>
  <si>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</si>
  <si>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</si>
  <si>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</si>
  <si>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</si>
  <si>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</si>
  <si>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</si>
  <si>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</si>
  <si>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</si>
  <si>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</si>
  <si>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</si>
  <si>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</si>
  <si>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</si>
  <si>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</si>
  <si>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</si>
  <si>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</si>
  <si>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</si>
  <si>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</si>
  <si>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</si>
  <si>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</si>
  <si>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</si>
  <si>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</si>
  <si>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</si>
  <si>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</si>
  <si>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</si>
  <si>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</si>
  <si>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</si>
  <si>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</si>
  <si>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</si>
  <si>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</si>
  <si>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</si>
  <si>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</si>
  <si>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</si>
  <si>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</si>
  <si>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</si>
  <si>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</si>
  <si>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</si>
  <si>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</si>
  <si>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</si>
  <si>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</si>
  <si>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</si>
  <si>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</si>
  <si>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</si>
  <si>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</si>
  <si>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</si>
  <si>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</si>
  <si>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</si>
  <si>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</si>
  <si>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t>V</t>
  </si>
  <si>
    <t>X</t>
  </si>
  <si>
    <t>AA</t>
  </si>
  <si>
    <t>მელ ჯერარდ კარვილი</t>
  </si>
  <si>
    <t>დამოუკიდებელი თავმჯდომარე</t>
  </si>
  <si>
    <t>თამაზ გეორგაძე</t>
  </si>
  <si>
    <t>არადამოუკიდებელი წევრი</t>
  </si>
  <si>
    <t>ალასდაირ ბრიჩი</t>
  </si>
  <si>
    <t>ჰანნა ლოიკანენი</t>
  </si>
  <si>
    <t>სესილ ქუილენი</t>
  </si>
  <si>
    <t>დამოუკიდებელი წევრი</t>
  </si>
  <si>
    <t>ვერონიკ მკ კაროლი</t>
  </si>
  <si>
    <t>ჯონათან მუირი</t>
  </si>
  <si>
    <t>მარიამ მეღვინეთუხუცესი</t>
  </si>
  <si>
    <t>არჩილ გაჩეჩილაძე</t>
  </si>
  <si>
    <t>გენერალური დირექტორი</t>
  </si>
  <si>
    <t>მიხეილ გომართელი</t>
  </si>
  <si>
    <t>გენერალური დირექტორის მოადგილე</t>
  </si>
  <si>
    <t>სულხან გვალია</t>
  </si>
  <si>
    <t>ეთერ ირემაძე</t>
  </si>
  <si>
    <t>გენერალური დირექტორის მოადგილე / SOLO - პრემიალური საცალო საბანკო საქმიანობა, დაგროვილი ქონების მარვა</t>
  </si>
  <si>
    <t>ზურაბ ქოქოსაძე</t>
  </si>
  <si>
    <t>გენერალური დირექტორის მოადგილე / კორპორაციული საბანკო მომსახურების მიმართულება</t>
  </si>
  <si>
    <t>დავით დავითაშვილი</t>
  </si>
  <si>
    <t>გენერალური დირექტორიე მოადგილე/ ინფორმაციული ტექნოლოგიები და მონაცემთა ანალიტიკა</t>
  </si>
  <si>
    <t>დავით ჭყონია</t>
  </si>
  <si>
    <t>გენერალური დირექტორიე მოადგილე</t>
  </si>
  <si>
    <t>Bank of Georgia Group Plc</t>
  </si>
  <si>
    <t>JSC BGEO Group</t>
  </si>
  <si>
    <t xml:space="preserve">ბანკის  ჰოლდინგური კომპანიის, Bank of Georgia Group PLC აქციონერების ჩამონათვალი, რომლებიც პირდაპირ და არაპირდაპირ ფლობენ აქციების 5%–ს ან მეტს წილების მითითებით </t>
  </si>
  <si>
    <t>Georgia Capital JSC</t>
  </si>
  <si>
    <t>ცხრილი 9 (Capital), N17</t>
  </si>
  <si>
    <t>სს ”საქართველოს ბანკი”</t>
  </si>
  <si>
    <t>არჩილ  გაჩეჩილაძე</t>
  </si>
  <si>
    <t>www.bog.ge</t>
  </si>
  <si>
    <t>ცხრილი 9 (Capital),13</t>
  </si>
  <si>
    <t>`</t>
  </si>
  <si>
    <t>ცხრილი 9 (Capital),10</t>
  </si>
  <si>
    <t>მათ შორის: 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</si>
  <si>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მათ შორის აქციების ფლობა და სხვა სახით 10%–ზე მეტი წილის ფლობა კომერციული დაწესებულებების სააქციო კაპიტალში</t>
  </si>
  <si>
    <t>ცხრილი 9 (Capital),29</t>
  </si>
  <si>
    <t>ცხრილი 9 (Capital),38</t>
  </si>
  <si>
    <t>ცხრილი 9 (Capital), 2</t>
  </si>
  <si>
    <t>ცხრილი 9 (Capital), 12</t>
  </si>
  <si>
    <t>ცხრილი 9 (Capital), 3</t>
  </si>
  <si>
    <t>ცხრილი 9 (Capital), 6</t>
  </si>
  <si>
    <t>ცხრილი 9 (Capital), 4,8</t>
  </si>
  <si>
    <t>le</t>
  </si>
  <si>
    <t>თვის შიგნით გაცემები</t>
  </si>
  <si>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</si>
  <si>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დარჩენილი ვადის მიხედვით (თვეებში)</t>
  </si>
  <si>
    <t>4Q-2022</t>
  </si>
  <si>
    <t>3Q-2022</t>
  </si>
  <si>
    <t>M&amp;G Investment Management Ltd</t>
  </si>
  <si>
    <t>მოთხოვნები გარანტიების მიხედვით</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</si>
</sst>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
    <numFmt numFmtId="195" formatCode="#,##0.00000000000000000_);[Red]\(#,##0.00000000000000000\)"/>
    <numFmt numFmtId="196" formatCode="#,##0.0000000"/>
    <numFmt numFmtId="197" formatCode="#,##0.0000"/>
  </numFmts>
  <fonts count="157">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charset val="204"/>
      <scheme val="minor"/>
    </font>
    <font>
      <i/>
      <sz val="11"/>
      <name val="Calibri"/>
      <family val="2"/>
      <scheme val="minor"/>
    </font>
    <font>
      <i/>
      <sz val="11"/>
      <name val="Calibri"/>
      <family val="2"/>
      <charset val="204"/>
      <scheme val="minor"/>
    </font>
    <font>
      <sz val="11"/>
      <name val="Calibri"/>
      <family val="2"/>
      <scheme val="minor"/>
    </font>
    <font>
      <u/>
      <sz val="8"/>
      <name val="Sylfaen"/>
      <family val="1"/>
    </font>
    <font>
      <b/>
      <i/>
      <sz val="10"/>
      <color theme="1"/>
      <name val="Calibri"/>
      <family val="2"/>
      <scheme val="minor"/>
    </font>
    <font>
      <sz val="11"/>
      <color theme="1"/>
      <name val="Times New Roman"/>
      <family val="1"/>
    </font>
    <font>
      <sz val="10"/>
      <name val="Times New Roman"/>
      <family val="1"/>
    </font>
    <font>
      <sz val="10"/>
      <color rgb="FF000000"/>
      <name val="Calibri"/>
      <family val="2"/>
      <scheme val="minor"/>
    </font>
    <font>
      <b/>
      <sz val="10"/>
      <color theme="1"/>
      <name val="Times New Roman"/>
      <family val="1"/>
    </font>
    <font>
      <sz val="11"/>
      <name val="Sylfaen"/>
      <family val="1"/>
    </font>
    <font>
      <i/>
      <sz val="10"/>
      <name val="Times New Roman"/>
      <family val="1"/>
    </font>
    <font>
      <b/>
      <sz val="10"/>
      <name val="Times New Roman"/>
      <family val="1"/>
    </font>
    <font>
      <b/>
      <sz val="8"/>
      <name val="Calibri"/>
      <family val="2"/>
      <scheme val="minor"/>
    </font>
    <font>
      <sz val="8"/>
      <name val="Calibri"/>
      <family val="2"/>
      <scheme val="minor"/>
    </font>
    <font>
      <b/>
      <sz val="8"/>
      <color indexed="8"/>
      <name val="Calibri"/>
      <family val="2"/>
      <scheme val="minor"/>
    </font>
    <font>
      <sz val="8"/>
      <color indexed="8"/>
      <name val="Calibri"/>
      <family val="2"/>
      <scheme val="minor"/>
    </font>
    <font>
      <b/>
      <sz val="8"/>
      <color rgb="FF000000"/>
      <name val="Calibri"/>
      <family val="2"/>
      <scheme val="minor"/>
    </font>
    <font>
      <sz val="9"/>
      <color indexed="81"/>
      <name val="Tahoma"/>
      <family val="2"/>
    </font>
    <font>
      <b/>
      <sz val="9"/>
      <color indexed="81"/>
      <name val="Tahoma"/>
      <family val="2"/>
    </font>
    <font>
      <b/>
      <sz val="9"/>
      <color theme="1"/>
      <name val="Calibri"/>
      <family val="2"/>
      <scheme val="minor"/>
    </font>
    <font>
      <b/>
      <sz val="9"/>
      <color theme="1"/>
      <name val="Segoe UI"/>
      <family val="2"/>
      <charset val="1"/>
    </font>
  </fonts>
  <fills count="8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FF"/>
        <bgColor rgb="FF000000"/>
      </patternFill>
    </fill>
    <fill>
      <patternFill patternType="solid">
        <fgColor theme="4" tint="0.79998168889431442"/>
        <bgColor theme="4" tint="0.79998168889431442"/>
      </patternFill>
    </fill>
  </fills>
  <borders count="14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thin">
        <color theme="4" tint="0.39997558519241921"/>
      </top>
      <bottom/>
      <diagonal/>
    </border>
    <border>
      <left style="medium">
        <color indexed="64"/>
      </left>
      <right style="thin">
        <color auto="1"/>
      </right>
      <top style="thin">
        <color auto="1"/>
      </top>
      <bottom/>
      <diagonal/>
    </border>
  </borders>
  <cellStyleXfs count="2141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2" fillId="0" borderId="0"/>
    <xf numFmtId="0" fontId="7" fillId="0" borderId="0"/>
    <xf numFmtId="0" fontId="1" fillId="0" borderId="0"/>
    <xf numFmtId="9" fontId="1" fillId="0" borderId="0" applyFont="0" applyFill="0" applyBorder="0" applyAlignment="0" applyProtection="0"/>
    <xf numFmtId="0" fontId="2" fillId="0" borderId="0"/>
    <xf numFmtId="0" fontId="2" fillId="0" borderId="0"/>
    <xf numFmtId="0" fontId="10" fillId="0" borderId="0" applyNumberFormat="0" applyFill="0" applyBorder="0" applyAlignment="0" applyProtection="0">
      <alignment vertical="top"/>
      <protection locked="0"/>
    </xf>
    <xf numFmtId="0" fontId="24" fillId="0" borderId="0"/>
    <xf numFmtId="168" fontId="25" fillId="37" borderId="0"/>
    <xf numFmtId="169" fontId="25" fillId="37" borderId="0"/>
    <xf numFmtId="168" fontId="25" fillId="37" borderId="0"/>
    <xf numFmtId="0" fontId="26" fillId="38" borderId="0" applyNumberFormat="0" applyBorder="0" applyAlignment="0" applyProtection="0"/>
    <xf numFmtId="0" fontId="4" fillId="13"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0" fontId="26"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4" fillId="17"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0" fontId="26"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4" fillId="21"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0" fontId="26"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4" fillId="25"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4" fillId="29"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0" fontId="26"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4" fillId="3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0" fontId="26"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4" fillId="1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4" fillId="18"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0" fontId="26"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4" fillId="22"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0" fontId="26"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0" fontId="26" fillId="46" borderId="0" applyNumberFormat="0" applyBorder="0" applyAlignment="0" applyProtection="0"/>
    <xf numFmtId="0" fontId="26" fillId="41" borderId="0" applyNumberFormat="0" applyBorder="0" applyAlignment="0" applyProtection="0"/>
    <xf numFmtId="0" fontId="4" fillId="26"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4" fillId="30"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7" borderId="0" applyNumberFormat="0" applyBorder="0" applyAlignment="0" applyProtection="0"/>
    <xf numFmtId="0" fontId="4" fillId="34"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0" fontId="26"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0" fontId="26" fillId="47"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0" fontId="28" fillId="48"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8" fillId="46"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0" fontId="28" fillId="51"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6" fillId="55" borderId="0" applyNumberFormat="0" applyBorder="0" applyAlignment="0" applyProtection="0"/>
    <xf numFmtId="0" fontId="26" fillId="56" borderId="0" applyNumberFormat="0" applyBorder="0" applyAlignment="0" applyProtection="0"/>
    <xf numFmtId="0" fontId="28" fillId="57"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6" fillId="55" borderId="0" applyNumberFormat="0" applyBorder="0" applyAlignment="0" applyProtection="0"/>
    <xf numFmtId="0" fontId="26" fillId="59" borderId="0" applyNumberFormat="0" applyBorder="0" applyAlignment="0" applyProtection="0"/>
    <xf numFmtId="0" fontId="28" fillId="56"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6" fillId="52" borderId="0" applyNumberFormat="0" applyBorder="0" applyAlignment="0" applyProtection="0"/>
    <xf numFmtId="0" fontId="26" fillId="56" borderId="0" applyNumberFormat="0" applyBorder="0" applyAlignment="0" applyProtection="0"/>
    <xf numFmtId="0" fontId="28" fillId="56"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6" fillId="61"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6" fillId="55" borderId="0" applyNumberFormat="0" applyBorder="0" applyAlignment="0" applyProtection="0"/>
    <xf numFmtId="0" fontId="26" fillId="62" borderId="0" applyNumberFormat="0" applyBorder="0" applyAlignment="0" applyProtection="0"/>
    <xf numFmtId="0" fontId="28" fillId="62"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0" fontId="31" fillId="39" borderId="0" applyNumberFormat="0" applyBorder="0" applyAlignment="0" applyProtection="0"/>
    <xf numFmtId="170" fontId="34"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1" fontId="36" fillId="0" borderId="0" applyFill="0" applyBorder="0" applyAlignment="0"/>
    <xf numFmtId="171" fontId="36"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2" fontId="36" fillId="0" borderId="0" applyFill="0" applyBorder="0" applyAlignment="0"/>
    <xf numFmtId="173" fontId="36" fillId="0" borderId="0" applyFill="0" applyBorder="0" applyAlignment="0"/>
    <xf numFmtId="174" fontId="36" fillId="0" borderId="0" applyFill="0" applyBorder="0" applyAlignment="0"/>
    <xf numFmtId="175"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37" fillId="64" borderId="30" applyNumberFormat="0" applyAlignment="0" applyProtection="0"/>
    <xf numFmtId="0" fontId="38" fillId="9" borderId="23"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168" fontId="39"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168" fontId="39"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169" fontId="39"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8" fillId="9" borderId="23"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8" fillId="9" borderId="23"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8" fillId="9" borderId="23"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8" fillId="9" borderId="23"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8" fillId="9" borderId="23"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8" fillId="9" borderId="23"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8" fillId="9" borderId="23"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0" fontId="37" fillId="64" borderId="30" applyNumberFormat="0" applyAlignment="0" applyProtection="0"/>
    <xf numFmtId="168" fontId="39" fillId="64" borderId="30" applyNumberFormat="0" applyAlignment="0" applyProtection="0"/>
    <xf numFmtId="169" fontId="39" fillId="64" borderId="30" applyNumberFormat="0" applyAlignment="0" applyProtection="0"/>
    <xf numFmtId="168" fontId="39" fillId="64" borderId="30" applyNumberFormat="0" applyAlignment="0" applyProtection="0"/>
    <xf numFmtId="168" fontId="39" fillId="64" borderId="30" applyNumberFormat="0" applyAlignment="0" applyProtection="0"/>
    <xf numFmtId="169" fontId="39" fillId="64" borderId="30" applyNumberFormat="0" applyAlignment="0" applyProtection="0"/>
    <xf numFmtId="168" fontId="39" fillId="64" borderId="30" applyNumberFormat="0" applyAlignment="0" applyProtection="0"/>
    <xf numFmtId="168" fontId="39" fillId="64" borderId="30" applyNumberFormat="0" applyAlignment="0" applyProtection="0"/>
    <xf numFmtId="169" fontId="39" fillId="64" borderId="30" applyNumberFormat="0" applyAlignment="0" applyProtection="0"/>
    <xf numFmtId="168" fontId="39" fillId="64" borderId="30" applyNumberFormat="0" applyAlignment="0" applyProtection="0"/>
    <xf numFmtId="168" fontId="39" fillId="64" borderId="30" applyNumberFormat="0" applyAlignment="0" applyProtection="0"/>
    <xf numFmtId="169" fontId="39" fillId="64" borderId="30" applyNumberFormat="0" applyAlignment="0" applyProtection="0"/>
    <xf numFmtId="168" fontId="39" fillId="64" borderId="30" applyNumberFormat="0" applyAlignment="0" applyProtection="0"/>
    <xf numFmtId="0" fontId="37" fillId="64" borderId="30" applyNumberFormat="0" applyAlignment="0" applyProtection="0"/>
    <xf numFmtId="0" fontId="40" fillId="65" borderId="31" applyNumberFormat="0" applyAlignment="0" applyProtection="0"/>
    <xf numFmtId="0" fontId="41" fillId="10" borderId="26" applyNumberFormat="0" applyAlignment="0" applyProtection="0"/>
    <xf numFmtId="168"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0" fontId="40"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0" fontId="41" fillId="10" borderId="26"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169" fontId="42" fillId="65" borderId="31" applyNumberFormat="0" applyAlignment="0" applyProtection="0"/>
    <xf numFmtId="168" fontId="42" fillId="65" borderId="31" applyNumberFormat="0" applyAlignment="0" applyProtection="0"/>
    <xf numFmtId="0" fontId="40" fillId="65" borderId="31"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6" fillId="0" borderId="0" applyFont="0" applyFill="0" applyBorder="0" applyAlignment="0" applyProtection="0"/>
    <xf numFmtId="44" fontId="7" fillId="0" borderId="0" applyFont="0" applyFill="0" applyBorder="0" applyAlignment="0" applyProtection="0"/>
    <xf numFmtId="43" fontId="26" fillId="0" borderId="0" applyFont="0" applyFill="0" applyBorder="0" applyAlignment="0" applyProtection="0"/>
    <xf numFmtId="44" fontId="7" fillId="0" borderId="0" applyFont="0" applyFill="0" applyBorder="0" applyAlignment="0" applyProtection="0"/>
    <xf numFmtId="178" fontId="26"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6" fillId="0" borderId="0" applyFont="0" applyFill="0" applyBorder="0" applyAlignment="0" applyProtection="0"/>
    <xf numFmtId="44" fontId="7" fillId="0" borderId="0" applyFont="0" applyFill="0" applyBorder="0" applyAlignment="0" applyProtection="0"/>
    <xf numFmtId="178" fontId="26"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4" fillId="0" borderId="0"/>
    <xf numFmtId="172" fontId="36"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4" fillId="0" borderId="0"/>
    <xf numFmtId="14" fontId="45" fillId="0" borderId="0" applyFill="0" applyBorder="0" applyAlignment="0"/>
    <xf numFmtId="38" fontId="25" fillId="0" borderId="32">
      <alignment vertical="center"/>
    </xf>
    <xf numFmtId="38" fontId="25" fillId="0" borderId="32">
      <alignment vertical="center"/>
    </xf>
    <xf numFmtId="38" fontId="25" fillId="0" borderId="32">
      <alignment vertical="center"/>
    </xf>
    <xf numFmtId="38" fontId="25" fillId="0" borderId="32">
      <alignment vertical="center"/>
    </xf>
    <xf numFmtId="38" fontId="25" fillId="0" borderId="32">
      <alignment vertical="center"/>
    </xf>
    <xf numFmtId="38" fontId="25" fillId="0" borderId="32">
      <alignment vertical="center"/>
    </xf>
    <xf numFmtId="38" fontId="25" fillId="0" borderId="32">
      <alignment vertical="center"/>
    </xf>
    <xf numFmtId="38" fontId="25" fillId="0" borderId="0" applyFont="0" applyFill="0" applyBorder="0" applyAlignment="0" applyProtection="0"/>
    <xf numFmtId="180" fontId="2" fillId="0" borderId="0" applyFont="0" applyFill="0" applyBorder="0" applyAlignment="0" applyProtection="0"/>
    <xf numFmtId="0" fontId="46" fillId="66" borderId="0" applyNumberFormat="0" applyBorder="0" applyAlignment="0" applyProtection="0"/>
    <xf numFmtId="0" fontId="46" fillId="67" borderId="0" applyNumberFormat="0" applyBorder="0" applyAlignment="0" applyProtection="0"/>
    <xf numFmtId="0" fontId="46" fillId="68" borderId="0" applyNumberFormat="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0" fontId="47" fillId="0" borderId="0" applyNumberFormat="0" applyFill="0" applyBorder="0" applyAlignment="0" applyProtection="0"/>
    <xf numFmtId="168" fontId="2" fillId="0" borderId="0"/>
    <xf numFmtId="0" fontId="2" fillId="0" borderId="0"/>
    <xf numFmtId="168" fontId="2" fillId="0" borderId="0"/>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50" fillId="40"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0" fontId="50" fillId="40"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0" fontId="50" fillId="40" borderId="0" applyNumberFormat="0" applyBorder="0" applyAlignment="0" applyProtection="0"/>
    <xf numFmtId="0" fontId="2" fillId="69" borderId="3" applyNumberFormat="0" applyFont="0" applyBorder="0" applyProtection="0">
      <alignment horizontal="center" vertical="center"/>
    </xf>
    <xf numFmtId="0" fontId="53" fillId="0" borderId="22" applyNumberFormat="0" applyAlignment="0" applyProtection="0">
      <alignment horizontal="left" vertical="center"/>
    </xf>
    <xf numFmtId="0" fontId="53" fillId="0" borderId="22" applyNumberFormat="0" applyAlignment="0" applyProtection="0">
      <alignment horizontal="left" vertical="center"/>
    </xf>
    <xf numFmtId="168" fontId="53" fillId="0" borderId="22" applyNumberFormat="0" applyAlignment="0" applyProtection="0">
      <alignment horizontal="left" vertical="center"/>
    </xf>
    <xf numFmtId="0" fontId="53" fillId="0" borderId="6">
      <alignment horizontal="left" vertical="center"/>
    </xf>
    <xf numFmtId="0" fontId="53" fillId="0" borderId="6">
      <alignment horizontal="left" vertical="center"/>
    </xf>
    <xf numFmtId="168" fontId="53" fillId="0" borderId="6">
      <alignment horizontal="left" vertical="center"/>
    </xf>
    <xf numFmtId="0" fontId="54" fillId="0" borderId="33" applyNumberFormat="0" applyFill="0" applyAlignment="0" applyProtection="0"/>
    <xf numFmtId="169" fontId="54" fillId="0" borderId="33" applyNumberFormat="0" applyFill="0" applyAlignment="0" applyProtection="0"/>
    <xf numFmtId="0" fontId="54" fillId="0" borderId="33" applyNumberFormat="0" applyFill="0" applyAlignment="0" applyProtection="0"/>
    <xf numFmtId="168" fontId="54" fillId="0" borderId="33" applyNumberFormat="0" applyFill="0" applyAlignment="0" applyProtection="0"/>
    <xf numFmtId="168" fontId="54" fillId="0" borderId="33" applyNumberFormat="0" applyFill="0" applyAlignment="0" applyProtection="0"/>
    <xf numFmtId="168" fontId="54" fillId="0" borderId="33" applyNumberFormat="0" applyFill="0" applyAlignment="0" applyProtection="0"/>
    <xf numFmtId="169" fontId="54" fillId="0" borderId="33" applyNumberFormat="0" applyFill="0" applyAlignment="0" applyProtection="0"/>
    <xf numFmtId="168" fontId="54" fillId="0" borderId="33" applyNumberFormat="0" applyFill="0" applyAlignment="0" applyProtection="0"/>
    <xf numFmtId="168" fontId="54" fillId="0" borderId="33" applyNumberFormat="0" applyFill="0" applyAlignment="0" applyProtection="0"/>
    <xf numFmtId="169" fontId="54" fillId="0" borderId="33" applyNumberFormat="0" applyFill="0" applyAlignment="0" applyProtection="0"/>
    <xf numFmtId="168" fontId="54" fillId="0" borderId="33" applyNumberFormat="0" applyFill="0" applyAlignment="0" applyProtection="0"/>
    <xf numFmtId="168" fontId="54" fillId="0" borderId="33" applyNumberFormat="0" applyFill="0" applyAlignment="0" applyProtection="0"/>
    <xf numFmtId="169" fontId="54" fillId="0" borderId="33" applyNumberFormat="0" applyFill="0" applyAlignment="0" applyProtection="0"/>
    <xf numFmtId="168" fontId="54" fillId="0" borderId="33" applyNumberFormat="0" applyFill="0" applyAlignment="0" applyProtection="0"/>
    <xf numFmtId="168" fontId="54" fillId="0" borderId="33" applyNumberFormat="0" applyFill="0" applyAlignment="0" applyProtection="0"/>
    <xf numFmtId="169" fontId="54" fillId="0" borderId="33" applyNumberFormat="0" applyFill="0" applyAlignment="0" applyProtection="0"/>
    <xf numFmtId="168" fontId="54" fillId="0" borderId="33" applyNumberFormat="0" applyFill="0" applyAlignment="0" applyProtection="0"/>
    <xf numFmtId="0" fontId="54" fillId="0" borderId="33" applyNumberFormat="0" applyFill="0" applyAlignment="0" applyProtection="0"/>
    <xf numFmtId="0" fontId="55" fillId="0" borderId="34" applyNumberFormat="0" applyFill="0" applyAlignment="0" applyProtection="0"/>
    <xf numFmtId="169" fontId="55" fillId="0" borderId="34" applyNumberFormat="0" applyFill="0" applyAlignment="0" applyProtection="0"/>
    <xf numFmtId="0" fontId="55" fillId="0" borderId="34" applyNumberFormat="0" applyFill="0" applyAlignment="0" applyProtection="0"/>
    <xf numFmtId="168" fontId="55" fillId="0" borderId="34" applyNumberFormat="0" applyFill="0" applyAlignment="0" applyProtection="0"/>
    <xf numFmtId="168" fontId="55" fillId="0" borderId="34" applyNumberFormat="0" applyFill="0" applyAlignment="0" applyProtection="0"/>
    <xf numFmtId="168" fontId="55" fillId="0" borderId="34" applyNumberFormat="0" applyFill="0" applyAlignment="0" applyProtection="0"/>
    <xf numFmtId="169" fontId="55" fillId="0" borderId="34" applyNumberFormat="0" applyFill="0" applyAlignment="0" applyProtection="0"/>
    <xf numFmtId="168" fontId="55" fillId="0" borderId="34" applyNumberFormat="0" applyFill="0" applyAlignment="0" applyProtection="0"/>
    <xf numFmtId="168" fontId="55" fillId="0" borderId="34" applyNumberFormat="0" applyFill="0" applyAlignment="0" applyProtection="0"/>
    <xf numFmtId="169" fontId="55" fillId="0" borderId="34" applyNumberFormat="0" applyFill="0" applyAlignment="0" applyProtection="0"/>
    <xf numFmtId="168" fontId="55" fillId="0" borderId="34" applyNumberFormat="0" applyFill="0" applyAlignment="0" applyProtection="0"/>
    <xf numFmtId="168" fontId="55" fillId="0" borderId="34" applyNumberFormat="0" applyFill="0" applyAlignment="0" applyProtection="0"/>
    <xf numFmtId="169" fontId="55" fillId="0" borderId="34" applyNumberFormat="0" applyFill="0" applyAlignment="0" applyProtection="0"/>
    <xf numFmtId="168" fontId="55" fillId="0" borderId="34" applyNumberFormat="0" applyFill="0" applyAlignment="0" applyProtection="0"/>
    <xf numFmtId="168" fontId="55" fillId="0" borderId="34" applyNumberFormat="0" applyFill="0" applyAlignment="0" applyProtection="0"/>
    <xf numFmtId="169" fontId="55" fillId="0" borderId="34" applyNumberFormat="0" applyFill="0" applyAlignment="0" applyProtection="0"/>
    <xf numFmtId="168" fontId="55" fillId="0" borderId="34" applyNumberFormat="0" applyFill="0" applyAlignment="0" applyProtection="0"/>
    <xf numFmtId="0" fontId="55" fillId="0" borderId="34" applyNumberFormat="0" applyFill="0" applyAlignment="0" applyProtection="0"/>
    <xf numFmtId="0" fontId="56" fillId="0" borderId="35" applyNumberFormat="0" applyFill="0" applyAlignment="0" applyProtection="0"/>
    <xf numFmtId="169" fontId="56" fillId="0" borderId="35" applyNumberFormat="0" applyFill="0" applyAlignment="0" applyProtection="0"/>
    <xf numFmtId="0" fontId="56" fillId="0" borderId="35" applyNumberFormat="0" applyFill="0" applyAlignment="0" applyProtection="0"/>
    <xf numFmtId="168" fontId="56" fillId="0" borderId="35" applyNumberFormat="0" applyFill="0" applyAlignment="0" applyProtection="0"/>
    <xf numFmtId="0" fontId="56" fillId="0" borderId="35" applyNumberFormat="0" applyFill="0" applyAlignment="0" applyProtection="0"/>
    <xf numFmtId="168" fontId="56" fillId="0" borderId="35" applyNumberFormat="0" applyFill="0" applyAlignment="0" applyProtection="0"/>
    <xf numFmtId="0" fontId="56" fillId="0" borderId="35" applyNumberFormat="0" applyFill="0" applyAlignment="0" applyProtection="0"/>
    <xf numFmtId="0" fontId="56" fillId="0" borderId="35" applyNumberFormat="0" applyFill="0" applyAlignment="0" applyProtection="0"/>
    <xf numFmtId="168" fontId="56" fillId="0" borderId="35" applyNumberFormat="0" applyFill="0" applyAlignment="0" applyProtection="0"/>
    <xf numFmtId="169" fontId="56" fillId="0" borderId="35" applyNumberFormat="0" applyFill="0" applyAlignment="0" applyProtection="0"/>
    <xf numFmtId="168" fontId="56" fillId="0" borderId="35" applyNumberFormat="0" applyFill="0" applyAlignment="0" applyProtection="0"/>
    <xf numFmtId="168" fontId="56" fillId="0" borderId="35" applyNumberFormat="0" applyFill="0" applyAlignment="0" applyProtection="0"/>
    <xf numFmtId="169" fontId="56" fillId="0" borderId="35" applyNumberFormat="0" applyFill="0" applyAlignment="0" applyProtection="0"/>
    <xf numFmtId="168" fontId="56" fillId="0" borderId="35" applyNumberFormat="0" applyFill="0" applyAlignment="0" applyProtection="0"/>
    <xf numFmtId="168" fontId="56" fillId="0" borderId="35" applyNumberFormat="0" applyFill="0" applyAlignment="0" applyProtection="0"/>
    <xf numFmtId="169" fontId="56" fillId="0" borderId="35" applyNumberFormat="0" applyFill="0" applyAlignment="0" applyProtection="0"/>
    <xf numFmtId="168" fontId="56" fillId="0" borderId="35" applyNumberFormat="0" applyFill="0" applyAlignment="0" applyProtection="0"/>
    <xf numFmtId="168" fontId="56" fillId="0" borderId="35" applyNumberFormat="0" applyFill="0" applyAlignment="0" applyProtection="0"/>
    <xf numFmtId="169" fontId="56" fillId="0" borderId="35" applyNumberFormat="0" applyFill="0" applyAlignment="0" applyProtection="0"/>
    <xf numFmtId="168" fontId="56" fillId="0" borderId="35" applyNumberFormat="0" applyFill="0" applyAlignment="0" applyProtection="0"/>
    <xf numFmtId="0" fontId="56" fillId="0" borderId="35" applyNumberFormat="0" applyFill="0" applyAlignment="0" applyProtection="0"/>
    <xf numFmtId="0" fontId="56" fillId="0" borderId="0" applyNumberFormat="0" applyFill="0" applyBorder="0" applyAlignment="0" applyProtection="0"/>
    <xf numFmtId="169" fontId="56" fillId="0" borderId="0" applyNumberFormat="0" applyFill="0" applyBorder="0" applyAlignment="0" applyProtection="0"/>
    <xf numFmtId="0"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0" fontId="56" fillId="0" borderId="0" applyNumberFormat="0" applyFill="0" applyBorder="0" applyAlignment="0" applyProtection="0"/>
    <xf numFmtId="37" fontId="57" fillId="0" borderId="0"/>
    <xf numFmtId="168" fontId="58" fillId="0" borderId="0"/>
    <xf numFmtId="0" fontId="58" fillId="0" borderId="0"/>
    <xf numFmtId="168" fontId="58" fillId="0" borderId="0"/>
    <xf numFmtId="168" fontId="53" fillId="0" borderId="0"/>
    <xf numFmtId="0" fontId="53" fillId="0" borderId="0"/>
    <xf numFmtId="168" fontId="53" fillId="0" borderId="0"/>
    <xf numFmtId="168" fontId="59" fillId="0" borderId="0"/>
    <xf numFmtId="0" fontId="59" fillId="0" borderId="0"/>
    <xf numFmtId="168" fontId="59"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0" fontId="61" fillId="70" borderId="5"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5"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3" fillId="0" borderId="0" applyNumberFormat="0" applyFill="0" applyBorder="0" applyAlignment="0" applyProtection="0">
      <alignment vertical="top"/>
      <protection locked="0"/>
    </xf>
    <xf numFmtId="169" fontId="63" fillId="0" borderId="0" applyNumberFormat="0" applyFill="0" applyBorder="0" applyAlignment="0" applyProtection="0">
      <alignment vertical="top"/>
      <protection locked="0"/>
    </xf>
    <xf numFmtId="168" fontId="63" fillId="0" borderId="0" applyNumberFormat="0" applyFill="0" applyBorder="0" applyAlignment="0" applyProtection="0">
      <alignment vertical="top"/>
      <protection locked="0"/>
    </xf>
    <xf numFmtId="168" fontId="64" fillId="0" borderId="0"/>
    <xf numFmtId="0" fontId="65" fillId="43" borderId="30" applyNumberFormat="0" applyAlignment="0" applyProtection="0"/>
    <xf numFmtId="0" fontId="66" fillId="8" borderId="23"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168" fontId="67"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168" fontId="67"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169" fontId="67"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6" fillId="8" borderId="23"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6" fillId="8" borderId="23"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6" fillId="8" borderId="23"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6" fillId="8" borderId="23"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6" fillId="8" borderId="23"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6" fillId="8" borderId="23"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6" fillId="8" borderId="23"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0" fontId="65" fillId="43" borderId="30" applyNumberFormat="0" applyAlignment="0" applyProtection="0"/>
    <xf numFmtId="168" fontId="67" fillId="43" borderId="30" applyNumberFormat="0" applyAlignment="0" applyProtection="0"/>
    <xf numFmtId="169" fontId="67" fillId="43" borderId="30" applyNumberFormat="0" applyAlignment="0" applyProtection="0"/>
    <xf numFmtId="168" fontId="67" fillId="43" borderId="30" applyNumberFormat="0" applyAlignment="0" applyProtection="0"/>
    <xf numFmtId="168" fontId="67" fillId="43" borderId="30" applyNumberFormat="0" applyAlignment="0" applyProtection="0"/>
    <xf numFmtId="169" fontId="67" fillId="43" borderId="30" applyNumberFormat="0" applyAlignment="0" applyProtection="0"/>
    <xf numFmtId="168" fontId="67" fillId="43" borderId="30" applyNumberFormat="0" applyAlignment="0" applyProtection="0"/>
    <xf numFmtId="168" fontId="67" fillId="43" borderId="30" applyNumberFormat="0" applyAlignment="0" applyProtection="0"/>
    <xf numFmtId="169" fontId="67" fillId="43" borderId="30" applyNumberFormat="0" applyAlignment="0" applyProtection="0"/>
    <xf numFmtId="168" fontId="67" fillId="43" borderId="30" applyNumberFormat="0" applyAlignment="0" applyProtection="0"/>
    <xf numFmtId="168" fontId="67" fillId="43" borderId="30" applyNumberFormat="0" applyAlignment="0" applyProtection="0"/>
    <xf numFmtId="169" fontId="67" fillId="43" borderId="30" applyNumberFormat="0" applyAlignment="0" applyProtection="0"/>
    <xf numFmtId="168" fontId="67" fillId="43" borderId="30" applyNumberFormat="0" applyAlignment="0" applyProtection="0"/>
    <xf numFmtId="0" fontId="65" fillId="43" borderId="30" applyNumberFormat="0" applyAlignment="0" applyProtection="0"/>
    <xf numFmtId="3" fontId="2" fillId="72" borderId="3" applyFont="0">
      <alignment horizontal="right" vertical="center"/>
      <protection locked="0"/>
    </xf>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68" fillId="0" borderId="36" applyNumberFormat="0" applyFill="0" applyAlignment="0" applyProtection="0"/>
    <xf numFmtId="0" fontId="69" fillId="0" borderId="25" applyNumberFormat="0" applyFill="0" applyAlignment="0" applyProtection="0"/>
    <xf numFmtId="168" fontId="70" fillId="0" borderId="36" applyNumberFormat="0" applyFill="0" applyAlignment="0" applyProtection="0"/>
    <xf numFmtId="168" fontId="70" fillId="0" borderId="36" applyNumberFormat="0" applyFill="0" applyAlignment="0" applyProtection="0"/>
    <xf numFmtId="169" fontId="70" fillId="0" borderId="36" applyNumberFormat="0" applyFill="0" applyAlignment="0" applyProtection="0"/>
    <xf numFmtId="0" fontId="68" fillId="0" borderId="36"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168" fontId="70" fillId="0" borderId="36" applyNumberFormat="0" applyFill="0" applyAlignment="0" applyProtection="0"/>
    <xf numFmtId="169" fontId="70" fillId="0" borderId="36" applyNumberFormat="0" applyFill="0" applyAlignment="0" applyProtection="0"/>
    <xf numFmtId="168" fontId="70" fillId="0" borderId="36" applyNumberFormat="0" applyFill="0" applyAlignment="0" applyProtection="0"/>
    <xf numFmtId="168" fontId="70" fillId="0" borderId="36" applyNumberFormat="0" applyFill="0" applyAlignment="0" applyProtection="0"/>
    <xf numFmtId="169" fontId="70" fillId="0" borderId="36" applyNumberFormat="0" applyFill="0" applyAlignment="0" applyProtection="0"/>
    <xf numFmtId="168" fontId="70" fillId="0" borderId="36" applyNumberFormat="0" applyFill="0" applyAlignment="0" applyProtection="0"/>
    <xf numFmtId="168" fontId="70" fillId="0" borderId="36" applyNumberFormat="0" applyFill="0" applyAlignment="0" applyProtection="0"/>
    <xf numFmtId="169" fontId="70" fillId="0" borderId="36" applyNumberFormat="0" applyFill="0" applyAlignment="0" applyProtection="0"/>
    <xf numFmtId="168" fontId="70" fillId="0" borderId="36" applyNumberFormat="0" applyFill="0" applyAlignment="0" applyProtection="0"/>
    <xf numFmtId="168" fontId="70" fillId="0" borderId="36" applyNumberFormat="0" applyFill="0" applyAlignment="0" applyProtection="0"/>
    <xf numFmtId="169" fontId="70" fillId="0" borderId="36" applyNumberFormat="0" applyFill="0" applyAlignment="0" applyProtection="0"/>
    <xf numFmtId="168" fontId="70" fillId="0" borderId="36" applyNumberFormat="0" applyFill="0" applyAlignment="0" applyProtection="0"/>
    <xf numFmtId="0" fontId="68" fillId="0" borderId="36"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1" fillId="73"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0" fontId="71" fillId="7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0" fontId="71" fillId="73" borderId="0" applyNumberFormat="0" applyBorder="0" applyAlignment="0" applyProtection="0"/>
    <xf numFmtId="1" fontId="74" fillId="0" borderId="0" applyProtection="0"/>
    <xf numFmtId="168" fontId="25" fillId="0" borderId="37"/>
    <xf numFmtId="169" fontId="25" fillId="0" borderId="37"/>
    <xf numFmtId="168" fontId="25" fillId="0" borderId="37"/>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5" fillId="0" borderId="0"/>
    <xf numFmtId="181" fontId="2"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0" fontId="76" fillId="0" borderId="0"/>
    <xf numFmtId="0" fontId="75" fillId="0" borderId="0"/>
    <xf numFmtId="179" fontId="27" fillId="0" borderId="0"/>
    <xf numFmtId="179" fontId="2" fillId="0" borderId="0"/>
    <xf numFmtId="179" fontId="2" fillId="0" borderId="0"/>
    <xf numFmtId="0" fontId="2" fillId="0" borderId="0"/>
    <xf numFmtId="0" fontId="2"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7"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7" fillId="0" borderId="0"/>
    <xf numFmtId="168" fontId="27"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68" fontId="27" fillId="0" borderId="0"/>
    <xf numFmtId="0" fontId="27" fillId="0" borderId="0"/>
    <xf numFmtId="0" fontId="27"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179" fontId="27" fillId="0" borderId="0"/>
    <xf numFmtId="179" fontId="2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27" fillId="0" borderId="0"/>
    <xf numFmtId="179" fontId="27" fillId="0" borderId="0"/>
    <xf numFmtId="179" fontId="27" fillId="0" borderId="0"/>
    <xf numFmtId="179"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7"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4" fillId="0" borderId="0"/>
    <xf numFmtId="0" fontId="27" fillId="0" borderId="0"/>
    <xf numFmtId="0" fontId="2" fillId="0" borderId="0"/>
    <xf numFmtId="0" fontId="26" fillId="0" borderId="0"/>
    <xf numFmtId="168" fontId="24" fillId="0" borderId="0"/>
    <xf numFmtId="0" fontId="2"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179" fontId="2" fillId="0" borderId="0"/>
    <xf numFmtId="0" fontId="27" fillId="0" borderId="0"/>
    <xf numFmtId="0" fontId="27" fillId="0" borderId="0"/>
    <xf numFmtId="168" fontId="24" fillId="0" borderId="0"/>
    <xf numFmtId="0" fontId="64" fillId="0" borderId="0"/>
    <xf numFmtId="0" fontId="2" fillId="0" borderId="0"/>
    <xf numFmtId="168" fontId="24" fillId="0" borderId="0"/>
    <xf numFmtId="0" fontId="1"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179" fontId="2" fillId="0" borderId="0"/>
    <xf numFmtId="0" fontId="2" fillId="0" borderId="0"/>
    <xf numFmtId="179" fontId="2" fillId="0" borderId="0"/>
    <xf numFmtId="0" fontId="2" fillId="0" borderId="0"/>
    <xf numFmtId="179"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5"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79" fontId="2"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179" fontId="25" fillId="0" borderId="0"/>
    <xf numFmtId="0" fontId="7"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179" fontId="7" fillId="0" borderId="0"/>
    <xf numFmtId="0" fontId="25" fillId="0" borderId="0"/>
    <xf numFmtId="179" fontId="25" fillId="0" borderId="0"/>
    <xf numFmtId="0" fontId="25" fillId="0" borderId="0"/>
    <xf numFmtId="0" fontId="2" fillId="0" borderId="0"/>
    <xf numFmtId="0" fontId="2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5" fillId="0" borderId="0"/>
    <xf numFmtId="179" fontId="7"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5" fillId="0" borderId="0"/>
    <xf numFmtId="0" fontId="25" fillId="0" borderId="0"/>
    <xf numFmtId="168" fontId="25" fillId="0" borderId="0"/>
    <xf numFmtId="0" fontId="75"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5" fillId="0" borderId="0"/>
    <xf numFmtId="0" fontId="7" fillId="0" borderId="0"/>
    <xf numFmtId="0" fontId="75" fillId="0" borderId="0"/>
    <xf numFmtId="168" fontId="7" fillId="0" borderId="0"/>
    <xf numFmtId="0" fontId="75" fillId="0" borderId="0"/>
    <xf numFmtId="168" fontId="7"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179" fontId="7"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179" fontId="2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179" fontId="25"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179" fontId="25" fillId="0" borderId="0"/>
    <xf numFmtId="179" fontId="25"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3" fillId="0" borderId="0"/>
    <xf numFmtId="0" fontId="2" fillId="0" borderId="0"/>
    <xf numFmtId="0" fontId="75" fillId="0" borderId="0"/>
    <xf numFmtId="168" fontId="43"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2"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2"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69"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168" fontId="2"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9" fillId="0" borderId="0"/>
    <xf numFmtId="0" fontId="26" fillId="74" borderId="38"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168" fontId="2" fillId="0" borderId="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 fillId="74" borderId="38" applyNumberFormat="0" applyFont="0" applyAlignment="0" applyProtection="0"/>
    <xf numFmtId="0" fontId="26" fillId="74" borderId="38" applyNumberFormat="0" applyFont="0" applyAlignment="0" applyProtection="0"/>
    <xf numFmtId="168" fontId="2" fillId="0" borderId="0"/>
    <xf numFmtId="0" fontId="26" fillId="74" borderId="38" applyNumberFormat="0" applyFont="0" applyAlignment="0" applyProtection="0"/>
    <xf numFmtId="0" fontId="26" fillId="74" borderId="38" applyNumberFormat="0" applyFont="0" applyAlignment="0" applyProtection="0"/>
    <xf numFmtId="0" fontId="2" fillId="74" borderId="38" applyNumberFormat="0" applyFont="0" applyAlignment="0" applyProtection="0"/>
    <xf numFmtId="0" fontId="2" fillId="74" borderId="38" applyNumberFormat="0" applyFont="0" applyAlignment="0" applyProtection="0"/>
    <xf numFmtId="0" fontId="26" fillId="74" borderId="38" applyNumberFormat="0" applyFont="0" applyAlignment="0" applyProtection="0"/>
    <xf numFmtId="0" fontId="2"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169" fontId="2" fillId="0" borderId="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 fillId="74" borderId="38" applyNumberFormat="0" applyFont="0" applyAlignment="0" applyProtection="0"/>
    <xf numFmtId="0" fontId="2" fillId="0" borderId="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7" fillId="11" borderId="27"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6" fillId="74" borderId="38" applyNumberFormat="0" applyFont="0" applyAlignment="0" applyProtection="0"/>
    <xf numFmtId="0" fontId="2" fillId="74" borderId="38" applyNumberFormat="0" applyFont="0" applyAlignment="0" applyProtection="0"/>
    <xf numFmtId="0" fontId="2" fillId="74" borderId="38" applyNumberFormat="0" applyFont="0" applyAlignment="0" applyProtection="0"/>
    <xf numFmtId="169" fontId="2" fillId="0" borderId="0"/>
    <xf numFmtId="0" fontId="2" fillId="74" borderId="38" applyNumberFormat="0" applyFont="0" applyAlignment="0" applyProtection="0"/>
    <xf numFmtId="168" fontId="2" fillId="0" borderId="0"/>
    <xf numFmtId="0" fontId="2" fillId="74" borderId="38" applyNumberFormat="0" applyFont="0" applyAlignment="0" applyProtection="0"/>
    <xf numFmtId="168" fontId="2" fillId="0" borderId="0"/>
    <xf numFmtId="0" fontId="2" fillId="74" borderId="38" applyNumberFormat="0" applyFont="0" applyAlignment="0" applyProtection="0"/>
    <xf numFmtId="0" fontId="2" fillId="74" borderId="38" applyNumberFormat="0" applyFont="0" applyAlignment="0" applyProtection="0"/>
    <xf numFmtId="169" fontId="2" fillId="0" borderId="0"/>
    <xf numFmtId="168" fontId="2" fillId="0" borderId="0"/>
    <xf numFmtId="0" fontId="2" fillId="74" borderId="38" applyNumberFormat="0" applyFont="0" applyAlignment="0" applyProtection="0"/>
    <xf numFmtId="168" fontId="2" fillId="0" borderId="0"/>
    <xf numFmtId="0" fontId="2" fillId="74" borderId="38" applyNumberFormat="0" applyFont="0" applyAlignment="0" applyProtection="0"/>
    <xf numFmtId="0" fontId="2" fillId="74" borderId="38" applyNumberFormat="0" applyFont="0" applyAlignment="0" applyProtection="0"/>
    <xf numFmtId="169" fontId="2" fillId="0" borderId="0"/>
    <xf numFmtId="0" fontId="2" fillId="74" borderId="38" applyNumberFormat="0" applyFont="0" applyAlignment="0" applyProtection="0"/>
    <xf numFmtId="168" fontId="2" fillId="0" borderId="0"/>
    <xf numFmtId="0" fontId="2" fillId="74" borderId="38" applyNumberFormat="0" applyFont="0" applyAlignment="0" applyProtection="0"/>
    <xf numFmtId="168" fontId="2" fillId="0" borderId="0"/>
    <xf numFmtId="0" fontId="2" fillId="74" borderId="38" applyNumberFormat="0" applyFont="0" applyAlignment="0" applyProtection="0"/>
    <xf numFmtId="0" fontId="2" fillId="74" borderId="38" applyNumberFormat="0" applyFont="0" applyAlignment="0" applyProtection="0"/>
    <xf numFmtId="169" fontId="2" fillId="0" borderId="0"/>
    <xf numFmtId="168" fontId="2" fillId="0" borderId="0"/>
    <xf numFmtId="168" fontId="2" fillId="0" borderId="0"/>
    <xf numFmtId="0" fontId="2" fillId="74" borderId="38" applyNumberFormat="0" applyFont="0" applyAlignment="0" applyProtection="0"/>
    <xf numFmtId="0" fontId="2" fillId="74" borderId="38" applyNumberFormat="0" applyFont="0" applyAlignment="0" applyProtection="0"/>
    <xf numFmtId="0" fontId="2" fillId="74" borderId="38" applyNumberFormat="0" applyFont="0" applyAlignment="0" applyProtection="0"/>
    <xf numFmtId="0" fontId="2" fillId="74" borderId="38"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0"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1" fillId="0" borderId="0"/>
    <xf numFmtId="0" fontId="81" fillId="0" borderId="0"/>
    <xf numFmtId="168" fontId="81" fillId="0" borderId="0"/>
    <xf numFmtId="0" fontId="82" fillId="64" borderId="39" applyNumberFormat="0" applyAlignment="0" applyProtection="0"/>
    <xf numFmtId="0" fontId="83" fillId="9" borderId="24"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168" fontId="84"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168" fontId="84"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169" fontId="84"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3" fillId="9" borderId="24"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3" fillId="9" borderId="24"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3" fillId="9" borderId="24"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3" fillId="9" borderId="24"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3" fillId="9" borderId="24"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3" fillId="9" borderId="24"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3" fillId="9" borderId="24"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0" fontId="82" fillId="64" borderId="39" applyNumberFormat="0" applyAlignment="0" applyProtection="0"/>
    <xf numFmtId="168" fontId="84" fillId="64" borderId="39" applyNumberFormat="0" applyAlignment="0" applyProtection="0"/>
    <xf numFmtId="169" fontId="84" fillId="64" borderId="39" applyNumberFormat="0" applyAlignment="0" applyProtection="0"/>
    <xf numFmtId="168" fontId="84" fillId="64" borderId="39" applyNumberFormat="0" applyAlignment="0" applyProtection="0"/>
    <xf numFmtId="168" fontId="84" fillId="64" borderId="39" applyNumberFormat="0" applyAlignment="0" applyProtection="0"/>
    <xf numFmtId="169" fontId="84" fillId="64" borderId="39" applyNumberFormat="0" applyAlignment="0" applyProtection="0"/>
    <xf numFmtId="168" fontId="84" fillId="64" borderId="39" applyNumberFormat="0" applyAlignment="0" applyProtection="0"/>
    <xf numFmtId="168" fontId="84" fillId="64" borderId="39" applyNumberFormat="0" applyAlignment="0" applyProtection="0"/>
    <xf numFmtId="169" fontId="84" fillId="64" borderId="39" applyNumberFormat="0" applyAlignment="0" applyProtection="0"/>
    <xf numFmtId="168" fontId="84" fillId="64" borderId="39" applyNumberFormat="0" applyAlignment="0" applyProtection="0"/>
    <xf numFmtId="168" fontId="84" fillId="64" borderId="39" applyNumberFormat="0" applyAlignment="0" applyProtection="0"/>
    <xf numFmtId="169" fontId="84" fillId="64" borderId="39" applyNumberFormat="0" applyAlignment="0" applyProtection="0"/>
    <xf numFmtId="168" fontId="84" fillId="64" borderId="39" applyNumberFormat="0" applyAlignment="0" applyProtection="0"/>
    <xf numFmtId="0" fontId="82" fillId="64" borderId="39" applyNumberFormat="0" applyAlignment="0" applyProtection="0"/>
    <xf numFmtId="0" fontId="24" fillId="0" borderId="0"/>
    <xf numFmtId="175" fontId="36" fillId="0" borderId="0" applyFont="0" applyFill="0" applyBorder="0" applyAlignment="0" applyProtection="0"/>
    <xf numFmtId="186" fontId="3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85"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xf numFmtId="0" fontId="2" fillId="0" borderId="0"/>
    <xf numFmtId="168" fontId="2" fillId="0" borderId="0"/>
    <xf numFmtId="187" fontId="64" fillId="0" borderId="3" applyNumberFormat="0">
      <alignment horizontal="center" vertical="top" wrapText="1"/>
    </xf>
    <xf numFmtId="0" fontId="86"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7" fillId="0" borderId="0"/>
    <xf numFmtId="0" fontId="24" fillId="0" borderId="0"/>
    <xf numFmtId="0" fontId="88" fillId="0" borderId="0"/>
    <xf numFmtId="0" fontId="88" fillId="0" borderId="0"/>
    <xf numFmtId="168" fontId="24" fillId="0" borderId="0"/>
    <xf numFmtId="168" fontId="24" fillId="0" borderId="0"/>
    <xf numFmtId="0" fontId="89" fillId="0" borderId="0"/>
    <xf numFmtId="0" fontId="90" fillId="0" borderId="0"/>
    <xf numFmtId="0" fontId="89" fillId="0" borderId="0"/>
    <xf numFmtId="0" fontId="89" fillId="0" borderId="0"/>
    <xf numFmtId="0" fontId="89" fillId="0" borderId="0"/>
    <xf numFmtId="0" fontId="89" fillId="0" borderId="0"/>
    <xf numFmtId="0" fontId="89" fillId="0" borderId="0"/>
    <xf numFmtId="49" fontId="45" fillId="0" borderId="0" applyFill="0" applyBorder="0" applyAlignment="0"/>
    <xf numFmtId="189" fontId="36" fillId="0" borderId="0" applyFill="0" applyBorder="0" applyAlignment="0"/>
    <xf numFmtId="190" fontId="36" fillId="0" borderId="0" applyFill="0" applyBorder="0" applyAlignment="0"/>
    <xf numFmtId="0" fontId="91" fillId="0" borderId="0">
      <alignment horizontal="center" vertical="top"/>
    </xf>
    <xf numFmtId="0" fontId="92" fillId="0" borderId="0" applyNumberFormat="0" applyFill="0" applyBorder="0" applyAlignment="0" applyProtection="0"/>
    <xf numFmtId="169" fontId="92" fillId="0" borderId="0" applyNumberFormat="0" applyFill="0" applyBorder="0" applyAlignment="0" applyProtection="0"/>
    <xf numFmtId="0"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0" fontId="92" fillId="0" borderId="0" applyNumberFormat="0" applyFill="0" applyBorder="0" applyAlignment="0" applyProtection="0"/>
    <xf numFmtId="0" fontId="46" fillId="0" borderId="40" applyNumberFormat="0" applyFill="0" applyAlignment="0" applyProtection="0"/>
    <xf numFmtId="0" fontId="5" fillId="0" borderId="28"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168" fontId="93"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168" fontId="93"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169" fontId="93"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5" fillId="0" borderId="28"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5" fillId="0" borderId="28"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5" fillId="0" borderId="28"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5" fillId="0" borderId="28"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5" fillId="0" borderId="28"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5" fillId="0" borderId="28"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5" fillId="0" borderId="28"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0" fontId="46" fillId="0" borderId="40" applyNumberFormat="0" applyFill="0" applyAlignment="0" applyProtection="0"/>
    <xf numFmtId="168" fontId="93" fillId="0" borderId="40" applyNumberFormat="0" applyFill="0" applyAlignment="0" applyProtection="0"/>
    <xf numFmtId="169" fontId="93" fillId="0" borderId="40" applyNumberFormat="0" applyFill="0" applyAlignment="0" applyProtection="0"/>
    <xf numFmtId="168" fontId="93" fillId="0" borderId="40" applyNumberFormat="0" applyFill="0" applyAlignment="0" applyProtection="0"/>
    <xf numFmtId="168" fontId="93" fillId="0" borderId="40" applyNumberFormat="0" applyFill="0" applyAlignment="0" applyProtection="0"/>
    <xf numFmtId="169" fontId="93" fillId="0" borderId="40" applyNumberFormat="0" applyFill="0" applyAlignment="0" applyProtection="0"/>
    <xf numFmtId="168" fontId="93" fillId="0" borderId="40" applyNumberFormat="0" applyFill="0" applyAlignment="0" applyProtection="0"/>
    <xf numFmtId="168" fontId="93" fillId="0" borderId="40" applyNumberFormat="0" applyFill="0" applyAlignment="0" applyProtection="0"/>
    <xf numFmtId="169" fontId="93" fillId="0" borderId="40" applyNumberFormat="0" applyFill="0" applyAlignment="0" applyProtection="0"/>
    <xf numFmtId="168" fontId="93" fillId="0" borderId="40" applyNumberFormat="0" applyFill="0" applyAlignment="0" applyProtection="0"/>
    <xf numFmtId="168" fontId="93" fillId="0" borderId="40" applyNumberFormat="0" applyFill="0" applyAlignment="0" applyProtection="0"/>
    <xf numFmtId="169" fontId="93" fillId="0" borderId="40" applyNumberFormat="0" applyFill="0" applyAlignment="0" applyProtection="0"/>
    <xf numFmtId="168" fontId="93" fillId="0" borderId="40" applyNumberFormat="0" applyFill="0" applyAlignment="0" applyProtection="0"/>
    <xf numFmtId="0" fontId="46" fillId="0" borderId="40" applyNumberFormat="0" applyFill="0" applyAlignment="0" applyProtection="0"/>
    <xf numFmtId="0" fontId="24" fillId="0" borderId="41"/>
    <xf numFmtId="185" fontId="80"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5" fillId="0" borderId="0" applyFont="0" applyFill="0" applyBorder="0" applyAlignment="0" applyProtection="0"/>
    <xf numFmtId="192" fontId="2" fillId="0" borderId="0" applyFon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4" fillId="0" borderId="0" applyNumberFormat="0" applyFill="0" applyBorder="0" applyAlignment="0" applyProtection="0"/>
    <xf numFmtId="1" fontId="96" fillId="0" borderId="0" applyFill="0" applyProtection="0">
      <alignment horizontal="right"/>
    </xf>
    <xf numFmtId="42" fontId="97" fillId="0" borderId="0" applyFont="0" applyFill="0" applyBorder="0" applyAlignment="0" applyProtection="0"/>
    <xf numFmtId="44" fontId="97" fillId="0" borderId="0" applyFont="0" applyFill="0" applyBorder="0" applyAlignment="0" applyProtection="0"/>
    <xf numFmtId="0" fontId="98" fillId="0" borderId="0"/>
    <xf numFmtId="0" fontId="99" fillId="0" borderId="0"/>
    <xf numFmtId="38" fontId="25" fillId="0" borderId="0" applyFont="0" applyFill="0" applyBorder="0" applyAlignment="0" applyProtection="0"/>
    <xf numFmtId="40" fontId="25" fillId="0" borderId="0" applyFont="0" applyFill="0" applyBorder="0" applyAlignment="0" applyProtection="0"/>
    <xf numFmtId="41" fontId="97" fillId="0" borderId="0" applyFont="0" applyFill="0" applyBorder="0" applyAlignment="0" applyProtection="0"/>
    <xf numFmtId="43" fontId="97" fillId="0" borderId="0" applyFont="0" applyFill="0" applyBorder="0" applyAlignment="0" applyProtection="0"/>
    <xf numFmtId="0" fontId="2" fillId="0" borderId="0"/>
    <xf numFmtId="9" fontId="1" fillId="0" borderId="0" applyFont="0" applyFill="0" applyBorder="0" applyAlignment="0" applyProtection="0"/>
    <xf numFmtId="0" fontId="46" fillId="0" borderId="91" applyNumberFormat="0" applyFill="0" applyAlignment="0" applyProtection="0"/>
    <xf numFmtId="168" fontId="93" fillId="0" borderId="91" applyNumberFormat="0" applyFill="0" applyAlignment="0" applyProtection="0"/>
    <xf numFmtId="169" fontId="93" fillId="0" borderId="91" applyNumberFormat="0" applyFill="0" applyAlignment="0" applyProtection="0"/>
    <xf numFmtId="168" fontId="93" fillId="0" borderId="91" applyNumberFormat="0" applyFill="0" applyAlignment="0" applyProtection="0"/>
    <xf numFmtId="168" fontId="93" fillId="0" borderId="91" applyNumberFormat="0" applyFill="0" applyAlignment="0" applyProtection="0"/>
    <xf numFmtId="169" fontId="93" fillId="0" borderId="91" applyNumberFormat="0" applyFill="0" applyAlignment="0" applyProtection="0"/>
    <xf numFmtId="168" fontId="93" fillId="0" borderId="91" applyNumberFormat="0" applyFill="0" applyAlignment="0" applyProtection="0"/>
    <xf numFmtId="168" fontId="93" fillId="0" borderId="91" applyNumberFormat="0" applyFill="0" applyAlignment="0" applyProtection="0"/>
    <xf numFmtId="169" fontId="93" fillId="0" borderId="91" applyNumberFormat="0" applyFill="0" applyAlignment="0" applyProtection="0"/>
    <xf numFmtId="168" fontId="93" fillId="0" borderId="91" applyNumberFormat="0" applyFill="0" applyAlignment="0" applyProtection="0"/>
    <xf numFmtId="168" fontId="93" fillId="0" borderId="91" applyNumberFormat="0" applyFill="0" applyAlignment="0" applyProtection="0"/>
    <xf numFmtId="169" fontId="93" fillId="0" borderId="91" applyNumberFormat="0" applyFill="0" applyAlignment="0" applyProtection="0"/>
    <xf numFmtId="168" fontId="93"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169" fontId="93"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168" fontId="93"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168" fontId="93"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0" fontId="46" fillId="0" borderId="91" applyNumberFormat="0" applyFill="0" applyAlignment="0" applyProtection="0"/>
    <xf numFmtId="188" fontId="2" fillId="70" borderId="85" applyFont="0">
      <alignment horizontal="right" vertical="center"/>
    </xf>
    <xf numFmtId="3" fontId="2" fillId="70" borderId="85" applyFont="0">
      <alignment horizontal="right" vertical="center"/>
    </xf>
    <xf numFmtId="0" fontId="82" fillId="64" borderId="90" applyNumberFormat="0" applyAlignment="0" applyProtection="0"/>
    <xf numFmtId="168" fontId="84" fillId="64" borderId="90" applyNumberFormat="0" applyAlignment="0" applyProtection="0"/>
    <xf numFmtId="169" fontId="84" fillId="64" borderId="90" applyNumberFormat="0" applyAlignment="0" applyProtection="0"/>
    <xf numFmtId="168" fontId="84" fillId="64" borderId="90" applyNumberFormat="0" applyAlignment="0" applyProtection="0"/>
    <xf numFmtId="168" fontId="84" fillId="64" borderId="90" applyNumberFormat="0" applyAlignment="0" applyProtection="0"/>
    <xf numFmtId="169" fontId="84" fillId="64" borderId="90" applyNumberFormat="0" applyAlignment="0" applyProtection="0"/>
    <xf numFmtId="168" fontId="84" fillId="64" borderId="90" applyNumberFormat="0" applyAlignment="0" applyProtection="0"/>
    <xf numFmtId="168" fontId="84" fillId="64" borderId="90" applyNumberFormat="0" applyAlignment="0" applyProtection="0"/>
    <xf numFmtId="169" fontId="84" fillId="64" borderId="90" applyNumberFormat="0" applyAlignment="0" applyProtection="0"/>
    <xf numFmtId="168" fontId="84" fillId="64" borderId="90" applyNumberFormat="0" applyAlignment="0" applyProtection="0"/>
    <xf numFmtId="168" fontId="84" fillId="64" borderId="90" applyNumberFormat="0" applyAlignment="0" applyProtection="0"/>
    <xf numFmtId="169" fontId="84" fillId="64" borderId="90" applyNumberFormat="0" applyAlignment="0" applyProtection="0"/>
    <xf numFmtId="168" fontId="84"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169" fontId="84"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168" fontId="84"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168" fontId="84"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0" fontId="82" fillId="64" borderId="90" applyNumberFormat="0" applyAlignment="0" applyProtection="0"/>
    <xf numFmtId="3" fontId="2" fillId="75" borderId="85" applyFont="0">
      <alignment horizontal="right" vertical="center"/>
      <protection locked="0"/>
    </xf>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 fillId="74" borderId="89" applyNumberFormat="0" applyFont="0" applyAlignment="0" applyProtection="0"/>
    <xf numFmtId="0" fontId="26"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0" fontId="26" fillId="74" borderId="89" applyNumberFormat="0" applyFont="0" applyAlignment="0" applyProtection="0"/>
    <xf numFmtId="3" fontId="2" fillId="72" borderId="85" applyFont="0">
      <alignment horizontal="right" vertical="center"/>
      <protection locked="0"/>
    </xf>
    <xf numFmtId="0" fontId="65" fillId="43" borderId="88" applyNumberFormat="0" applyAlignment="0" applyProtection="0"/>
    <xf numFmtId="168" fontId="67" fillId="43" borderId="88" applyNumberFormat="0" applyAlignment="0" applyProtection="0"/>
    <xf numFmtId="169" fontId="67" fillId="43" borderId="88" applyNumberFormat="0" applyAlignment="0" applyProtection="0"/>
    <xf numFmtId="168" fontId="67" fillId="43" borderId="88" applyNumberFormat="0" applyAlignment="0" applyProtection="0"/>
    <xf numFmtId="168" fontId="67" fillId="43" borderId="88" applyNumberFormat="0" applyAlignment="0" applyProtection="0"/>
    <xf numFmtId="169" fontId="67" fillId="43" borderId="88" applyNumberFormat="0" applyAlignment="0" applyProtection="0"/>
    <xf numFmtId="168" fontId="67" fillId="43" borderId="88" applyNumberFormat="0" applyAlignment="0" applyProtection="0"/>
    <xf numFmtId="168" fontId="67" fillId="43" borderId="88" applyNumberFormat="0" applyAlignment="0" applyProtection="0"/>
    <xf numFmtId="169" fontId="67" fillId="43" borderId="88" applyNumberFormat="0" applyAlignment="0" applyProtection="0"/>
    <xf numFmtId="168" fontId="67" fillId="43" borderId="88" applyNumberFormat="0" applyAlignment="0" applyProtection="0"/>
    <xf numFmtId="168" fontId="67" fillId="43" borderId="88" applyNumberFormat="0" applyAlignment="0" applyProtection="0"/>
    <xf numFmtId="169" fontId="67" fillId="43" borderId="88" applyNumberFormat="0" applyAlignment="0" applyProtection="0"/>
    <xf numFmtId="168" fontId="67"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169" fontId="67"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168" fontId="67"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168" fontId="67"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65" fillId="43" borderId="88" applyNumberFormat="0" applyAlignment="0" applyProtection="0"/>
    <xf numFmtId="0" fontId="2" fillId="71" borderId="86" applyNumberFormat="0" applyFont="0" applyBorder="0" applyProtection="0">
      <alignment horizontal="left" vertical="center"/>
    </xf>
    <xf numFmtId="9" fontId="2" fillId="71" borderId="85" applyFont="0" applyProtection="0">
      <alignment horizontal="right" vertical="center"/>
    </xf>
    <xf numFmtId="3" fontId="2" fillId="71" borderId="85" applyFont="0" applyProtection="0">
      <alignment horizontal="right" vertical="center"/>
    </xf>
    <xf numFmtId="0" fontId="61" fillId="70" borderId="86" applyFont="0" applyBorder="0">
      <alignment horizontal="center" wrapText="1"/>
    </xf>
    <xf numFmtId="168" fontId="53" fillId="0" borderId="83">
      <alignment horizontal="left" vertical="center"/>
    </xf>
    <xf numFmtId="0" fontId="53" fillId="0" borderId="83">
      <alignment horizontal="left" vertical="center"/>
    </xf>
    <xf numFmtId="0" fontId="53" fillId="0" borderId="83">
      <alignment horizontal="left" vertical="center"/>
    </xf>
    <xf numFmtId="0" fontId="2" fillId="69" borderId="85" applyNumberFormat="0" applyFont="0" applyBorder="0" applyProtection="0">
      <alignment horizontal="center" vertical="center"/>
    </xf>
    <xf numFmtId="0" fontId="35" fillId="0" borderId="85" applyNumberFormat="0" applyAlignment="0">
      <alignment horizontal="right"/>
      <protection locked="0"/>
    </xf>
    <xf numFmtId="0" fontId="35" fillId="0" borderId="85" applyNumberFormat="0" applyAlignment="0">
      <alignment horizontal="right"/>
      <protection locked="0"/>
    </xf>
    <xf numFmtId="0" fontId="35" fillId="0" borderId="85" applyNumberFormat="0" applyAlignment="0">
      <alignment horizontal="right"/>
      <protection locked="0"/>
    </xf>
    <xf numFmtId="0" fontId="35" fillId="0" borderId="85" applyNumberFormat="0" applyAlignment="0">
      <alignment horizontal="right"/>
      <protection locked="0"/>
    </xf>
    <xf numFmtId="0" fontId="35" fillId="0" borderId="85" applyNumberFormat="0" applyAlignment="0">
      <alignment horizontal="right"/>
      <protection locked="0"/>
    </xf>
    <xf numFmtId="0" fontId="35" fillId="0" borderId="85" applyNumberFormat="0" applyAlignment="0">
      <alignment horizontal="right"/>
      <protection locked="0"/>
    </xf>
    <xf numFmtId="0" fontId="35" fillId="0" borderId="85" applyNumberFormat="0" applyAlignment="0">
      <alignment horizontal="right"/>
      <protection locked="0"/>
    </xf>
    <xf numFmtId="0" fontId="35" fillId="0" borderId="85" applyNumberFormat="0" applyAlignment="0">
      <alignment horizontal="right"/>
      <protection locked="0"/>
    </xf>
    <xf numFmtId="0" fontId="35" fillId="0" borderId="85" applyNumberFormat="0" applyAlignment="0">
      <alignment horizontal="right"/>
      <protection locked="0"/>
    </xf>
    <xf numFmtId="0" fontId="35" fillId="0" borderId="85" applyNumberFormat="0" applyAlignment="0">
      <alignment horizontal="right"/>
      <protection locked="0"/>
    </xf>
    <xf numFmtId="0" fontId="37" fillId="64" borderId="88" applyNumberFormat="0" applyAlignment="0" applyProtection="0"/>
    <xf numFmtId="168" fontId="39" fillId="64" borderId="88" applyNumberFormat="0" applyAlignment="0" applyProtection="0"/>
    <xf numFmtId="169" fontId="39" fillId="64" borderId="88" applyNumberFormat="0" applyAlignment="0" applyProtection="0"/>
    <xf numFmtId="168" fontId="39" fillId="64" borderId="88" applyNumberFormat="0" applyAlignment="0" applyProtection="0"/>
    <xf numFmtId="168" fontId="39" fillId="64" borderId="88" applyNumberFormat="0" applyAlignment="0" applyProtection="0"/>
    <xf numFmtId="169" fontId="39" fillId="64" borderId="88" applyNumberFormat="0" applyAlignment="0" applyProtection="0"/>
    <xf numFmtId="168" fontId="39" fillId="64" borderId="88" applyNumberFormat="0" applyAlignment="0" applyProtection="0"/>
    <xf numFmtId="168" fontId="39" fillId="64" borderId="88" applyNumberFormat="0" applyAlignment="0" applyProtection="0"/>
    <xf numFmtId="169" fontId="39" fillId="64" borderId="88" applyNumberFormat="0" applyAlignment="0" applyProtection="0"/>
    <xf numFmtId="168" fontId="39" fillId="64" borderId="88" applyNumberFormat="0" applyAlignment="0" applyProtection="0"/>
    <xf numFmtId="168" fontId="39" fillId="64" borderId="88" applyNumberFormat="0" applyAlignment="0" applyProtection="0"/>
    <xf numFmtId="169" fontId="39" fillId="64" borderId="88" applyNumberFormat="0" applyAlignment="0" applyProtection="0"/>
    <xf numFmtId="168" fontId="39"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169" fontId="39"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168" fontId="39"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168" fontId="39"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37" fillId="64" borderId="88" applyNumberFormat="0" applyAlignment="0" applyProtection="0"/>
    <xf numFmtId="0" fontId="1" fillId="0" borderId="0"/>
    <xf numFmtId="169" fontId="25" fillId="37" borderId="0"/>
    <xf numFmtId="0" fontId="2" fillId="0" borderId="0">
      <alignment vertical="center"/>
    </xf>
    <xf numFmtId="166" fontId="1" fillId="0" borderId="0" applyFont="0" applyFill="0" applyBorder="0" applyAlignment="0" applyProtection="0"/>
    <xf numFmtId="0" fontId="128" fillId="0" borderId="0"/>
    <xf numFmtId="0" fontId="1" fillId="0" borderId="0"/>
  </cellStyleXfs>
  <cellXfs count="959">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applyBorder="1" applyAlignment="1">
      <alignment horizontal="center"/>
    </xf>
    <xf numFmtId="0" fontId="4" fillId="0" borderId="3" xfId="0" applyFont="1" applyBorder="1"/>
    <xf numFmtId="0" fontId="8" fillId="0" borderId="9" xfId="0" applyFont="1" applyBorder="1"/>
    <xf numFmtId="0" fontId="11" fillId="0" borderId="0" xfId="0" applyFont="1" applyBorder="1"/>
    <xf numFmtId="0" fontId="11" fillId="0" borderId="0" xfId="0" applyFont="1"/>
    <xf numFmtId="0" fontId="8" fillId="0" borderId="0" xfId="0" applyFont="1" applyBorder="1" applyAlignment="1">
      <alignment horizontal="right" wrapText="1"/>
    </xf>
    <xf numFmtId="0" fontId="6" fillId="0" borderId="0" xfId="0" applyFont="1"/>
    <xf numFmtId="0" fontId="8" fillId="0" borderId="0" xfId="11" applyFont="1" applyFill="1" applyBorder="1" applyProtection="1"/>
    <xf numFmtId="0" fontId="4" fillId="0" borderId="0" xfId="0" applyFont="1" applyBorder="1"/>
    <xf numFmtId="0" fontId="8" fillId="0" borderId="0" xfId="0" applyFont="1"/>
    <xf numFmtId="0" fontId="8" fillId="0" borderId="0" xfId="0" applyFont="1" applyAlignment="1">
      <alignment horizontal="right"/>
    </xf>
    <xf numFmtId="0" fontId="8" fillId="0" borderId="0" xfId="11" applyFont="1" applyFill="1" applyBorder="1" applyAlignment="1" applyProtection="1"/>
    <xf numFmtId="0" fontId="4" fillId="0" borderId="4" xfId="0" applyFont="1" applyBorder="1"/>
    <xf numFmtId="0" fontId="4" fillId="0" borderId="0" xfId="0" applyFont="1" applyAlignment="1">
      <alignment wrapText="1"/>
    </xf>
    <xf numFmtId="0" fontId="11" fillId="0" borderId="0" xfId="0" applyFont="1" applyAlignment="1">
      <alignment wrapText="1"/>
    </xf>
    <xf numFmtId="0" fontId="11" fillId="0" borderId="0" xfId="0" applyFont="1" applyAlignment="1">
      <alignment horizontal="center"/>
    </xf>
    <xf numFmtId="0" fontId="9" fillId="0" borderId="0" xfId="11" applyFont="1" applyFill="1" applyBorder="1" applyAlignment="1" applyProtection="1"/>
    <xf numFmtId="0" fontId="6" fillId="0" borderId="0" xfId="0" applyFont="1" applyBorder="1"/>
    <xf numFmtId="0" fontId="5" fillId="0" borderId="0" xfId="0" applyFont="1" applyAlignment="1">
      <alignment horizontal="center"/>
    </xf>
    <xf numFmtId="0" fontId="9" fillId="0" borderId="0" xfId="0" applyFont="1" applyFill="1" applyBorder="1" applyAlignment="1">
      <alignment horizontal="center" wrapText="1"/>
    </xf>
    <xf numFmtId="0" fontId="22" fillId="0" borderId="0" xfId="0" applyFont="1" applyAlignment="1">
      <alignment horizontal="center" vertical="center"/>
    </xf>
    <xf numFmtId="0" fontId="2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2" fillId="0" borderId="0" xfId="0" applyFont="1"/>
    <xf numFmtId="0" fontId="8" fillId="0" borderId="1" xfId="0" applyFont="1" applyBorder="1"/>
    <xf numFmtId="0" fontId="6" fillId="3" borderId="3" xfId="9" applyFont="1" applyFill="1" applyBorder="1" applyAlignment="1" applyProtection="1">
      <alignment horizontal="left" vertical="center" wrapText="1"/>
      <protection locked="0"/>
    </xf>
    <xf numFmtId="0" fontId="4" fillId="0" borderId="12" xfId="0" applyFont="1" applyBorder="1"/>
    <xf numFmtId="0" fontId="22" fillId="0" borderId="3" xfId="0" applyFont="1" applyBorder="1"/>
    <xf numFmtId="0" fontId="21" fillId="0" borderId="0" xfId="0" applyFont="1"/>
    <xf numFmtId="0" fontId="6" fillId="0" borderId="3" xfId="13"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6" fillId="3" borderId="12" xfId="1" applyNumberFormat="1" applyFont="1" applyFill="1" applyBorder="1" applyAlignment="1" applyProtection="1">
      <alignment horizontal="center" vertical="center" wrapText="1"/>
      <protection locked="0"/>
    </xf>
    <xf numFmtId="164" fontId="6" fillId="3" borderId="13" xfId="1" applyNumberFormat="1" applyFont="1" applyFill="1" applyBorder="1" applyAlignment="1" applyProtection="1">
      <alignment horizontal="center" vertical="center" wrapText="1"/>
      <protection locked="0"/>
    </xf>
    <xf numFmtId="0" fontId="4" fillId="0" borderId="9" xfId="0" applyFont="1" applyBorder="1"/>
    <xf numFmtId="0" fontId="4" fillId="0" borderId="11" xfId="0" applyFont="1" applyBorder="1"/>
    <xf numFmtId="0" fontId="6" fillId="3" borderId="15" xfId="9" applyFont="1" applyFill="1" applyBorder="1" applyAlignment="1" applyProtection="1">
      <alignment horizontal="left" vertical="center"/>
      <protection locked="0"/>
    </xf>
    <xf numFmtId="0" fontId="14" fillId="3" borderId="17" xfId="16" applyFont="1" applyFill="1" applyBorder="1" applyAlignment="1" applyProtection="1">
      <protection locked="0"/>
    </xf>
    <xf numFmtId="0" fontId="4" fillId="0" borderId="0" xfId="0" applyFont="1" applyFill="1" applyBorder="1" applyAlignment="1">
      <alignment wrapText="1"/>
    </xf>
    <xf numFmtId="0" fontId="8" fillId="3" borderId="3" xfId="5" applyFont="1" applyFill="1" applyBorder="1" applyProtection="1">
      <protection locked="0"/>
    </xf>
    <xf numFmtId="0" fontId="8" fillId="0" borderId="3" xfId="13" applyFont="1" applyFill="1" applyBorder="1" applyAlignment="1" applyProtection="1">
      <alignment horizontal="center" vertical="center" wrapText="1"/>
      <protection locked="0"/>
    </xf>
    <xf numFmtId="0" fontId="8" fillId="3" borderId="3" xfId="13" applyFont="1" applyFill="1" applyBorder="1" applyAlignment="1" applyProtection="1">
      <alignment horizontal="center" vertical="center" wrapText="1"/>
      <protection locked="0"/>
    </xf>
    <xf numFmtId="3" fontId="8" fillId="3" borderId="3" xfId="1" applyNumberFormat="1" applyFont="1" applyFill="1" applyBorder="1" applyAlignment="1" applyProtection="1">
      <alignment horizontal="center" vertical="center" wrapText="1"/>
      <protection locked="0"/>
    </xf>
    <xf numFmtId="9" fontId="8" fillId="3" borderId="3" xfId="15" applyNumberFormat="1" applyFont="1" applyFill="1" applyBorder="1" applyAlignment="1" applyProtection="1">
      <alignment horizontal="center" vertical="center"/>
      <protection locked="0"/>
    </xf>
    <xf numFmtId="0" fontId="9" fillId="3" borderId="3" xfId="13" applyFont="1" applyFill="1" applyBorder="1" applyAlignment="1" applyProtection="1">
      <alignment wrapText="1"/>
      <protection locked="0"/>
    </xf>
    <xf numFmtId="0" fontId="8" fillId="3" borderId="3" xfId="13" applyFont="1" applyFill="1" applyBorder="1" applyAlignment="1" applyProtection="1">
      <alignment horizontal="left" vertical="center" wrapText="1"/>
      <protection locked="0"/>
    </xf>
    <xf numFmtId="165" fontId="8" fillId="3" borderId="3" xfId="8" applyNumberFormat="1" applyFont="1" applyFill="1" applyBorder="1" applyAlignment="1" applyProtection="1">
      <alignment horizontal="right" wrapText="1"/>
      <protection locked="0"/>
    </xf>
    <xf numFmtId="0" fontId="8" fillId="0" borderId="3" xfId="13" applyFont="1" applyFill="1" applyBorder="1" applyAlignment="1" applyProtection="1">
      <alignment horizontal="left" vertical="center" wrapText="1"/>
      <protection locked="0"/>
    </xf>
    <xf numFmtId="165" fontId="8" fillId="4"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wrapText="1"/>
      <protection locked="0"/>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6" fillId="0" borderId="0" xfId="11" applyFont="1" applyFill="1" applyBorder="1" applyAlignment="1" applyProtection="1">
      <alignment vertical="center"/>
    </xf>
    <xf numFmtId="0" fontId="4" fillId="0" borderId="12" xfId="0" applyFont="1" applyBorder="1" applyAlignment="1">
      <alignment vertical="center"/>
    </xf>
    <xf numFmtId="0" fontId="4" fillId="0" borderId="46" xfId="0" applyFont="1" applyBorder="1"/>
    <xf numFmtId="0" fontId="19" fillId="0" borderId="15" xfId="0" applyFont="1" applyBorder="1" applyAlignment="1">
      <alignment horizontal="center" vertical="center" wrapText="1"/>
    </xf>
    <xf numFmtId="0" fontId="4" fillId="0" borderId="47" xfId="0" applyFont="1" applyBorder="1"/>
    <xf numFmtId="0" fontId="6" fillId="0" borderId="9" xfId="9" applyFont="1" applyFill="1" applyBorder="1" applyAlignment="1" applyProtection="1">
      <alignment horizontal="center" vertical="center"/>
      <protection locked="0"/>
    </xf>
    <xf numFmtId="164" fontId="6" fillId="3" borderId="11" xfId="2" applyNumberFormat="1" applyFont="1" applyFill="1" applyBorder="1" applyAlignment="1" applyProtection="1">
      <alignment horizontal="center" vertical="center"/>
      <protection locked="0"/>
    </xf>
    <xf numFmtId="0" fontId="0" fillId="0" borderId="0" xfId="0" applyFont="1" applyFill="1"/>
    <xf numFmtId="0" fontId="4" fillId="0" borderId="50" xfId="0" applyFont="1" applyBorder="1"/>
    <xf numFmtId="0" fontId="4" fillId="0" borderId="10" xfId="0" applyFont="1" applyBorder="1"/>
    <xf numFmtId="0" fontId="4" fillId="0" borderId="15" xfId="0" applyFont="1" applyBorder="1"/>
    <xf numFmtId="0" fontId="11" fillId="0" borderId="0" xfId="0" applyFont="1" applyAlignment="1"/>
    <xf numFmtId="0" fontId="6" fillId="3" borderId="12" xfId="5" applyFont="1" applyFill="1" applyBorder="1" applyAlignment="1" applyProtection="1">
      <alignment horizontal="right" vertical="center"/>
      <protection locked="0"/>
    </xf>
    <xf numFmtId="0" fontId="14" fillId="3" borderId="16" xfId="16" applyFont="1" applyFill="1" applyBorder="1" applyAlignment="1" applyProtection="1">
      <protection locked="0"/>
    </xf>
    <xf numFmtId="0" fontId="4" fillId="0" borderId="10" xfId="0" applyFont="1" applyBorder="1" applyAlignment="1">
      <alignment wrapText="1"/>
    </xf>
    <xf numFmtId="0" fontId="4" fillId="0" borderId="11" xfId="0" applyFont="1" applyBorder="1" applyAlignment="1">
      <alignment wrapText="1"/>
    </xf>
    <xf numFmtId="0" fontId="5" fillId="0" borderId="16" xfId="0" applyFont="1" applyBorder="1"/>
    <xf numFmtId="0" fontId="8" fillId="3" borderId="12" xfId="5" applyFont="1" applyFill="1" applyBorder="1" applyAlignment="1" applyProtection="1">
      <alignment horizontal="left" vertical="center"/>
      <protection locked="0"/>
    </xf>
    <xf numFmtId="0" fontId="8" fillId="3" borderId="13" xfId="13" applyFont="1" applyFill="1" applyBorder="1" applyAlignment="1" applyProtection="1">
      <alignment horizontal="center" vertical="center" wrapText="1"/>
      <protection locked="0"/>
    </xf>
    <xf numFmtId="0" fontId="8" fillId="3" borderId="12" xfId="5" applyFont="1" applyFill="1" applyBorder="1" applyAlignment="1" applyProtection="1">
      <alignment horizontal="right" vertical="center"/>
      <protection locked="0"/>
    </xf>
    <xf numFmtId="3" fontId="8" fillId="36" borderId="13" xfId="5" applyNumberFormat="1" applyFont="1" applyFill="1" applyBorder="1" applyProtection="1">
      <protection locked="0"/>
    </xf>
    <xf numFmtId="0" fontId="8" fillId="3" borderId="15" xfId="9" applyFont="1" applyFill="1" applyBorder="1" applyAlignment="1" applyProtection="1">
      <alignment horizontal="right" vertical="center"/>
      <protection locked="0"/>
    </xf>
    <xf numFmtId="0" fontId="9" fillId="3" borderId="16" xfId="16" applyFont="1" applyFill="1" applyBorder="1" applyAlignment="1" applyProtection="1">
      <protection locked="0"/>
    </xf>
    <xf numFmtId="3" fontId="9" fillId="36" borderId="16" xfId="16" applyNumberFormat="1" applyFont="1" applyFill="1" applyBorder="1" applyAlignment="1" applyProtection="1">
      <protection locked="0"/>
    </xf>
    <xf numFmtId="164" fontId="9" fillId="36" borderId="17" xfId="1" applyNumberFormat="1" applyFont="1" applyFill="1" applyBorder="1" applyAlignment="1" applyProtection="1">
      <protection locked="0"/>
    </xf>
    <xf numFmtId="0" fontId="4" fillId="0" borderId="46" xfId="0" applyFont="1" applyBorder="1" applyAlignment="1">
      <alignment horizontal="center"/>
    </xf>
    <xf numFmtId="0" fontId="4" fillId="0" borderId="47"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6" fillId="3" borderId="3" xfId="13" applyFont="1" applyFill="1" applyBorder="1" applyAlignment="1" applyProtection="1">
      <alignment horizontal="left" vertical="center"/>
      <protection locked="0"/>
    </xf>
    <xf numFmtId="0" fontId="4" fillId="0" borderId="13" xfId="0" applyFont="1" applyBorder="1" applyAlignment="1">
      <alignment horizontal="center" vertical="center"/>
    </xf>
    <xf numFmtId="0" fontId="0" fillId="0" borderId="0" xfId="0" applyAlignment="1"/>
    <xf numFmtId="0" fontId="1" fillId="0" borderId="0" xfId="0" applyFont="1"/>
    <xf numFmtId="0" fontId="8" fillId="3" borderId="3" xfId="20960" applyFont="1" applyFill="1" applyBorder="1" applyAlignment="1" applyProtection="1">
      <alignment horizontal="left" wrapText="1" indent="1"/>
    </xf>
    <xf numFmtId="0" fontId="8" fillId="0" borderId="3" xfId="20960" applyFont="1" applyFill="1" applyBorder="1" applyAlignment="1" applyProtection="1">
      <alignment horizontal="left" wrapText="1" indent="1"/>
    </xf>
    <xf numFmtId="0" fontId="102" fillId="0" borderId="3" xfId="20960" applyFont="1" applyFill="1" applyBorder="1" applyAlignment="1" applyProtection="1">
      <alignment horizontal="center" vertical="center"/>
    </xf>
    <xf numFmtId="0" fontId="103" fillId="0" borderId="0" xfId="0" applyFont="1" applyBorder="1" applyAlignment="1">
      <alignment wrapText="1"/>
    </xf>
    <xf numFmtId="0" fontId="8" fillId="0" borderId="2" xfId="20960" applyFont="1" applyFill="1" applyBorder="1" applyAlignment="1" applyProtection="1">
      <alignment horizontal="left" wrapText="1" indent="1"/>
    </xf>
    <xf numFmtId="0" fontId="17" fillId="0" borderId="0" xfId="11" applyFont="1" applyFill="1" applyBorder="1" applyAlignment="1" applyProtection="1">
      <alignment horizontal="right"/>
    </xf>
    <xf numFmtId="0" fontId="0" fillId="0" borderId="9" xfId="0" applyBorder="1" applyAlignment="1">
      <alignment horizontal="center" vertical="center"/>
    </xf>
    <xf numFmtId="0" fontId="5" fillId="36" borderId="20" xfId="0" applyFont="1" applyFill="1" applyBorder="1" applyAlignment="1">
      <alignment wrapText="1"/>
    </xf>
    <xf numFmtId="0" fontId="4" fillId="0" borderId="6" xfId="0" applyFont="1" applyFill="1" applyBorder="1" applyAlignment="1">
      <alignment vertical="center" wrapText="1"/>
    </xf>
    <xf numFmtId="0" fontId="5" fillId="36" borderId="6" xfId="0" applyFont="1" applyFill="1" applyBorder="1" applyAlignment="1">
      <alignment wrapText="1"/>
    </xf>
    <xf numFmtId="0" fontId="5" fillId="36" borderId="55" xfId="0" applyFont="1" applyFill="1" applyBorder="1" applyAlignment="1">
      <alignment wrapText="1"/>
    </xf>
    <xf numFmtId="0" fontId="14" fillId="0" borderId="0" xfId="11" applyFont="1" applyFill="1" applyBorder="1" applyAlignment="1" applyProtection="1">
      <alignment horizontal="center" vertical="center" wrapText="1"/>
    </xf>
    <xf numFmtId="0" fontId="4" fillId="0" borderId="12" xfId="0" applyFont="1" applyBorder="1" applyAlignment="1">
      <alignment horizontal="center" vertical="center" wrapText="1"/>
    </xf>
    <xf numFmtId="0" fontId="4" fillId="0" borderId="6" xfId="0" applyFont="1" applyFill="1" applyBorder="1" applyAlignment="1"/>
    <xf numFmtId="0" fontId="4" fillId="0" borderId="6" xfId="0" applyFont="1" applyBorder="1" applyAlignment="1">
      <alignment wrapText="1"/>
    </xf>
    <xf numFmtId="0" fontId="4" fillId="0" borderId="15" xfId="0" applyFont="1" applyBorder="1" applyAlignment="1">
      <alignment horizontal="center" vertical="center" wrapText="1"/>
    </xf>
    <xf numFmtId="0" fontId="4" fillId="0" borderId="6" xfId="0" applyFont="1" applyFill="1" applyBorder="1" applyAlignment="1">
      <alignment vertical="center"/>
    </xf>
    <xf numFmtId="0" fontId="9" fillId="0" borderId="0" xfId="11" applyFont="1" applyFill="1" applyBorder="1" applyAlignment="1" applyProtection="1">
      <alignment horizontal="center"/>
    </xf>
    <xf numFmtId="0" fontId="17" fillId="0" borderId="0" xfId="0" applyFont="1" applyFill="1" applyBorder="1" applyAlignment="1" applyProtection="1">
      <alignment horizontal="right"/>
      <protection locked="0"/>
    </xf>
    <xf numFmtId="0" fontId="9" fillId="0" borderId="1" xfId="0" applyFont="1" applyBorder="1" applyAlignment="1">
      <alignment horizontal="center"/>
    </xf>
    <xf numFmtId="0" fontId="4" fillId="0" borderId="56" xfId="0" applyFont="1" applyBorder="1" applyAlignment="1">
      <alignment vertical="center" wrapText="1"/>
    </xf>
    <xf numFmtId="0" fontId="5" fillId="0" borderId="4" xfId="0" applyFont="1" applyBorder="1" applyAlignment="1">
      <alignment vertical="center" wrapText="1"/>
    </xf>
    <xf numFmtId="0" fontId="4" fillId="0" borderId="1" xfId="0" applyFont="1" applyBorder="1"/>
    <xf numFmtId="0" fontId="5" fillId="0" borderId="1" xfId="0" applyFont="1" applyBorder="1" applyAlignment="1">
      <alignment horizontal="center"/>
    </xf>
    <xf numFmtId="0" fontId="17" fillId="0" borderId="1" xfId="0" applyFont="1" applyFill="1" applyBorder="1" applyAlignment="1">
      <alignment horizontal="center"/>
    </xf>
    <xf numFmtId="0" fontId="4" fillId="0" borderId="15" xfId="0" applyFont="1" applyFill="1" applyBorder="1" applyAlignment="1">
      <alignment horizontal="center" vertical="center"/>
    </xf>
    <xf numFmtId="0" fontId="105" fillId="0" borderId="0" xfId="0" applyFont="1" applyFill="1" applyBorder="1" applyAlignment="1"/>
    <xf numFmtId="49" fontId="105" fillId="0" borderId="4" xfId="0" applyNumberFormat="1" applyFont="1" applyFill="1" applyBorder="1" applyAlignment="1">
      <alignment horizontal="right" vertical="center"/>
    </xf>
    <xf numFmtId="49" fontId="105" fillId="0" borderId="63" xfId="0" applyNumberFormat="1" applyFont="1" applyFill="1" applyBorder="1" applyAlignment="1">
      <alignment horizontal="right" vertical="center"/>
    </xf>
    <xf numFmtId="49" fontId="105" fillId="0" borderId="66" xfId="0" applyNumberFormat="1" applyFont="1" applyFill="1" applyBorder="1" applyAlignment="1">
      <alignment horizontal="right" vertical="center"/>
    </xf>
    <xf numFmtId="49" fontId="105" fillId="0" borderId="71" xfId="0" applyNumberFormat="1" applyFont="1" applyFill="1" applyBorder="1" applyAlignment="1">
      <alignment horizontal="right" vertical="center"/>
    </xf>
    <xf numFmtId="0" fontId="105" fillId="0" borderId="0" xfId="0" applyFont="1" applyFill="1" applyBorder="1" applyAlignment="1">
      <alignment horizontal="left"/>
    </xf>
    <xf numFmtId="0" fontId="105" fillId="0" borderId="71" xfId="0" applyNumberFormat="1" applyFont="1" applyFill="1" applyBorder="1" applyAlignment="1">
      <alignment horizontal="right" vertical="center"/>
    </xf>
    <xf numFmtId="49" fontId="105" fillId="0" borderId="0" xfId="0" applyNumberFormat="1" applyFont="1" applyFill="1" applyBorder="1" applyAlignment="1">
      <alignment horizontal="right" vertical="center"/>
    </xf>
    <xf numFmtId="0" fontId="105" fillId="0" borderId="0" xfId="0" applyFont="1" applyFill="1" applyBorder="1" applyAlignment="1">
      <alignment vertical="center" wrapText="1"/>
    </xf>
    <xf numFmtId="0" fontId="105" fillId="0" borderId="0" xfId="0" applyFont="1" applyFill="1" applyBorder="1" applyAlignment="1">
      <alignment horizontal="left" vertical="center" wrapText="1"/>
    </xf>
    <xf numFmtId="0" fontId="8" fillId="0" borderId="0" xfId="0" applyFont="1" applyBorder="1" applyAlignment="1">
      <alignment horizontal="left" wrapText="1"/>
    </xf>
    <xf numFmtId="0" fontId="6" fillId="3" borderId="3" xfId="20960" applyFont="1" applyFill="1" applyBorder="1" applyAlignment="1" applyProtection="1">
      <alignment horizontal="right" indent="1"/>
    </xf>
    <xf numFmtId="0" fontId="6" fillId="3" borderId="2" xfId="20960" applyFont="1" applyFill="1" applyBorder="1" applyAlignment="1" applyProtection="1">
      <alignment horizontal="right" indent="1"/>
    </xf>
    <xf numFmtId="3" fontId="20" fillId="36" borderId="16" xfId="0" applyNumberFormat="1" applyFont="1" applyFill="1" applyBorder="1" applyAlignment="1">
      <alignment vertical="center" wrapText="1"/>
    </xf>
    <xf numFmtId="3" fontId="20" fillId="36" borderId="17" xfId="0" applyNumberFormat="1" applyFont="1" applyFill="1" applyBorder="1" applyAlignment="1">
      <alignment vertical="center" wrapText="1"/>
    </xf>
    <xf numFmtId="193" fontId="0" fillId="36" borderId="11" xfId="0" applyNumberFormat="1" applyFill="1" applyBorder="1" applyAlignment="1">
      <alignment horizontal="center" vertical="center"/>
    </xf>
    <xf numFmtId="193" fontId="0" fillId="36" borderId="13" xfId="0" applyNumberFormat="1" applyFill="1" applyBorder="1" applyAlignment="1">
      <alignment horizontal="center" vertical="center" wrapText="1"/>
    </xf>
    <xf numFmtId="193" fontId="0" fillId="36" borderId="17" xfId="0" applyNumberFormat="1" applyFill="1" applyBorder="1" applyAlignment="1">
      <alignment horizontal="center" vertical="center" wrapText="1"/>
    </xf>
    <xf numFmtId="193" fontId="4" fillId="36" borderId="16" xfId="0" applyNumberFormat="1" applyFont="1" applyFill="1" applyBorder="1"/>
    <xf numFmtId="193" fontId="4" fillId="0" borderId="12" xfId="0" applyNumberFormat="1" applyFont="1" applyBorder="1" applyAlignment="1"/>
    <xf numFmtId="193" fontId="4" fillId="36" borderId="43" xfId="0" applyNumberFormat="1" applyFont="1" applyFill="1" applyBorder="1" applyAlignment="1"/>
    <xf numFmtId="193" fontId="4" fillId="36" borderId="15" xfId="0" applyNumberFormat="1" applyFont="1" applyFill="1" applyBorder="1"/>
    <xf numFmtId="193" fontId="4" fillId="36" borderId="17" xfId="0" applyNumberFormat="1" applyFont="1" applyFill="1" applyBorder="1"/>
    <xf numFmtId="193" fontId="4" fillId="36" borderId="44" xfId="0" applyNumberFormat="1" applyFont="1" applyFill="1" applyBorder="1"/>
    <xf numFmtId="193" fontId="4" fillId="0" borderId="3" xfId="0" applyNumberFormat="1" applyFont="1" applyBorder="1"/>
    <xf numFmtId="193" fontId="4" fillId="0" borderId="3" xfId="0" applyNumberFormat="1" applyFont="1" applyFill="1" applyBorder="1"/>
    <xf numFmtId="193" fontId="8" fillId="36" borderId="3" xfId="5" applyNumberFormat="1" applyFont="1" applyFill="1" applyBorder="1" applyProtection="1">
      <protection locked="0"/>
    </xf>
    <xf numFmtId="193" fontId="8" fillId="3" borderId="3" xfId="5" applyNumberFormat="1" applyFont="1" applyFill="1" applyBorder="1" applyProtection="1">
      <protection locked="0"/>
    </xf>
    <xf numFmtId="193" fontId="9" fillId="36" borderId="16" xfId="16" applyNumberFormat="1" applyFont="1" applyFill="1" applyBorder="1" applyAlignment="1" applyProtection="1">
      <protection locked="0"/>
    </xf>
    <xf numFmtId="193" fontId="8" fillId="36" borderId="3" xfId="1" applyNumberFormat="1" applyFont="1" applyFill="1" applyBorder="1" applyProtection="1">
      <protection locked="0"/>
    </xf>
    <xf numFmtId="193" fontId="8" fillId="0" borderId="3" xfId="1" applyNumberFormat="1" applyFont="1" applyFill="1" applyBorder="1" applyProtection="1">
      <protection locked="0"/>
    </xf>
    <xf numFmtId="193" fontId="9" fillId="36" borderId="16" xfId="1" applyNumberFormat="1" applyFont="1" applyFill="1" applyBorder="1" applyAlignment="1" applyProtection="1">
      <protection locked="0"/>
    </xf>
    <xf numFmtId="193" fontId="8" fillId="3" borderId="16" xfId="5" applyNumberFormat="1" applyFont="1" applyFill="1" applyBorder="1" applyProtection="1">
      <protection locked="0"/>
    </xf>
    <xf numFmtId="193" fontId="22" fillId="0" borderId="0" xfId="0" applyNumberFormat="1" applyFont="1"/>
    <xf numFmtId="0" fontId="4" fillId="0" borderId="19" xfId="0" applyFont="1" applyBorder="1" applyAlignment="1">
      <alignment horizontal="center" vertical="center"/>
    </xf>
    <xf numFmtId="0" fontId="4" fillId="0" borderId="19" xfId="0" applyFont="1" applyBorder="1" applyAlignment="1">
      <alignment wrapText="1"/>
    </xf>
    <xf numFmtId="193" fontId="4" fillId="0" borderId="5" xfId="0" applyNumberFormat="1" applyFont="1" applyBorder="1"/>
    <xf numFmtId="193" fontId="4" fillId="0" borderId="14" xfId="0" applyNumberFormat="1" applyFont="1" applyBorder="1" applyAlignment="1"/>
    <xf numFmtId="193" fontId="4" fillId="0" borderId="14" xfId="0" applyNumberFormat="1" applyFont="1" applyBorder="1" applyAlignment="1">
      <alignment wrapText="1"/>
    </xf>
    <xf numFmtId="0" fontId="4" fillId="0" borderId="3" xfId="0" applyFont="1" applyFill="1" applyBorder="1" applyAlignment="1">
      <alignment horizontal="center" vertical="center" wrapText="1"/>
    </xf>
    <xf numFmtId="0" fontId="5" fillId="0" borderId="0" xfId="0" applyFont="1" applyFill="1" applyAlignment="1">
      <alignment horizontal="center"/>
    </xf>
    <xf numFmtId="9" fontId="106" fillId="0" borderId="3" xfId="0" applyNumberFormat="1" applyFont="1" applyFill="1" applyBorder="1" applyAlignment="1">
      <alignment horizontal="center" vertical="center"/>
    </xf>
    <xf numFmtId="0" fontId="5" fillId="0" borderId="0" xfId="0" applyFont="1" applyFill="1" applyBorder="1" applyAlignment="1">
      <alignment horizontal="center" wrapText="1"/>
    </xf>
    <xf numFmtId="0" fontId="5" fillId="0" borderId="0" xfId="0" applyFont="1" applyFill="1" applyAlignment="1">
      <alignment horizontal="center" wrapText="1"/>
    </xf>
    <xf numFmtId="0" fontId="6" fillId="0" borderId="3" xfId="13" applyFont="1" applyFill="1" applyBorder="1" applyAlignment="1" applyProtection="1">
      <alignment horizontal="center" vertical="center" wrapText="1"/>
      <protection locked="0"/>
    </xf>
    <xf numFmtId="9" fontId="4" fillId="0" borderId="13" xfId="20961" applyFont="1" applyBorder="1"/>
    <xf numFmtId="9" fontId="4" fillId="36" borderId="17" xfId="20961" applyFont="1" applyFill="1" applyBorder="1"/>
    <xf numFmtId="167" fontId="4" fillId="0" borderId="13" xfId="0" applyNumberFormat="1" applyFont="1" applyBorder="1" applyAlignment="1"/>
    <xf numFmtId="0" fontId="4" fillId="36" borderId="17" xfId="0" applyFont="1" applyFill="1" applyBorder="1"/>
    <xf numFmtId="0" fontId="8" fillId="0" borderId="9" xfId="0" applyFont="1" applyFill="1" applyBorder="1" applyAlignment="1">
      <alignment horizontal="right" vertical="center" wrapText="1"/>
    </xf>
    <xf numFmtId="0" fontId="6" fillId="0" borderId="10" xfId="0" applyFont="1" applyFill="1" applyBorder="1" applyAlignment="1">
      <alignment vertical="center" wrapText="1"/>
    </xf>
    <xf numFmtId="169" fontId="25" fillId="37" borderId="0" xfId="20" applyBorder="1"/>
    <xf numFmtId="169" fontId="25" fillId="37" borderId="79" xfId="20" applyBorder="1"/>
    <xf numFmtId="0" fontId="4" fillId="0" borderId="4" xfId="0" applyFont="1" applyFill="1" applyBorder="1" applyAlignment="1">
      <alignment vertical="center"/>
    </xf>
    <xf numFmtId="0" fontId="4" fillId="0" borderId="85" xfId="0" applyFont="1" applyFill="1" applyBorder="1" applyAlignment="1">
      <alignment vertical="center"/>
    </xf>
    <xf numFmtId="0" fontId="5" fillId="0" borderId="85" xfId="0" applyFont="1" applyFill="1" applyBorder="1" applyAlignment="1">
      <alignment vertical="center"/>
    </xf>
    <xf numFmtId="0" fontId="4" fillId="0" borderId="10" xfId="0" applyFont="1" applyFill="1" applyBorder="1" applyAlignment="1">
      <alignment vertical="center"/>
    </xf>
    <xf numFmtId="0" fontId="4" fillId="0" borderId="81" xfId="0" applyFont="1" applyFill="1" applyBorder="1" applyAlignment="1">
      <alignment vertical="center"/>
    </xf>
    <xf numFmtId="0" fontId="4" fillId="0" borderId="82" xfId="0" applyFont="1" applyFill="1" applyBorder="1" applyAlignment="1">
      <alignment vertical="center"/>
    </xf>
    <xf numFmtId="0" fontId="4" fillId="0" borderId="9" xfId="0" applyFont="1" applyFill="1" applyBorder="1" applyAlignment="1">
      <alignment horizontal="center" vertical="center"/>
    </xf>
    <xf numFmtId="0" fontId="4" fillId="0" borderId="93" xfId="0" applyFont="1" applyFill="1" applyBorder="1" applyAlignment="1">
      <alignment horizontal="center" vertical="center"/>
    </xf>
    <xf numFmtId="0" fontId="4" fillId="0" borderId="94" xfId="0" applyFont="1" applyFill="1" applyBorder="1" applyAlignment="1">
      <alignment horizontal="center" vertical="center"/>
    </xf>
    <xf numFmtId="169" fontId="25" fillId="37" borderId="22" xfId="20" applyBorder="1"/>
    <xf numFmtId="169" fontId="25" fillId="37" borderId="95" xfId="20" applyBorder="1"/>
    <xf numFmtId="169" fontId="25" fillId="37" borderId="87" xfId="20" applyBorder="1"/>
    <xf numFmtId="169" fontId="25" fillId="37" borderId="47" xfId="20" applyBorder="1"/>
    <xf numFmtId="0" fontId="4" fillId="3" borderId="50" xfId="0" applyFont="1" applyFill="1" applyBorder="1" applyAlignment="1">
      <alignment horizontal="center" vertical="center"/>
    </xf>
    <xf numFmtId="0" fontId="4" fillId="3" borderId="0" xfId="0" applyFont="1" applyFill="1" applyBorder="1" applyAlignment="1">
      <alignment vertical="center"/>
    </xf>
    <xf numFmtId="0" fontId="4" fillId="0" borderId="56" xfId="0" applyFont="1" applyFill="1" applyBorder="1" applyAlignment="1">
      <alignment horizontal="center" vertical="center"/>
    </xf>
    <xf numFmtId="0" fontId="4" fillId="3" borderId="83" xfId="0" applyFont="1" applyFill="1" applyBorder="1" applyAlignment="1">
      <alignment vertical="center"/>
    </xf>
    <xf numFmtId="0" fontId="13" fillId="3" borderId="96" xfId="0" applyFont="1" applyFill="1" applyBorder="1" applyAlignment="1">
      <alignment horizontal="left"/>
    </xf>
    <xf numFmtId="0" fontId="13" fillId="3" borderId="97" xfId="0" applyFont="1" applyFill="1" applyBorder="1" applyAlignment="1">
      <alignment horizontal="left"/>
    </xf>
    <xf numFmtId="0" fontId="4" fillId="0" borderId="0" xfId="0" applyFont="1"/>
    <xf numFmtId="0" fontId="4" fillId="0" borderId="0" xfId="0" applyFont="1" applyFill="1"/>
    <xf numFmtId="0" fontId="4" fillId="0" borderId="85" xfId="0" applyFont="1" applyFill="1" applyBorder="1" applyAlignment="1">
      <alignment horizontal="center" vertical="center" wrapText="1"/>
    </xf>
    <xf numFmtId="0" fontId="105" fillId="0" borderId="73" xfId="0" applyFont="1" applyFill="1" applyBorder="1" applyAlignment="1">
      <alignment horizontal="right" vertical="center"/>
    </xf>
    <xf numFmtId="0" fontId="4" fillId="0" borderId="98" xfId="0" applyFont="1" applyFill="1" applyBorder="1" applyAlignment="1">
      <alignment horizontal="center" vertical="center" wrapText="1"/>
    </xf>
    <xf numFmtId="0" fontId="5" fillId="3" borderId="99" xfId="0" applyFont="1" applyFill="1" applyBorder="1" applyAlignment="1">
      <alignment vertical="center"/>
    </xf>
    <xf numFmtId="0" fontId="4" fillId="0" borderId="100" xfId="0" applyFont="1" applyFill="1" applyBorder="1" applyAlignment="1">
      <alignment horizontal="center" vertical="center"/>
    </xf>
    <xf numFmtId="0" fontId="5" fillId="0" borderId="16" xfId="0" applyFont="1" applyFill="1" applyBorder="1" applyAlignment="1">
      <alignment vertical="center"/>
    </xf>
    <xf numFmtId="169" fontId="25" fillId="37" borderId="18" xfId="20" applyBorder="1"/>
    <xf numFmtId="0" fontId="6" fillId="0" borderId="9" xfId="11" applyFont="1" applyFill="1" applyBorder="1" applyAlignment="1" applyProtection="1">
      <alignment vertical="center"/>
    </xf>
    <xf numFmtId="0" fontId="6" fillId="0" borderId="10" xfId="11" applyFont="1" applyFill="1" applyBorder="1" applyAlignment="1" applyProtection="1">
      <alignment vertical="center"/>
    </xf>
    <xf numFmtId="193" fontId="0" fillId="0" borderId="13" xfId="0" applyNumberFormat="1" applyFill="1" applyBorder="1" applyAlignment="1">
      <alignment wrapText="1"/>
    </xf>
    <xf numFmtId="0" fontId="6" fillId="0" borderId="0" xfId="0" applyFont="1" applyFill="1" applyAlignment="1">
      <alignment wrapText="1"/>
    </xf>
    <xf numFmtId="0" fontId="5" fillId="36" borderId="10" xfId="0" applyFont="1" applyFill="1" applyBorder="1" applyAlignment="1">
      <alignment horizontal="center" vertical="center" wrapText="1"/>
    </xf>
    <xf numFmtId="0" fontId="5" fillId="36" borderId="100" xfId="0" applyFont="1" applyFill="1" applyBorder="1" applyAlignment="1">
      <alignment horizontal="left" vertical="center" wrapText="1"/>
    </xf>
    <xf numFmtId="0" fontId="5" fillId="36" borderId="85" xfId="0" applyFont="1" applyFill="1" applyBorder="1" applyAlignment="1">
      <alignment horizontal="left" vertical="center" wrapText="1"/>
    </xf>
    <xf numFmtId="0" fontId="4" fillId="0" borderId="100" xfId="0" applyFont="1" applyFill="1" applyBorder="1" applyAlignment="1">
      <alignment horizontal="right" vertical="center" wrapText="1"/>
    </xf>
    <xf numFmtId="0" fontId="4" fillId="0" borderId="85" xfId="0" applyFont="1" applyFill="1" applyBorder="1" applyAlignment="1">
      <alignment horizontal="left" vertical="center" wrapText="1"/>
    </xf>
    <xf numFmtId="0" fontId="108" fillId="0" borderId="100" xfId="0" applyFont="1" applyFill="1" applyBorder="1" applyAlignment="1">
      <alignment horizontal="right" vertical="center" wrapText="1"/>
    </xf>
    <xf numFmtId="0" fontId="108" fillId="0" borderId="85" xfId="0" applyFont="1" applyFill="1" applyBorder="1" applyAlignment="1">
      <alignment horizontal="left" vertical="center" wrapText="1"/>
    </xf>
    <xf numFmtId="0" fontId="5" fillId="0" borderId="100" xfId="0" applyFont="1" applyFill="1" applyBorder="1" applyAlignment="1">
      <alignment horizontal="left" vertical="center" wrapText="1"/>
    </xf>
    <xf numFmtId="0" fontId="5"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8" fillId="0" borderId="0" xfId="0" applyFont="1" applyFill="1" applyAlignment="1">
      <alignment horizontal="left" vertical="center"/>
    </xf>
    <xf numFmtId="49" fontId="109" fillId="0" borderId="15" xfId="5" applyNumberFormat="1" applyFont="1" applyFill="1" applyBorder="1" applyAlignment="1" applyProtection="1">
      <alignment horizontal="left" vertical="center"/>
      <protection locked="0"/>
    </xf>
    <xf numFmtId="0" fontId="110" fillId="0" borderId="16" xfId="9" applyFont="1" applyFill="1" applyBorder="1" applyAlignment="1" applyProtection="1">
      <alignment horizontal="left" vertical="center" wrapText="1"/>
      <protection locked="0"/>
    </xf>
    <xf numFmtId="0" fontId="19" fillId="0" borderId="100" xfId="0" applyFont="1" applyBorder="1" applyAlignment="1">
      <alignment horizontal="center" vertical="center" wrapText="1"/>
    </xf>
    <xf numFmtId="3" fontId="20" fillId="36" borderId="85" xfId="0" applyNumberFormat="1" applyFont="1" applyFill="1" applyBorder="1" applyAlignment="1">
      <alignment vertical="center" wrapText="1"/>
    </xf>
    <xf numFmtId="3" fontId="20" fillId="36" borderId="98" xfId="0" applyNumberFormat="1" applyFont="1" applyFill="1" applyBorder="1" applyAlignment="1">
      <alignment vertical="center" wrapText="1"/>
    </xf>
    <xf numFmtId="14" fontId="6" fillId="3" borderId="85" xfId="8" quotePrefix="1" applyNumberFormat="1" applyFont="1" applyFill="1" applyBorder="1" applyAlignment="1" applyProtection="1">
      <alignment horizontal="left" vertical="center" wrapText="1" indent="2"/>
      <protection locked="0"/>
    </xf>
    <xf numFmtId="3" fontId="20" fillId="0" borderId="85" xfId="0" applyNumberFormat="1" applyFont="1" applyBorder="1" applyAlignment="1">
      <alignment vertical="center" wrapText="1"/>
    </xf>
    <xf numFmtId="14" fontId="6" fillId="3" borderId="85" xfId="8" quotePrefix="1" applyNumberFormat="1" applyFont="1" applyFill="1" applyBorder="1" applyAlignment="1" applyProtection="1">
      <alignment horizontal="left" vertical="center" wrapText="1" indent="3"/>
      <protection locked="0"/>
    </xf>
    <xf numFmtId="0" fontId="10" fillId="0" borderId="85" xfId="17" applyFill="1" applyBorder="1" applyAlignment="1" applyProtection="1"/>
    <xf numFmtId="49" fontId="108" fillId="0" borderId="100" xfId="0" applyNumberFormat="1" applyFont="1" applyFill="1" applyBorder="1" applyAlignment="1">
      <alignment horizontal="right" vertical="center" wrapText="1"/>
    </xf>
    <xf numFmtId="0" fontId="6" fillId="3" borderId="85" xfId="20960" applyFont="1" applyFill="1" applyBorder="1" applyAlignment="1" applyProtection="1"/>
    <xf numFmtId="0" fontId="102" fillId="0" borderId="85" xfId="20960" applyFont="1" applyFill="1" applyBorder="1" applyAlignment="1" applyProtection="1">
      <alignment horizontal="center" vertical="center"/>
    </xf>
    <xf numFmtId="0" fontId="4" fillId="0" borderId="85" xfId="0" applyFont="1" applyBorder="1"/>
    <xf numFmtId="0" fontId="10" fillId="0" borderId="85" xfId="17" applyFill="1" applyBorder="1" applyAlignment="1" applyProtection="1">
      <alignment horizontal="left" vertical="center" wrapText="1"/>
    </xf>
    <xf numFmtId="49" fontId="108" fillId="0" borderId="85" xfId="0" applyNumberFormat="1" applyFont="1" applyFill="1" applyBorder="1" applyAlignment="1">
      <alignment horizontal="right" vertical="center" wrapText="1"/>
    </xf>
    <xf numFmtId="0" fontId="10" fillId="0" borderId="85" xfId="17" applyFill="1" applyBorder="1" applyAlignment="1" applyProtection="1">
      <alignment horizontal="left" vertical="center"/>
    </xf>
    <xf numFmtId="0" fontId="4" fillId="0" borderId="85" xfId="0" applyFont="1" applyFill="1" applyBorder="1"/>
    <xf numFmtId="0" fontId="19" fillId="0" borderId="100" xfId="0" applyFont="1" applyFill="1" applyBorder="1" applyAlignment="1">
      <alignment horizontal="center" vertical="center" wrapText="1"/>
    </xf>
    <xf numFmtId="0" fontId="111" fillId="78" borderId="86" xfId="21412" applyFont="1" applyFill="1" applyBorder="1" applyAlignment="1" applyProtection="1">
      <alignment vertical="center" wrapText="1"/>
      <protection locked="0"/>
    </xf>
    <xf numFmtId="0" fontId="112" fillId="70" borderId="81" xfId="21412" applyFont="1" applyFill="1" applyBorder="1" applyAlignment="1" applyProtection="1">
      <alignment horizontal="center" vertical="center"/>
      <protection locked="0"/>
    </xf>
    <xf numFmtId="0" fontId="111" fillId="79" borderId="85" xfId="21412" applyFont="1" applyFill="1" applyBorder="1" applyAlignment="1" applyProtection="1">
      <alignment horizontal="center" vertical="center"/>
      <protection locked="0"/>
    </xf>
    <xf numFmtId="0" fontId="111" fillId="78" borderId="86" xfId="21412" applyFont="1" applyFill="1" applyBorder="1" applyAlignment="1" applyProtection="1">
      <alignment vertical="center"/>
      <protection locked="0"/>
    </xf>
    <xf numFmtId="0" fontId="113" fillId="70" borderId="81" xfId="21412" applyFont="1" applyFill="1" applyBorder="1" applyAlignment="1" applyProtection="1">
      <alignment horizontal="center" vertical="center"/>
      <protection locked="0"/>
    </xf>
    <xf numFmtId="0" fontId="113" fillId="3" borderId="81" xfId="21412" applyFont="1" applyFill="1" applyBorder="1" applyAlignment="1" applyProtection="1">
      <alignment horizontal="center" vertical="center"/>
      <protection locked="0"/>
    </xf>
    <xf numFmtId="0" fontId="113" fillId="0" borderId="81" xfId="21412" applyFont="1" applyFill="1" applyBorder="1" applyAlignment="1" applyProtection="1">
      <alignment horizontal="center" vertical="center"/>
      <protection locked="0"/>
    </xf>
    <xf numFmtId="0" fontId="114" fillId="79" borderId="85" xfId="21412" applyFont="1" applyFill="1" applyBorder="1" applyAlignment="1" applyProtection="1">
      <alignment horizontal="center" vertical="center"/>
      <protection locked="0"/>
    </xf>
    <xf numFmtId="0" fontId="111" fillId="78" borderId="86" xfId="21412" applyFont="1" applyFill="1" applyBorder="1" applyAlignment="1" applyProtection="1">
      <alignment horizontal="center" vertical="center"/>
      <protection locked="0"/>
    </xf>
    <xf numFmtId="0" fontId="61" fillId="78" borderId="86" xfId="21412" applyFont="1" applyFill="1" applyBorder="1" applyAlignment="1" applyProtection="1">
      <alignment vertical="center"/>
      <protection locked="0"/>
    </xf>
    <xf numFmtId="0" fontId="113" fillId="70" borderId="85" xfId="21412" applyFont="1" applyFill="1" applyBorder="1" applyAlignment="1" applyProtection="1">
      <alignment horizontal="center" vertical="center"/>
      <protection locked="0"/>
    </xf>
    <xf numFmtId="0" fontId="35" fillId="70" borderId="85" xfId="21412" applyFont="1" applyFill="1" applyBorder="1" applyAlignment="1" applyProtection="1">
      <alignment horizontal="center" vertical="center"/>
      <protection locked="0"/>
    </xf>
    <xf numFmtId="0" fontId="61" fillId="78" borderId="84" xfId="21412" applyFont="1" applyFill="1" applyBorder="1" applyAlignment="1" applyProtection="1">
      <alignment vertical="center"/>
      <protection locked="0"/>
    </xf>
    <xf numFmtId="0" fontId="112" fillId="0" borderId="84" xfId="21412" applyFont="1" applyFill="1" applyBorder="1" applyAlignment="1" applyProtection="1">
      <alignment horizontal="left" vertical="center" wrapText="1"/>
      <protection locked="0"/>
    </xf>
    <xf numFmtId="0" fontId="111" fillId="79" borderId="84" xfId="21412" applyFont="1" applyFill="1" applyBorder="1" applyAlignment="1" applyProtection="1">
      <alignment vertical="top" wrapText="1"/>
      <protection locked="0"/>
    </xf>
    <xf numFmtId="164" fontId="61" fillId="78" borderId="84" xfId="948" applyNumberFormat="1" applyFont="1" applyFill="1" applyBorder="1" applyAlignment="1" applyProtection="1">
      <alignment horizontal="right" vertical="center"/>
      <protection locked="0"/>
    </xf>
    <xf numFmtId="0" fontId="112" fillId="70" borderId="84" xfId="21412" applyFont="1" applyFill="1" applyBorder="1" applyAlignment="1" applyProtection="1">
      <alignment vertical="center" wrapText="1"/>
      <protection locked="0"/>
    </xf>
    <xf numFmtId="0" fontId="112" fillId="70" borderId="84" xfId="21412" applyFont="1" applyFill="1" applyBorder="1" applyAlignment="1" applyProtection="1">
      <alignment horizontal="left" vertical="center" wrapText="1"/>
      <protection locked="0"/>
    </xf>
    <xf numFmtId="0" fontId="112" fillId="0" borderId="84" xfId="21412" applyFont="1" applyFill="1" applyBorder="1" applyAlignment="1" applyProtection="1">
      <alignment vertical="center" wrapText="1"/>
      <protection locked="0"/>
    </xf>
    <xf numFmtId="0" fontId="112" fillId="3" borderId="84" xfId="21412" applyFont="1" applyFill="1" applyBorder="1" applyAlignment="1" applyProtection="1">
      <alignment horizontal="left" vertical="center" wrapText="1"/>
      <protection locked="0"/>
    </xf>
    <xf numFmtId="0" fontId="111" fillId="79" borderId="84" xfId="21412" applyFont="1" applyFill="1" applyBorder="1" applyAlignment="1" applyProtection="1">
      <alignment vertical="center" wrapText="1"/>
      <protection locked="0"/>
    </xf>
    <xf numFmtId="164" fontId="112" fillId="3" borderId="85" xfId="948" applyNumberFormat="1" applyFont="1" applyFill="1" applyBorder="1" applyAlignment="1" applyProtection="1">
      <alignment horizontal="right" vertical="center"/>
      <protection locked="0"/>
    </xf>
    <xf numFmtId="10" fontId="6" fillId="0" borderId="85" xfId="20961" applyNumberFormat="1" applyFont="1" applyFill="1" applyBorder="1" applyAlignment="1">
      <alignment horizontal="left" vertical="center" wrapText="1"/>
    </xf>
    <xf numFmtId="10" fontId="4" fillId="0" borderId="85" xfId="20961" applyNumberFormat="1" applyFont="1" applyFill="1" applyBorder="1" applyAlignment="1">
      <alignment horizontal="left" vertical="center" wrapText="1"/>
    </xf>
    <xf numFmtId="10" fontId="5" fillId="36" borderId="85" xfId="0" applyNumberFormat="1" applyFont="1" applyFill="1" applyBorder="1" applyAlignment="1">
      <alignment horizontal="left" vertical="center" wrapText="1"/>
    </xf>
    <xf numFmtId="10" fontId="108" fillId="0" borderId="85" xfId="20961" applyNumberFormat="1" applyFont="1" applyFill="1" applyBorder="1" applyAlignment="1">
      <alignment horizontal="left" vertical="center" wrapText="1"/>
    </xf>
    <xf numFmtId="10" fontId="5" fillId="36" borderId="85" xfId="20961" applyNumberFormat="1" applyFont="1" applyFill="1" applyBorder="1" applyAlignment="1">
      <alignment horizontal="left" vertical="center" wrapText="1"/>
    </xf>
    <xf numFmtId="10" fontId="5" fillId="36" borderId="85" xfId="0" applyNumberFormat="1" applyFont="1" applyFill="1" applyBorder="1" applyAlignment="1">
      <alignment horizontal="center" vertical="center" wrapText="1"/>
    </xf>
    <xf numFmtId="10" fontId="110" fillId="0" borderId="16" xfId="20961" applyNumberFormat="1" applyFont="1" applyFill="1" applyBorder="1" applyAlignment="1" applyProtection="1">
      <alignment horizontal="left" vertical="center"/>
    </xf>
    <xf numFmtId="43" fontId="6" fillId="0" borderId="0" xfId="7" applyFont="1"/>
    <xf numFmtId="0" fontId="106" fillId="0" borderId="0" xfId="0" applyFont="1" applyAlignment="1">
      <alignment wrapText="1"/>
    </xf>
    <xf numFmtId="0" fontId="4" fillId="0" borderId="85" xfId="0" applyFont="1" applyBorder="1" applyAlignment="1">
      <alignment vertical="center" wrapText="1"/>
    </xf>
    <xf numFmtId="0" fontId="4" fillId="0" borderId="85" xfId="0" applyFont="1" applyFill="1" applyBorder="1" applyAlignment="1">
      <alignment horizontal="left" vertical="center" wrapText="1" indent="2"/>
    </xf>
    <xf numFmtId="0" fontId="4" fillId="0" borderId="85" xfId="0" applyFont="1" applyFill="1" applyBorder="1" applyAlignment="1">
      <alignment vertical="center" wrapText="1"/>
    </xf>
    <xf numFmtId="3" fontId="20" fillId="36" borderId="86" xfId="0" applyNumberFormat="1" applyFont="1" applyFill="1" applyBorder="1" applyAlignment="1">
      <alignment vertical="center" wrapText="1"/>
    </xf>
    <xf numFmtId="3" fontId="20" fillId="36" borderId="14" xfId="0" applyNumberFormat="1" applyFont="1" applyFill="1" applyBorder="1" applyAlignment="1">
      <alignment vertical="center" wrapText="1"/>
    </xf>
    <xf numFmtId="3" fontId="20" fillId="36" borderId="18" xfId="0" applyNumberFormat="1" applyFont="1" applyFill="1" applyBorder="1" applyAlignment="1">
      <alignment vertical="center" wrapText="1"/>
    </xf>
    <xf numFmtId="3" fontId="20" fillId="36" borderId="29" xfId="0" applyNumberFormat="1" applyFont="1" applyFill="1" applyBorder="1" applyAlignment="1">
      <alignment vertical="center" wrapText="1"/>
    </xf>
    <xf numFmtId="0" fontId="5" fillId="0" borderId="16" xfId="0" applyFont="1" applyBorder="1" applyAlignment="1">
      <alignment vertical="center" wrapText="1"/>
    </xf>
    <xf numFmtId="0" fontId="9" fillId="0" borderId="11" xfId="0" applyFont="1" applyBorder="1" applyAlignment="1">
      <alignment horizontal="center"/>
    </xf>
    <xf numFmtId="0" fontId="2" fillId="0" borderId="10" xfId="0" applyNumberFormat="1" applyFont="1" applyFill="1" applyBorder="1" applyAlignment="1">
      <alignment horizontal="left" vertical="center" wrapText="1" indent="1"/>
    </xf>
    <xf numFmtId="0" fontId="2" fillId="0" borderId="11" xfId="0" applyNumberFormat="1" applyFont="1" applyFill="1" applyBorder="1" applyAlignment="1">
      <alignment horizontal="left" vertical="center" wrapText="1" indent="1"/>
    </xf>
    <xf numFmtId="14" fontId="4" fillId="0" borderId="0" xfId="0" applyNumberFormat="1" applyFont="1"/>
    <xf numFmtId="0" fontId="5" fillId="0" borderId="0" xfId="0" applyFont="1" applyAlignment="1">
      <alignment horizontal="center" wrapText="1"/>
    </xf>
    <xf numFmtId="0" fontId="4" fillId="3" borderId="46" xfId="0" applyFont="1" applyFill="1" applyBorder="1"/>
    <xf numFmtId="0" fontId="4" fillId="3" borderId="103" xfId="0" applyFont="1" applyFill="1" applyBorder="1" applyAlignment="1">
      <alignment wrapText="1"/>
    </xf>
    <xf numFmtId="0" fontId="4" fillId="3" borderId="104" xfId="0" applyFont="1" applyFill="1" applyBorder="1"/>
    <xf numFmtId="0" fontId="5" fillId="3" borderId="8" xfId="0" applyFont="1" applyFill="1" applyBorder="1" applyAlignment="1">
      <alignment horizontal="center" wrapText="1"/>
    </xf>
    <xf numFmtId="0" fontId="4" fillId="0" borderId="85" xfId="0" applyFont="1" applyFill="1" applyBorder="1" applyAlignment="1">
      <alignment horizontal="center"/>
    </xf>
    <xf numFmtId="0" fontId="4" fillId="0" borderId="85" xfId="0" applyFont="1" applyBorder="1" applyAlignment="1">
      <alignment horizontal="center"/>
    </xf>
    <xf numFmtId="0" fontId="4" fillId="3" borderId="50" xfId="0" applyFont="1" applyFill="1" applyBorder="1"/>
    <xf numFmtId="0" fontId="5" fillId="3" borderId="0" xfId="0" applyFont="1" applyFill="1" applyBorder="1" applyAlignment="1">
      <alignment horizontal="center" wrapText="1"/>
    </xf>
    <xf numFmtId="0" fontId="4" fillId="3" borderId="0" xfId="0" applyFont="1" applyFill="1" applyBorder="1" applyAlignment="1">
      <alignment horizontal="center"/>
    </xf>
    <xf numFmtId="0" fontId="4" fillId="3" borderId="79" xfId="0" applyFont="1" applyFill="1" applyBorder="1" applyAlignment="1">
      <alignment horizontal="center" vertical="center" wrapText="1"/>
    </xf>
    <xf numFmtId="0" fontId="4" fillId="0" borderId="100" xfId="0" applyFont="1" applyBorder="1"/>
    <xf numFmtId="0" fontId="4" fillId="0" borderId="85" xfId="0" applyFont="1" applyBorder="1" applyAlignment="1">
      <alignment wrapText="1"/>
    </xf>
    <xf numFmtId="164" fontId="4" fillId="0" borderId="85" xfId="7" applyNumberFormat="1" applyFont="1" applyBorder="1"/>
    <xf numFmtId="164" fontId="4" fillId="0" borderId="98" xfId="7" applyNumberFormat="1" applyFont="1" applyBorder="1"/>
    <xf numFmtId="0" fontId="13" fillId="0" borderId="85" xfId="0" applyFont="1" applyBorder="1" applyAlignment="1">
      <alignment horizontal="left" wrapText="1" indent="2"/>
    </xf>
    <xf numFmtId="169" fontId="25" fillId="37" borderId="85" xfId="20" applyBorder="1"/>
    <xf numFmtId="164" fontId="4" fillId="0" borderId="85" xfId="7" applyNumberFormat="1" applyFont="1" applyBorder="1" applyAlignment="1">
      <alignment vertical="center"/>
    </xf>
    <xf numFmtId="0" fontId="5" fillId="0" borderId="100" xfId="0" applyFont="1" applyBorder="1"/>
    <xf numFmtId="0" fontId="5" fillId="0" borderId="85" xfId="0" applyFont="1" applyBorder="1" applyAlignment="1">
      <alignment wrapText="1"/>
    </xf>
    <xf numFmtId="164" fontId="5" fillId="0" borderId="98" xfId="7" applyNumberFormat="1" applyFont="1" applyBorder="1"/>
    <xf numFmtId="0" fontId="3" fillId="3" borderId="50"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79" xfId="7" applyNumberFormat="1" applyFont="1" applyFill="1" applyBorder="1"/>
    <xf numFmtId="164" fontId="4" fillId="0" borderId="85" xfId="7" applyNumberFormat="1" applyFont="1" applyFill="1" applyBorder="1"/>
    <xf numFmtId="164" fontId="4" fillId="0" borderId="85" xfId="7" applyNumberFormat="1" applyFont="1" applyFill="1" applyBorder="1" applyAlignment="1">
      <alignment vertical="center"/>
    </xf>
    <xf numFmtId="0" fontId="13" fillId="0" borderId="85"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79" xfId="0" applyFont="1" applyFill="1" applyBorder="1"/>
    <xf numFmtId="0" fontId="5" fillId="0" borderId="15" xfId="0" applyFont="1" applyBorder="1"/>
    <xf numFmtId="0" fontId="5" fillId="0" borderId="16" xfId="0" applyFont="1" applyBorder="1" applyAlignment="1">
      <alignment wrapText="1"/>
    </xf>
    <xf numFmtId="169" fontId="25" fillId="37" borderId="101" xfId="20" applyBorder="1"/>
    <xf numFmtId="10" fontId="5" fillId="0" borderId="17" xfId="20961" applyNumberFormat="1" applyFont="1" applyBorder="1"/>
    <xf numFmtId="0" fontId="5" fillId="3" borderId="0" xfId="0" applyFont="1" applyFill="1" applyBorder="1" applyAlignment="1">
      <alignment horizontal="center"/>
    </xf>
    <xf numFmtId="0" fontId="105" fillId="0" borderId="73" xfId="0" applyFont="1" applyFill="1" applyBorder="1" applyAlignment="1">
      <alignment horizontal="left" vertical="center"/>
    </xf>
    <xf numFmtId="0" fontId="105" fillId="0" borderId="71" xfId="0" applyFont="1" applyFill="1" applyBorder="1" applyAlignment="1">
      <alignment vertical="center" wrapText="1"/>
    </xf>
    <xf numFmtId="0" fontId="105" fillId="0" borderId="71" xfId="0" applyFont="1" applyFill="1" applyBorder="1" applyAlignment="1">
      <alignment horizontal="left" vertical="center" wrapText="1"/>
    </xf>
    <xf numFmtId="0" fontId="115" fillId="0" borderId="0" xfId="11" applyFont="1" applyFill="1" applyBorder="1" applyProtection="1"/>
    <xf numFmtId="0" fontId="116" fillId="0" borderId="0" xfId="0" applyFont="1"/>
    <xf numFmtId="0" fontId="115" fillId="0" borderId="0" xfId="11" applyFont="1" applyFill="1" applyBorder="1" applyAlignment="1" applyProtection="1"/>
    <xf numFmtId="0" fontId="117" fillId="0" borderId="0" xfId="11" applyFont="1" applyFill="1" applyBorder="1" applyAlignment="1" applyProtection="1"/>
    <xf numFmtId="14" fontId="116" fillId="0" borderId="0" xfId="0" applyNumberFormat="1" applyFont="1"/>
    <xf numFmtId="0" fontId="116" fillId="0" borderId="0" xfId="0" applyFont="1" applyAlignment="1">
      <alignment wrapText="1"/>
    </xf>
    <xf numFmtId="0" fontId="119" fillId="0" borderId="0" xfId="0" applyFont="1"/>
    <xf numFmtId="0" fontId="116" fillId="0" borderId="0" xfId="0" applyFont="1" applyFill="1"/>
    <xf numFmtId="0" fontId="116" fillId="0" borderId="0" xfId="0" applyFont="1" applyBorder="1"/>
    <xf numFmtId="0" fontId="116" fillId="0" borderId="0" xfId="0" applyFont="1" applyBorder="1" applyAlignment="1">
      <alignment horizontal="left"/>
    </xf>
    <xf numFmtId="0" fontId="118" fillId="0" borderId="114" xfId="0" applyNumberFormat="1" applyFont="1" applyFill="1" applyBorder="1" applyAlignment="1">
      <alignment horizontal="left" vertical="center" wrapText="1"/>
    </xf>
    <xf numFmtId="0" fontId="124" fillId="0" borderId="0" xfId="0" applyFont="1"/>
    <xf numFmtId="49" fontId="105" fillId="0" borderId="85" xfId="0" applyNumberFormat="1" applyFont="1" applyFill="1" applyBorder="1" applyAlignment="1">
      <alignment horizontal="right" vertical="center"/>
    </xf>
    <xf numFmtId="0" fontId="125" fillId="0" borderId="0" xfId="0" applyFont="1" applyFill="1" applyBorder="1" applyAlignment="1"/>
    <xf numFmtId="0" fontId="116" fillId="0" borderId="0" xfId="0" applyFont="1" applyBorder="1" applyAlignment="1">
      <alignment horizontal="left" indent="1"/>
    </xf>
    <xf numFmtId="0" fontId="116" fillId="0" borderId="0" xfId="0" applyFont="1" applyBorder="1" applyAlignment="1">
      <alignment horizontal="left" indent="2"/>
    </xf>
    <xf numFmtId="49" fontId="116" fillId="0" borderId="0" xfId="0" applyNumberFormat="1" applyFont="1" applyBorder="1" applyAlignment="1">
      <alignment horizontal="left" indent="3"/>
    </xf>
    <xf numFmtId="49" fontId="116" fillId="0" borderId="0" xfId="0" applyNumberFormat="1" applyFont="1" applyBorder="1" applyAlignment="1">
      <alignment horizontal="left" indent="1"/>
    </xf>
    <xf numFmtId="49" fontId="116" fillId="0" borderId="0" xfId="0" applyNumberFormat="1" applyFont="1" applyBorder="1" applyAlignment="1">
      <alignment horizontal="left" wrapText="1" indent="2"/>
    </xf>
    <xf numFmtId="49" fontId="116" fillId="0" borderId="0" xfId="0" applyNumberFormat="1" applyFont="1" applyFill="1" applyBorder="1" applyAlignment="1">
      <alignment horizontal="left" wrapText="1" indent="3"/>
    </xf>
    <xf numFmtId="0" fontId="116" fillId="0" borderId="0" xfId="0" applyNumberFormat="1" applyFont="1" applyFill="1" applyBorder="1" applyAlignment="1">
      <alignment horizontal="left" wrapText="1" indent="1"/>
    </xf>
    <xf numFmtId="0" fontId="116" fillId="0" borderId="0" xfId="0" applyFont="1" applyFill="1" applyAlignment="1">
      <alignment horizontal="left" vertical="top" wrapText="1"/>
    </xf>
    <xf numFmtId="0" fontId="0" fillId="0" borderId="0" xfId="0" applyAlignment="1">
      <alignment horizontal="left" vertical="center"/>
    </xf>
    <xf numFmtId="0" fontId="0" fillId="0" borderId="0" xfId="0" applyAlignment="1">
      <alignment horizontal="center"/>
    </xf>
    <xf numFmtId="193" fontId="8" fillId="0" borderId="0" xfId="0" applyNumberFormat="1" applyFont="1" applyFill="1" applyBorder="1" applyAlignment="1" applyProtection="1">
      <alignment horizontal="right"/>
    </xf>
    <xf numFmtId="49" fontId="105" fillId="0" borderId="121" xfId="0" applyNumberFormat="1" applyFont="1" applyFill="1" applyBorder="1" applyAlignment="1">
      <alignment horizontal="right" vertical="center"/>
    </xf>
    <xf numFmtId="0" fontId="119" fillId="0" borderId="121" xfId="0" applyFont="1" applyBorder="1"/>
    <xf numFmtId="49" fontId="121" fillId="0" borderId="121" xfId="5" applyNumberFormat="1" applyFont="1" applyFill="1" applyBorder="1" applyAlignment="1" applyProtection="1">
      <alignment horizontal="right" vertical="center"/>
      <protection locked="0"/>
    </xf>
    <xf numFmtId="0" fontId="120" fillId="3" borderId="121" xfId="13" applyFont="1" applyFill="1" applyBorder="1" applyAlignment="1" applyProtection="1">
      <alignment horizontal="left" vertical="center" wrapText="1"/>
      <protection locked="0"/>
    </xf>
    <xf numFmtId="49" fontId="120" fillId="3" borderId="121" xfId="5" applyNumberFormat="1" applyFont="1" applyFill="1" applyBorder="1" applyAlignment="1" applyProtection="1">
      <alignment horizontal="right" vertical="center"/>
      <protection locked="0"/>
    </xf>
    <xf numFmtId="0" fontId="120" fillId="0" borderId="121" xfId="13" applyFont="1" applyFill="1" applyBorder="1" applyAlignment="1" applyProtection="1">
      <alignment horizontal="left" vertical="center" wrapText="1"/>
      <protection locked="0"/>
    </xf>
    <xf numFmtId="49" fontId="120" fillId="0" borderId="121" xfId="5" applyNumberFormat="1" applyFont="1" applyFill="1" applyBorder="1" applyAlignment="1" applyProtection="1">
      <alignment horizontal="right" vertical="center"/>
      <protection locked="0"/>
    </xf>
    <xf numFmtId="0" fontId="122" fillId="0" borderId="121" xfId="13" applyFont="1" applyFill="1" applyBorder="1" applyAlignment="1" applyProtection="1">
      <alignment horizontal="left" vertical="center" wrapText="1"/>
      <protection locked="0"/>
    </xf>
    <xf numFmtId="166" fontId="115" fillId="36" borderId="127" xfId="21413" applyFont="1" applyFill="1" applyBorder="1"/>
    <xf numFmtId="0" fontId="115" fillId="0" borderId="127" xfId="0" applyFont="1" applyBorder="1"/>
    <xf numFmtId="0" fontId="115" fillId="0" borderId="127" xfId="0" applyFont="1" applyFill="1" applyBorder="1"/>
    <xf numFmtId="0" fontId="115" fillId="0" borderId="127" xfId="0" applyFont="1" applyBorder="1" applyAlignment="1">
      <alignment horizontal="left" indent="8"/>
    </xf>
    <xf numFmtId="0" fontId="115" fillId="0" borderId="127" xfId="0" applyFont="1" applyBorder="1" applyAlignment="1">
      <alignment wrapText="1"/>
    </xf>
    <xf numFmtId="0" fontId="118" fillId="0" borderId="127" xfId="0" applyFont="1" applyBorder="1"/>
    <xf numFmtId="49" fontId="121" fillId="0" borderId="127" xfId="5" applyNumberFormat="1" applyFont="1" applyFill="1" applyBorder="1" applyAlignment="1" applyProtection="1">
      <alignment horizontal="right" vertical="center" wrapText="1"/>
      <protection locked="0"/>
    </xf>
    <xf numFmtId="49" fontId="120" fillId="3" borderId="127" xfId="5" applyNumberFormat="1" applyFont="1" applyFill="1" applyBorder="1" applyAlignment="1" applyProtection="1">
      <alignment horizontal="right" vertical="center" wrapText="1"/>
      <protection locked="0"/>
    </xf>
    <xf numFmtId="49" fontId="120" fillId="0" borderId="127" xfId="5" applyNumberFormat="1" applyFont="1" applyFill="1" applyBorder="1" applyAlignment="1" applyProtection="1">
      <alignment horizontal="right" vertical="center" wrapText="1"/>
      <protection locked="0"/>
    </xf>
    <xf numFmtId="0" fontId="115" fillId="0" borderId="127" xfId="0" applyFont="1" applyBorder="1" applyAlignment="1">
      <alignment horizontal="center" vertical="center" wrapText="1"/>
    </xf>
    <xf numFmtId="0" fontId="115" fillId="0" borderId="128" xfId="0" applyFont="1" applyFill="1" applyBorder="1" applyAlignment="1">
      <alignment horizontal="center" vertical="center" wrapText="1"/>
    </xf>
    <xf numFmtId="0" fontId="115" fillId="0" borderId="127" xfId="0" applyFont="1" applyBorder="1" applyAlignment="1">
      <alignment horizontal="center" vertical="center"/>
    </xf>
    <xf numFmtId="0" fontId="115" fillId="0" borderId="0" xfId="0" applyFont="1"/>
    <xf numFmtId="0" fontId="115" fillId="0" borderId="0" xfId="0" applyFont="1" applyAlignment="1">
      <alignment wrapText="1"/>
    </xf>
    <xf numFmtId="14" fontId="115" fillId="0" borderId="0" xfId="0" applyNumberFormat="1" applyFont="1"/>
    <xf numFmtId="0" fontId="118" fillId="0" borderId="127" xfId="0" applyFont="1" applyFill="1" applyBorder="1"/>
    <xf numFmtId="0" fontId="115" fillId="0" borderId="127" xfId="0" applyNumberFormat="1" applyFont="1" applyFill="1" applyBorder="1" applyAlignment="1">
      <alignment horizontal="left" vertical="center" wrapText="1"/>
    </xf>
    <xf numFmtId="0" fontId="118" fillId="0" borderId="127" xfId="0" applyFont="1" applyFill="1" applyBorder="1" applyAlignment="1">
      <alignment horizontal="left" wrapText="1" indent="1"/>
    </xf>
    <xf numFmtId="0" fontId="118" fillId="0" borderId="127" xfId="0" applyFont="1" applyFill="1" applyBorder="1" applyAlignment="1">
      <alignment horizontal="left" vertical="center" indent="1"/>
    </xf>
    <xf numFmtId="0" fontId="115" fillId="0" borderId="127" xfId="0" applyFont="1" applyFill="1" applyBorder="1" applyAlignment="1">
      <alignment horizontal="left" wrapText="1" indent="1"/>
    </xf>
    <xf numFmtId="0" fontId="115" fillId="0" borderId="127" xfId="0" applyFont="1" applyFill="1" applyBorder="1" applyAlignment="1">
      <alignment horizontal="left" indent="1"/>
    </xf>
    <xf numFmtId="0" fontId="115" fillId="0" borderId="127" xfId="0" applyFont="1" applyFill="1" applyBorder="1" applyAlignment="1">
      <alignment horizontal="left" wrapText="1" indent="4"/>
    </xf>
    <xf numFmtId="0" fontId="115" fillId="0" borderId="127" xfId="0" applyNumberFormat="1" applyFont="1" applyFill="1" applyBorder="1" applyAlignment="1">
      <alignment horizontal="left" indent="3"/>
    </xf>
    <xf numFmtId="0" fontId="118" fillId="0" borderId="127" xfId="0" applyFont="1" applyFill="1" applyBorder="1" applyAlignment="1">
      <alignment horizontal="left" indent="1"/>
    </xf>
    <xf numFmtId="0" fontId="119" fillId="0" borderId="127" xfId="0" applyFont="1" applyFill="1" applyBorder="1" applyAlignment="1">
      <alignment horizontal="center" vertical="center" wrapText="1"/>
    </xf>
    <xf numFmtId="0" fontId="115" fillId="80" borderId="127" xfId="0" applyFont="1" applyFill="1" applyBorder="1"/>
    <xf numFmtId="0" fontId="118" fillId="0" borderId="4" xfId="0" applyFont="1" applyBorder="1"/>
    <xf numFmtId="0" fontId="115" fillId="0" borderId="127" xfId="0" applyFont="1" applyFill="1" applyBorder="1" applyAlignment="1">
      <alignment horizontal="left" wrapText="1" indent="2"/>
    </xf>
    <xf numFmtId="0" fontId="115" fillId="0" borderId="127" xfId="0" applyFont="1" applyFill="1" applyBorder="1" applyAlignment="1">
      <alignment horizontal="left" wrapText="1"/>
    </xf>
    <xf numFmtId="0" fontId="115" fillId="0" borderId="0" xfId="0" applyFont="1" applyBorder="1"/>
    <xf numFmtId="0" fontId="118" fillId="84" borderId="127" xfId="0" applyFont="1" applyFill="1" applyBorder="1"/>
    <xf numFmtId="0" fontId="115" fillId="0" borderId="127" xfId="0" applyFont="1" applyBorder="1" applyAlignment="1">
      <alignment horizontal="left" indent="1"/>
    </xf>
    <xf numFmtId="0" fontId="115" fillId="0" borderId="127" xfId="0" applyFont="1" applyBorder="1" applyAlignment="1">
      <alignment horizontal="center"/>
    </xf>
    <xf numFmtId="0" fontId="115" fillId="0" borderId="0" xfId="0" applyFont="1" applyBorder="1" applyAlignment="1">
      <alignment horizontal="center" vertical="center"/>
    </xf>
    <xf numFmtId="0" fontId="115" fillId="0" borderId="127" xfId="0" applyFont="1" applyFill="1" applyBorder="1" applyAlignment="1">
      <alignment horizontal="center" vertical="center" wrapText="1"/>
    </xf>
    <xf numFmtId="0" fontId="115" fillId="0" borderId="4" xfId="0" applyFont="1" applyBorder="1" applyAlignment="1">
      <alignment horizontal="center" vertical="center" wrapText="1"/>
    </xf>
    <xf numFmtId="0" fontId="115" fillId="0" borderId="8" xfId="0" applyFont="1" applyBorder="1" applyAlignment="1">
      <alignment horizontal="center" vertical="center" wrapText="1"/>
    </xf>
    <xf numFmtId="0" fontId="115" fillId="0" borderId="45" xfId="0" applyFont="1" applyBorder="1" applyAlignment="1">
      <alignment wrapText="1"/>
    </xf>
    <xf numFmtId="0" fontId="115" fillId="0" borderId="4" xfId="0" applyFont="1" applyBorder="1" applyAlignment="1">
      <alignment wrapText="1"/>
    </xf>
    <xf numFmtId="0" fontId="115" fillId="0" borderId="0" xfId="0" applyFont="1" applyBorder="1" applyAlignment="1">
      <alignment horizontal="center" vertical="center" wrapText="1"/>
    </xf>
    <xf numFmtId="0" fontId="115" fillId="0" borderId="126" xfId="0" applyFont="1" applyFill="1" applyBorder="1" applyAlignment="1">
      <alignment horizontal="center" vertical="center" wrapText="1"/>
    </xf>
    <xf numFmtId="0" fontId="115" fillId="0" borderId="0" xfId="0" applyFont="1" applyFill="1" applyBorder="1" applyAlignment="1">
      <alignment horizontal="center" vertical="center" wrapText="1"/>
    </xf>
    <xf numFmtId="0" fontId="115" fillId="0" borderId="129" xfId="0" applyFont="1" applyFill="1" applyBorder="1" applyAlignment="1">
      <alignment horizontal="center" vertical="center" wrapText="1"/>
    </xf>
    <xf numFmtId="0" fontId="115" fillId="0" borderId="125" xfId="0" applyFont="1" applyFill="1" applyBorder="1" applyAlignment="1">
      <alignment horizontal="center" vertical="center" wrapText="1"/>
    </xf>
    <xf numFmtId="0" fontId="115" fillId="0" borderId="0" xfId="0" applyFont="1" applyFill="1"/>
    <xf numFmtId="49" fontId="115" fillId="0" borderId="133" xfId="0" applyNumberFormat="1" applyFont="1" applyFill="1" applyBorder="1" applyAlignment="1">
      <alignment horizontal="left" wrapText="1" indent="1"/>
    </xf>
    <xf numFmtId="0" fontId="115" fillId="0" borderId="135" xfId="0" applyNumberFormat="1" applyFont="1" applyFill="1" applyBorder="1" applyAlignment="1">
      <alignment horizontal="left" wrapText="1" indent="1"/>
    </xf>
    <xf numFmtId="49" fontId="115" fillId="0" borderId="136" xfId="0" applyNumberFormat="1" applyFont="1" applyFill="1" applyBorder="1" applyAlignment="1">
      <alignment horizontal="left" wrapText="1" indent="1"/>
    </xf>
    <xf numFmtId="0" fontId="115" fillId="0" borderId="137" xfId="0" applyNumberFormat="1" applyFont="1" applyFill="1" applyBorder="1" applyAlignment="1">
      <alignment horizontal="left" wrapText="1" indent="1"/>
    </xf>
    <xf numFmtId="49" fontId="115" fillId="0" borderId="137" xfId="0" applyNumberFormat="1" applyFont="1" applyFill="1" applyBorder="1" applyAlignment="1">
      <alignment horizontal="left" wrapText="1" indent="3"/>
    </xf>
    <xf numFmtId="49" fontId="115" fillId="0" borderId="136" xfId="0" applyNumberFormat="1" applyFont="1" applyFill="1" applyBorder="1" applyAlignment="1">
      <alignment horizontal="left" wrapText="1" indent="3"/>
    </xf>
    <xf numFmtId="49" fontId="115" fillId="0" borderId="136" xfId="0" applyNumberFormat="1" applyFont="1" applyFill="1" applyBorder="1" applyAlignment="1">
      <alignment horizontal="left" wrapText="1" indent="2"/>
    </xf>
    <xf numFmtId="49" fontId="115" fillId="0" borderId="137" xfId="0" applyNumberFormat="1" applyFont="1" applyBorder="1" applyAlignment="1">
      <alignment horizontal="left" wrapText="1" indent="2"/>
    </xf>
    <xf numFmtId="49" fontId="115" fillId="0" borderId="136" xfId="0" applyNumberFormat="1" applyFont="1" applyFill="1" applyBorder="1" applyAlignment="1">
      <alignment horizontal="left" vertical="top" wrapText="1" indent="2"/>
    </xf>
    <xf numFmtId="49" fontId="115" fillId="0" borderId="136" xfId="0" applyNumberFormat="1" applyFont="1" applyFill="1" applyBorder="1" applyAlignment="1">
      <alignment horizontal="left" indent="1"/>
    </xf>
    <xf numFmtId="0" fontId="115" fillId="0" borderId="137" xfId="0" applyNumberFormat="1" applyFont="1" applyBorder="1" applyAlignment="1">
      <alignment horizontal="left" indent="1"/>
    </xf>
    <xf numFmtId="49" fontId="115" fillId="0" borderId="137" xfId="0" applyNumberFormat="1" applyFont="1" applyBorder="1" applyAlignment="1">
      <alignment horizontal="left" indent="1"/>
    </xf>
    <xf numFmtId="49" fontId="115" fillId="0" borderId="136" xfId="0" applyNumberFormat="1" applyFont="1" applyFill="1" applyBorder="1" applyAlignment="1">
      <alignment horizontal="left" indent="3"/>
    </xf>
    <xf numFmtId="49" fontId="115" fillId="0" borderId="137" xfId="0" applyNumberFormat="1" applyFont="1" applyBorder="1" applyAlignment="1">
      <alignment horizontal="left" indent="3"/>
    </xf>
    <xf numFmtId="0" fontId="115" fillId="0" borderId="137" xfId="0" applyFont="1" applyBorder="1" applyAlignment="1">
      <alignment horizontal="left" indent="2"/>
    </xf>
    <xf numFmtId="0" fontId="115" fillId="0" borderId="136" xfId="0" applyFont="1" applyBorder="1" applyAlignment="1">
      <alignment horizontal="left" indent="2"/>
    </xf>
    <xf numFmtId="0" fontId="115" fillId="0" borderId="137" xfId="0" applyFont="1" applyBorder="1" applyAlignment="1">
      <alignment horizontal="left" indent="1"/>
    </xf>
    <xf numFmtId="0" fontId="115" fillId="0" borderId="136" xfId="0" applyFont="1" applyBorder="1" applyAlignment="1">
      <alignment horizontal="left" indent="1"/>
    </xf>
    <xf numFmtId="0" fontId="115" fillId="0" borderId="0" xfId="0" applyFont="1" applyBorder="1" applyAlignment="1">
      <alignment wrapText="1"/>
    </xf>
    <xf numFmtId="0" fontId="115" fillId="0" borderId="0" xfId="0" applyFont="1" applyAlignment="1">
      <alignment horizontal="center" vertical="center"/>
    </xf>
    <xf numFmtId="0" fontId="118" fillId="0" borderId="127" xfId="0" applyNumberFormat="1" applyFont="1" applyFill="1" applyBorder="1" applyAlignment="1">
      <alignment horizontal="left" vertical="center" wrapText="1"/>
    </xf>
    <xf numFmtId="0" fontId="115" fillId="0" borderId="4" xfId="0" applyFont="1" applyFill="1" applyBorder="1" applyAlignment="1">
      <alignment horizontal="center" vertical="center" wrapText="1"/>
    </xf>
    <xf numFmtId="0" fontId="8" fillId="0" borderId="0" xfId="0" applyFont="1" applyFill="1" applyBorder="1" applyAlignment="1">
      <alignment wrapText="1"/>
    </xf>
    <xf numFmtId="0" fontId="120" fillId="0" borderId="127" xfId="0" applyFont="1" applyBorder="1"/>
    <xf numFmtId="0" fontId="118" fillId="0" borderId="127" xfId="0" applyFont="1" applyBorder="1" applyAlignment="1">
      <alignment horizontal="center" vertical="center" wrapText="1"/>
    </xf>
    <xf numFmtId="0" fontId="120" fillId="0" borderId="0" xfId="0" applyFont="1" applyAlignment="1">
      <alignment horizontal="center" vertical="center"/>
    </xf>
    <xf numFmtId="0" fontId="120" fillId="0" borderId="0" xfId="0" applyFont="1"/>
    <xf numFmtId="0" fontId="138" fillId="0" borderId="0" xfId="0" applyFont="1"/>
    <xf numFmtId="0" fontId="115" fillId="0" borderId="119" xfId="0" applyNumberFormat="1" applyFont="1" applyFill="1" applyBorder="1" applyAlignment="1">
      <alignment horizontal="left" vertical="center" wrapText="1" indent="1" readingOrder="1"/>
    </xf>
    <xf numFmtId="0" fontId="120" fillId="0" borderId="127" xfId="0" applyFont="1" applyBorder="1" applyAlignment="1">
      <alignment horizontal="left" indent="3"/>
    </xf>
    <xf numFmtId="0" fontId="118" fillId="0" borderId="127" xfId="0" applyNumberFormat="1" applyFont="1" applyFill="1" applyBorder="1" applyAlignment="1">
      <alignment vertical="center" wrapText="1" readingOrder="1"/>
    </xf>
    <xf numFmtId="0" fontId="120" fillId="0" borderId="127" xfId="0" applyFont="1" applyFill="1" applyBorder="1" applyAlignment="1">
      <alignment horizontal="left" indent="2"/>
    </xf>
    <xf numFmtId="0" fontId="115" fillId="0" borderId="120" xfId="0" applyNumberFormat="1" applyFont="1" applyFill="1" applyBorder="1" applyAlignment="1">
      <alignment vertical="center" wrapText="1" readingOrder="1"/>
    </xf>
    <xf numFmtId="0" fontId="120" fillId="0" borderId="128" xfId="0" applyFont="1" applyBorder="1" applyAlignment="1">
      <alignment horizontal="left" indent="2"/>
    </xf>
    <xf numFmtId="0" fontId="115" fillId="0" borderId="119" xfId="0" applyNumberFormat="1" applyFont="1" applyFill="1" applyBorder="1" applyAlignment="1">
      <alignment vertical="center" wrapText="1" readingOrder="1"/>
    </xf>
    <xf numFmtId="0" fontId="120" fillId="0" borderId="127" xfId="0" applyFont="1" applyBorder="1" applyAlignment="1">
      <alignment horizontal="left" indent="2"/>
    </xf>
    <xf numFmtId="0" fontId="115" fillId="0" borderId="118" xfId="0" applyNumberFormat="1" applyFont="1" applyFill="1" applyBorder="1" applyAlignment="1">
      <alignment vertical="center" wrapText="1" readingOrder="1"/>
    </xf>
    <xf numFmtId="0" fontId="138" fillId="0" borderId="4" xfId="0" applyFont="1" applyBorder="1"/>
    <xf numFmtId="0" fontId="105" fillId="0" borderId="127" xfId="0" applyFont="1" applyFill="1" applyBorder="1" applyAlignment="1">
      <alignment vertical="center" wrapText="1"/>
    </xf>
    <xf numFmtId="0" fontId="105" fillId="0" borderId="127" xfId="0" applyFont="1" applyBorder="1" applyAlignment="1">
      <alignment horizontal="left" vertical="center" wrapText="1"/>
    </xf>
    <xf numFmtId="0" fontId="105" fillId="0" borderId="127" xfId="0" applyFont="1" applyBorder="1" applyAlignment="1">
      <alignment horizontal="left" indent="2"/>
    </xf>
    <xf numFmtId="0" fontId="105" fillId="0" borderId="127" xfId="0" applyNumberFormat="1" applyFont="1" applyFill="1" applyBorder="1" applyAlignment="1">
      <alignment vertical="center" wrapText="1"/>
    </xf>
    <xf numFmtId="0" fontId="105" fillId="0" borderId="127" xfId="0" applyNumberFormat="1" applyFont="1" applyFill="1" applyBorder="1" applyAlignment="1">
      <alignment horizontal="left" vertical="center" indent="1"/>
    </xf>
    <xf numFmtId="0" fontId="105" fillId="0" borderId="127" xfId="0" applyNumberFormat="1" applyFont="1" applyFill="1" applyBorder="1" applyAlignment="1">
      <alignment horizontal="left" vertical="center" wrapText="1" indent="1"/>
    </xf>
    <xf numFmtId="0" fontId="105" fillId="0" borderId="127" xfId="0" applyNumberFormat="1" applyFont="1" applyFill="1" applyBorder="1" applyAlignment="1">
      <alignment horizontal="right" vertical="center"/>
    </xf>
    <xf numFmtId="49" fontId="105" fillId="0" borderId="127" xfId="0" applyNumberFormat="1" applyFont="1" applyFill="1" applyBorder="1" applyAlignment="1">
      <alignment horizontal="right" vertical="center"/>
    </xf>
    <xf numFmtId="0" fontId="105" fillId="0" borderId="128" xfId="0" applyNumberFormat="1" applyFont="1" applyFill="1" applyBorder="1" applyAlignment="1">
      <alignment horizontal="left" vertical="top" wrapText="1"/>
    </xf>
    <xf numFmtId="49" fontId="105" fillId="0" borderId="127" xfId="0" applyNumberFormat="1" applyFont="1" applyFill="1" applyBorder="1" applyAlignment="1">
      <alignment vertical="top" wrapText="1"/>
    </xf>
    <xf numFmtId="49" fontId="105" fillId="0" borderId="127" xfId="0" applyNumberFormat="1" applyFont="1" applyFill="1" applyBorder="1" applyAlignment="1">
      <alignment horizontal="left" vertical="top" wrapText="1" indent="2"/>
    </xf>
    <xf numFmtId="49" fontId="105" fillId="0" borderId="127" xfId="0" applyNumberFormat="1" applyFont="1" applyFill="1" applyBorder="1" applyAlignment="1">
      <alignment horizontal="left" vertical="center" wrapText="1" indent="3"/>
    </xf>
    <xf numFmtId="49" fontId="105" fillId="0" borderId="127" xfId="0" applyNumberFormat="1" applyFont="1" applyFill="1" applyBorder="1" applyAlignment="1">
      <alignment horizontal="left" wrapText="1" indent="2"/>
    </xf>
    <xf numFmtId="49" fontId="105" fillId="0" borderId="127" xfId="0" applyNumberFormat="1" applyFont="1" applyFill="1" applyBorder="1" applyAlignment="1">
      <alignment horizontal="left" vertical="top" wrapText="1"/>
    </xf>
    <xf numFmtId="49" fontId="105" fillId="0" borderId="127" xfId="0" applyNumberFormat="1" applyFont="1" applyFill="1" applyBorder="1" applyAlignment="1">
      <alignment horizontal="left" wrapText="1" indent="3"/>
    </xf>
    <xf numFmtId="49" fontId="105" fillId="0" borderId="127" xfId="0" applyNumberFormat="1" applyFont="1" applyFill="1" applyBorder="1" applyAlignment="1">
      <alignment vertical="center"/>
    </xf>
    <xf numFmtId="0" fontId="105" fillId="0" borderId="127" xfId="0" applyFont="1" applyFill="1" applyBorder="1" applyAlignment="1">
      <alignment horizontal="left" vertical="center" wrapText="1"/>
    </xf>
    <xf numFmtId="49" fontId="105" fillId="0" borderId="127" xfId="0" applyNumberFormat="1" applyFont="1" applyFill="1" applyBorder="1" applyAlignment="1">
      <alignment horizontal="left" indent="3"/>
    </xf>
    <xf numFmtId="0" fontId="105" fillId="0" borderId="127" xfId="0" applyFont="1" applyBorder="1" applyAlignment="1">
      <alignment horizontal="left" indent="1"/>
    </xf>
    <xf numFmtId="0" fontId="105" fillId="0" borderId="127" xfId="0" applyNumberFormat="1" applyFont="1" applyFill="1" applyBorder="1" applyAlignment="1">
      <alignment horizontal="left" vertical="center" wrapText="1"/>
    </xf>
    <xf numFmtId="0" fontId="105" fillId="0" borderId="127" xfId="0" applyFont="1" applyFill="1" applyBorder="1" applyAlignment="1">
      <alignment horizontal="left" wrapText="1" indent="2"/>
    </xf>
    <xf numFmtId="0" fontId="105" fillId="0" borderId="127" xfId="0" applyFont="1" applyBorder="1" applyAlignment="1">
      <alignment horizontal="left" vertical="top" wrapText="1"/>
    </xf>
    <xf numFmtId="0" fontId="104" fillId="0" borderId="4" xfId="0" applyFont="1" applyBorder="1" applyAlignment="1">
      <alignment wrapText="1"/>
    </xf>
    <xf numFmtId="0" fontId="105" fillId="0" borderId="127" xfId="0" applyFont="1" applyBorder="1" applyAlignment="1">
      <alignment horizontal="left" vertical="top" wrapText="1" indent="2"/>
    </xf>
    <xf numFmtId="0" fontId="105" fillId="0" borderId="127" xfId="0" applyFont="1" applyBorder="1" applyAlignment="1">
      <alignment horizontal="left" wrapText="1"/>
    </xf>
    <xf numFmtId="0" fontId="105" fillId="0" borderId="127" xfId="12672" applyFont="1" applyFill="1" applyBorder="1" applyAlignment="1">
      <alignment horizontal="left" vertical="center" wrapText="1" indent="2"/>
    </xf>
    <xf numFmtId="0" fontId="105" fillId="0" borderId="127" xfId="0" applyFont="1" applyBorder="1" applyAlignment="1">
      <alignment horizontal="left" wrapText="1" indent="2"/>
    </xf>
    <xf numFmtId="0" fontId="105" fillId="0" borderId="127" xfId="0" applyFont="1" applyBorder="1" applyAlignment="1">
      <alignment wrapText="1"/>
    </xf>
    <xf numFmtId="0" fontId="105" fillId="0" borderId="127" xfId="0" applyFont="1" applyBorder="1"/>
    <xf numFmtId="0" fontId="105" fillId="0" borderId="127" xfId="12672" applyFont="1" applyFill="1" applyBorder="1" applyAlignment="1">
      <alignment horizontal="left" vertical="center" wrapText="1"/>
    </xf>
    <xf numFmtId="0" fontId="104" fillId="0" borderId="127" xfId="0" applyFont="1" applyBorder="1" applyAlignment="1">
      <alignment wrapText="1"/>
    </xf>
    <xf numFmtId="0" fontId="105" fillId="0" borderId="129" xfId="0" applyNumberFormat="1" applyFont="1" applyFill="1" applyBorder="1" applyAlignment="1">
      <alignment horizontal="left" vertical="center" wrapText="1"/>
    </xf>
    <xf numFmtId="0" fontId="105" fillId="3" borderId="127" xfId="5" applyNumberFormat="1" applyFont="1" applyFill="1" applyBorder="1" applyAlignment="1" applyProtection="1">
      <alignment horizontal="right" vertical="center"/>
      <protection locked="0"/>
    </xf>
    <xf numFmtId="2" fontId="105" fillId="3" borderId="127" xfId="5" applyNumberFormat="1" applyFont="1" applyFill="1" applyBorder="1" applyAlignment="1" applyProtection="1">
      <alignment horizontal="right" vertical="center"/>
      <protection locked="0"/>
    </xf>
    <xf numFmtId="0" fontId="105" fillId="0" borderId="127" xfId="0" applyNumberFormat="1" applyFont="1" applyFill="1" applyBorder="1" applyAlignment="1">
      <alignment vertical="center"/>
    </xf>
    <xf numFmtId="0" fontId="105" fillId="0" borderId="129" xfId="13" applyFont="1" applyFill="1" applyBorder="1" applyAlignment="1" applyProtection="1">
      <alignment horizontal="left" vertical="top" wrapText="1"/>
      <protection locked="0"/>
    </xf>
    <xf numFmtId="0" fontId="105" fillId="0" borderId="130" xfId="13" applyFont="1" applyFill="1" applyBorder="1" applyAlignment="1" applyProtection="1">
      <alignment horizontal="left" vertical="top" wrapText="1"/>
      <protection locked="0"/>
    </xf>
    <xf numFmtId="0" fontId="105" fillId="0" borderId="128" xfId="0" applyFont="1" applyFill="1" applyBorder="1" applyAlignment="1">
      <alignment vertical="center" wrapText="1"/>
    </xf>
    <xf numFmtId="0" fontId="124" fillId="0" borderId="0" xfId="0" applyFont="1" applyBorder="1" applyAlignment="1">
      <alignment horizontal="left" indent="2"/>
    </xf>
    <xf numFmtId="0" fontId="115" fillId="0" borderId="0" xfId="0" applyNumberFormat="1" applyFont="1" applyFill="1" applyBorder="1" applyAlignment="1">
      <alignment horizontal="left" vertical="center" indent="1"/>
    </xf>
    <xf numFmtId="0" fontId="115" fillId="0" borderId="0" xfId="0" applyNumberFormat="1" applyFont="1" applyFill="1" applyBorder="1" applyAlignment="1">
      <alignment vertical="center" wrapText="1"/>
    </xf>
    <xf numFmtId="0" fontId="115" fillId="0" borderId="0" xfId="0" applyFont="1" applyFill="1" applyBorder="1" applyAlignment="1">
      <alignment vertical="center" wrapText="1"/>
    </xf>
    <xf numFmtId="0" fontId="126" fillId="0" borderId="0" xfId="0" applyNumberFormat="1" applyFont="1" applyFill="1" applyBorder="1" applyAlignment="1">
      <alignment horizontal="left" vertical="center" wrapText="1" readingOrder="1"/>
    </xf>
    <xf numFmtId="0" fontId="124" fillId="0" borderId="0" xfId="0" applyFont="1" applyBorder="1" applyAlignment="1">
      <alignment horizontal="left" vertical="center" wrapText="1"/>
    </xf>
    <xf numFmtId="0" fontId="115" fillId="0" borderId="0" xfId="0" applyFont="1" applyFill="1" applyBorder="1" applyAlignment="1">
      <alignment horizontal="left" vertical="center" wrapText="1"/>
    </xf>
    <xf numFmtId="0" fontId="105" fillId="0" borderId="128" xfId="0" applyFont="1" applyBorder="1" applyAlignment="1">
      <alignment horizontal="left" indent="2"/>
    </xf>
    <xf numFmtId="0" fontId="105" fillId="0" borderId="120" xfId="0" applyNumberFormat="1" applyFont="1" applyFill="1" applyBorder="1" applyAlignment="1">
      <alignment horizontal="left" vertical="center" wrapText="1" readingOrder="1"/>
    </xf>
    <xf numFmtId="0" fontId="105" fillId="0" borderId="127" xfId="0" applyNumberFormat="1" applyFont="1" applyFill="1" applyBorder="1" applyAlignment="1">
      <alignment horizontal="left" vertical="center" wrapText="1" readingOrder="1"/>
    </xf>
    <xf numFmtId="0" fontId="10" fillId="0" borderId="85" xfId="17" applyFill="1" applyBorder="1" applyAlignment="1" applyProtection="1">
      <alignment horizontal="left" vertical="top" wrapText="1"/>
    </xf>
    <xf numFmtId="0" fontId="6" fillId="83" borderId="127" xfId="13" applyFont="1" applyFill="1" applyBorder="1" applyAlignment="1" applyProtection="1">
      <alignment wrapText="1"/>
      <protection locked="0"/>
    </xf>
    <xf numFmtId="0" fontId="105" fillId="0" borderId="0" xfId="0" applyFont="1" applyFill="1" applyBorder="1" applyAlignment="1">
      <alignment wrapText="1"/>
    </xf>
    <xf numFmtId="3" fontId="4" fillId="0" borderId="0" xfId="0" applyNumberFormat="1" applyFont="1"/>
    <xf numFmtId="3" fontId="4" fillId="0" borderId="0" xfId="0" applyNumberFormat="1" applyFont="1" applyBorder="1"/>
    <xf numFmtId="3" fontId="0" fillId="0" borderId="0" xfId="0" applyNumberFormat="1"/>
    <xf numFmtId="3" fontId="0" fillId="0" borderId="136" xfId="0" applyNumberFormat="1" applyBorder="1" applyAlignment="1"/>
    <xf numFmtId="3" fontId="0" fillId="0" borderId="136" xfId="0" applyNumberFormat="1" applyBorder="1" applyAlignment="1">
      <alignment wrapText="1"/>
    </xf>
    <xf numFmtId="193" fontId="6" fillId="3" borderId="136" xfId="2" applyNumberFormat="1" applyFont="1" applyFill="1" applyBorder="1" applyAlignment="1" applyProtection="1">
      <alignment vertical="top"/>
      <protection locked="0"/>
    </xf>
    <xf numFmtId="193" fontId="6" fillId="3" borderId="136" xfId="2" applyNumberFormat="1" applyFont="1" applyFill="1" applyBorder="1" applyAlignment="1" applyProtection="1">
      <alignment vertical="top" wrapText="1"/>
      <protection locked="0"/>
    </xf>
    <xf numFmtId="193" fontId="0" fillId="0" borderId="0" xfId="0" applyNumberFormat="1"/>
    <xf numFmtId="193" fontId="0" fillId="0" borderId="0" xfId="0" applyNumberFormat="1" applyAlignment="1">
      <alignment wrapText="1"/>
    </xf>
    <xf numFmtId="4" fontId="4" fillId="0" borderId="0" xfId="0" applyNumberFormat="1" applyFont="1"/>
    <xf numFmtId="4" fontId="8" fillId="0" borderId="0" xfId="11" applyNumberFormat="1" applyFont="1" applyFill="1" applyBorder="1" applyAlignment="1" applyProtection="1"/>
    <xf numFmtId="4" fontId="5" fillId="36" borderId="11" xfId="0" applyNumberFormat="1" applyFont="1" applyFill="1" applyBorder="1" applyAlignment="1">
      <alignment horizontal="center" vertical="center" wrapText="1"/>
    </xf>
    <xf numFmtId="4" fontId="5" fillId="36" borderId="98" xfId="0" applyNumberFormat="1" applyFont="1" applyFill="1" applyBorder="1" applyAlignment="1">
      <alignment horizontal="left" vertical="center" wrapText="1"/>
    </xf>
    <xf numFmtId="4" fontId="4" fillId="0" borderId="98" xfId="0" applyNumberFormat="1" applyFont="1" applyFill="1" applyBorder="1" applyAlignment="1">
      <alignment horizontal="right" vertical="center" wrapText="1"/>
    </xf>
    <xf numFmtId="4" fontId="5" fillId="36" borderId="98" xfId="0" applyNumberFormat="1" applyFont="1" applyFill="1" applyBorder="1" applyAlignment="1">
      <alignment horizontal="right" vertical="center" wrapText="1"/>
    </xf>
    <xf numFmtId="4" fontId="108" fillId="0" borderId="98" xfId="0" applyNumberFormat="1" applyFont="1" applyFill="1" applyBorder="1" applyAlignment="1">
      <alignment horizontal="right" vertical="center" wrapText="1"/>
    </xf>
    <xf numFmtId="4" fontId="5" fillId="36" borderId="98" xfId="0" applyNumberFormat="1" applyFont="1" applyFill="1" applyBorder="1" applyAlignment="1">
      <alignment horizontal="center" vertical="center" wrapText="1"/>
    </xf>
    <xf numFmtId="4" fontId="6" fillId="0" borderId="17" xfId="1" applyNumberFormat="1" applyFont="1" applyFill="1" applyBorder="1" applyAlignment="1" applyProtection="1">
      <alignment horizontal="right" vertical="center"/>
    </xf>
    <xf numFmtId="10" fontId="4" fillId="0" borderId="0" xfId="0" applyNumberFormat="1" applyFont="1" applyFill="1" applyAlignment="1">
      <alignment horizontal="left" vertical="center"/>
    </xf>
    <xf numFmtId="4" fontId="4" fillId="0" borderId="0" xfId="0" applyNumberFormat="1" applyFont="1" applyFill="1" applyAlignment="1">
      <alignment horizontal="left" vertical="center"/>
    </xf>
    <xf numFmtId="193" fontId="6" fillId="0" borderId="127" xfId="0" applyNumberFormat="1" applyFont="1" applyBorder="1" applyAlignment="1" applyProtection="1">
      <alignment vertical="center" wrapText="1"/>
      <protection locked="0"/>
    </xf>
    <xf numFmtId="193" fontId="6" fillId="0" borderId="127" xfId="0" applyNumberFormat="1" applyFont="1" applyBorder="1" applyAlignment="1" applyProtection="1">
      <alignment horizontal="right" vertical="center" wrapText="1"/>
      <protection locked="0"/>
    </xf>
    <xf numFmtId="10" fontId="143" fillId="0" borderId="127" xfId="0" applyNumberFormat="1" applyFont="1" applyBorder="1" applyAlignment="1" applyProtection="1">
      <alignment horizontal="right" vertical="center" wrapText="1"/>
      <protection locked="0"/>
    </xf>
    <xf numFmtId="165" fontId="143" fillId="0" borderId="127" xfId="0" applyNumberFormat="1" applyFont="1" applyBorder="1" applyAlignment="1" applyProtection="1">
      <alignment horizontal="right" vertical="center" wrapText="1"/>
      <protection locked="0"/>
    </xf>
    <xf numFmtId="10" fontId="8" fillId="86" borderId="127" xfId="0" applyNumberFormat="1" applyFont="1" applyFill="1" applyBorder="1" applyAlignment="1" applyProtection="1">
      <alignment vertical="center"/>
      <protection locked="0"/>
    </xf>
    <xf numFmtId="4" fontId="0" fillId="0" borderId="0" xfId="0" applyNumberFormat="1"/>
    <xf numFmtId="0" fontId="140" fillId="0" borderId="140" xfId="0" applyFont="1" applyBorder="1" applyAlignment="1">
      <alignment vertical="center"/>
    </xf>
    <xf numFmtId="0" fontId="140" fillId="0" borderId="22" xfId="0" applyFont="1" applyBorder="1" applyAlignment="1">
      <alignment vertical="center"/>
    </xf>
    <xf numFmtId="4" fontId="116" fillId="0" borderId="0" xfId="0" applyNumberFormat="1" applyFont="1"/>
    <xf numFmtId="4" fontId="119" fillId="0" borderId="121" xfId="0" applyNumberFormat="1" applyFont="1" applyBorder="1" applyAlignment="1">
      <alignment horizontal="center" vertical="center" wrapText="1"/>
    </xf>
    <xf numFmtId="4" fontId="119" fillId="0" borderId="121" xfId="0" applyNumberFormat="1" applyFont="1" applyFill="1" applyBorder="1" applyAlignment="1">
      <alignment horizontal="center" vertical="center" wrapText="1"/>
    </xf>
    <xf numFmtId="3" fontId="22" fillId="0" borderId="127" xfId="0" applyNumberFormat="1" applyFont="1" applyBorder="1"/>
    <xf numFmtId="3" fontId="116" fillId="0" borderId="0" xfId="0" applyNumberFormat="1" applyFont="1"/>
    <xf numFmtId="3" fontId="118" fillId="0" borderId="127" xfId="0" applyNumberFormat="1" applyFont="1" applyBorder="1"/>
    <xf numFmtId="4" fontId="115" fillId="0" borderId="127" xfId="0" applyNumberFormat="1" applyFont="1" applyBorder="1"/>
    <xf numFmtId="3" fontId="115" fillId="0" borderId="127" xfId="0" applyNumberFormat="1" applyFont="1" applyBorder="1"/>
    <xf numFmtId="4" fontId="115" fillId="0" borderId="127" xfId="0" applyNumberFormat="1" applyFont="1" applyFill="1" applyBorder="1"/>
    <xf numFmtId="3" fontId="119" fillId="0" borderId="4" xfId="0" applyNumberFormat="1" applyFont="1" applyBorder="1"/>
    <xf numFmtId="0" fontId="116" fillId="81" borderId="127" xfId="0" applyFont="1" applyFill="1" applyBorder="1"/>
    <xf numFmtId="3" fontId="22" fillId="81" borderId="127" xfId="0" applyNumberFormat="1" applyFont="1" applyFill="1" applyBorder="1"/>
    <xf numFmtId="3" fontId="22" fillId="0" borderId="127" xfId="0" applyNumberFormat="1" applyFont="1" applyFill="1" applyBorder="1"/>
    <xf numFmtId="3" fontId="115" fillId="0" borderId="0" xfId="0" applyNumberFormat="1" applyFont="1"/>
    <xf numFmtId="4" fontId="115" fillId="0" borderId="0" xfId="0" applyNumberFormat="1" applyFont="1"/>
    <xf numFmtId="3" fontId="4" fillId="0" borderId="127" xfId="0" applyNumberFormat="1" applyFont="1" applyBorder="1" applyAlignment="1"/>
    <xf numFmtId="3" fontId="4" fillId="0" borderId="130" xfId="0" applyNumberFormat="1" applyFont="1" applyBorder="1" applyAlignment="1"/>
    <xf numFmtId="193" fontId="4" fillId="0" borderId="0" xfId="0" applyNumberFormat="1" applyFont="1"/>
    <xf numFmtId="167" fontId="11" fillId="0" borderId="0" xfId="0" applyNumberFormat="1" applyFont="1" applyAlignment="1"/>
    <xf numFmtId="3" fontId="11" fillId="0" borderId="0" xfId="0" applyNumberFormat="1" applyFont="1"/>
    <xf numFmtId="193" fontId="4" fillId="0" borderId="127" xfId="0" applyNumberFormat="1" applyFont="1" applyBorder="1" applyAlignment="1"/>
    <xf numFmtId="164" fontId="138" fillId="3" borderId="0" xfId="1" applyNumberFormat="1" applyFont="1" applyFill="1" applyProtection="1">
      <protection locked="0"/>
    </xf>
    <xf numFmtId="4" fontId="118" fillId="0" borderId="127" xfId="0" applyNumberFormat="1" applyFont="1" applyFill="1" applyBorder="1"/>
    <xf numFmtId="4" fontId="118" fillId="0" borderId="127" xfId="0" applyNumberFormat="1" applyFont="1" applyBorder="1"/>
    <xf numFmtId="4" fontId="115" fillId="36" borderId="127" xfId="21413" applyNumberFormat="1" applyFont="1" applyFill="1" applyBorder="1"/>
    <xf numFmtId="4" fontId="116" fillId="0" borderId="0" xfId="0" applyNumberFormat="1" applyFont="1" applyBorder="1"/>
    <xf numFmtId="3" fontId="115" fillId="0" borderId="127" xfId="0" applyNumberFormat="1" applyFont="1" applyFill="1" applyBorder="1" applyAlignment="1">
      <alignment horizontal="left" vertical="center" wrapText="1"/>
    </xf>
    <xf numFmtId="3" fontId="118" fillId="0" borderId="127" xfId="0" applyNumberFormat="1" applyFont="1" applyFill="1" applyBorder="1" applyAlignment="1">
      <alignment horizontal="left" vertical="center" wrapText="1"/>
    </xf>
    <xf numFmtId="3" fontId="115" fillId="0" borderId="0" xfId="0" applyNumberFormat="1" applyFont="1" applyBorder="1"/>
    <xf numFmtId="3" fontId="115" fillId="0" borderId="0" xfId="0" applyNumberFormat="1" applyFont="1" applyBorder="1" applyAlignment="1">
      <alignment horizontal="left"/>
    </xf>
    <xf numFmtId="3" fontId="115" fillId="0" borderId="0" xfId="0" applyNumberFormat="1" applyFont="1" applyAlignment="1">
      <alignment horizontal="center" vertical="center"/>
    </xf>
    <xf numFmtId="3" fontId="21" fillId="0" borderId="127" xfId="7" applyNumberFormat="1" applyFont="1" applyBorder="1"/>
    <xf numFmtId="4" fontId="4" fillId="0" borderId="0" xfId="0" applyNumberFormat="1" applyFont="1" applyBorder="1"/>
    <xf numFmtId="193" fontId="8" fillId="0" borderId="127" xfId="0" applyNumberFormat="1" applyFont="1" applyFill="1" applyBorder="1" applyAlignment="1" applyProtection="1">
      <alignment horizontal="right"/>
    </xf>
    <xf numFmtId="3" fontId="8" fillId="0" borderId="127" xfId="0" applyNumberFormat="1" applyFont="1" applyFill="1" applyBorder="1" applyAlignment="1" applyProtection="1">
      <alignment horizontal="center" vertical="center" wrapText="1"/>
    </xf>
    <xf numFmtId="0" fontId="3" fillId="0" borderId="127" xfId="0" applyFont="1" applyBorder="1" applyAlignment="1">
      <alignment horizontal="center" vertical="center"/>
    </xf>
    <xf numFmtId="0" fontId="129" fillId="3" borderId="127" xfId="21414" applyFont="1" applyFill="1" applyBorder="1" applyAlignment="1">
      <alignment horizontal="left" vertical="center" wrapText="1"/>
    </xf>
    <xf numFmtId="3" fontId="0" fillId="36" borderId="127" xfId="0" applyNumberFormat="1" applyFill="1" applyBorder="1"/>
    <xf numFmtId="0" fontId="130" fillId="0" borderId="127" xfId="21414" applyFont="1" applyFill="1" applyBorder="1" applyAlignment="1">
      <alignment horizontal="left" vertical="center" wrapText="1" indent="1"/>
    </xf>
    <xf numFmtId="0" fontId="131" fillId="3" borderId="127" xfId="21414" applyFont="1" applyFill="1" applyBorder="1" applyAlignment="1">
      <alignment horizontal="left" vertical="center" wrapText="1"/>
    </xf>
    <xf numFmtId="0" fontId="130" fillId="3" borderId="127" xfId="21414" applyFont="1" applyFill="1" applyBorder="1" applyAlignment="1">
      <alignment horizontal="left" vertical="center" wrapText="1" indent="1"/>
    </xf>
    <xf numFmtId="0" fontId="129" fillId="0" borderId="127" xfId="0" applyFont="1" applyFill="1" applyBorder="1" applyAlignment="1">
      <alignment horizontal="left" vertical="center" wrapText="1"/>
    </xf>
    <xf numFmtId="0" fontId="131" fillId="0" borderId="127" xfId="0" applyFont="1" applyFill="1" applyBorder="1" applyAlignment="1">
      <alignment horizontal="left" vertical="center" wrapText="1"/>
    </xf>
    <xf numFmtId="3" fontId="0" fillId="36" borderId="127" xfId="0" applyNumberFormat="1" applyFill="1" applyBorder="1" applyAlignment="1">
      <alignment vertical="center"/>
    </xf>
    <xf numFmtId="0" fontId="132" fillId="3" borderId="127" xfId="0" applyFont="1" applyFill="1" applyBorder="1" applyAlignment="1">
      <alignment horizontal="left" vertical="center" wrapText="1" indent="1"/>
    </xf>
    <xf numFmtId="0" fontId="131" fillId="3" borderId="127" xfId="0" applyFont="1" applyFill="1" applyBorder="1" applyAlignment="1">
      <alignment horizontal="left" vertical="center" wrapText="1"/>
    </xf>
    <xf numFmtId="0" fontId="132" fillId="0" borderId="127" xfId="0" applyFont="1" applyFill="1" applyBorder="1" applyAlignment="1">
      <alignment horizontal="left" vertical="center" wrapText="1" indent="1"/>
    </xf>
    <xf numFmtId="0" fontId="132" fillId="0" borderId="127" xfId="21414" applyFont="1" applyFill="1" applyBorder="1" applyAlignment="1">
      <alignment horizontal="left" vertical="center" wrapText="1" indent="1"/>
    </xf>
    <xf numFmtId="0" fontId="131" fillId="0" borderId="127" xfId="21414" applyFont="1" applyFill="1" applyBorder="1" applyAlignment="1">
      <alignment horizontal="left" vertical="center" wrapText="1"/>
    </xf>
    <xf numFmtId="0" fontId="133" fillId="0" borderId="127" xfId="21414" applyFont="1" applyFill="1" applyBorder="1" applyAlignment="1">
      <alignment horizontal="center" vertical="center" wrapText="1"/>
    </xf>
    <xf numFmtId="0" fontId="130" fillId="3" borderId="127" xfId="0" applyFont="1" applyFill="1" applyBorder="1" applyAlignment="1">
      <alignment horizontal="left" vertical="center" wrapText="1" indent="1"/>
    </xf>
    <xf numFmtId="0" fontId="131" fillId="0" borderId="127" xfId="0" applyFont="1" applyBorder="1" applyAlignment="1">
      <alignment horizontal="left" vertical="center" wrapText="1"/>
    </xf>
    <xf numFmtId="0" fontId="130" fillId="0" borderId="127" xfId="0" applyFont="1" applyBorder="1" applyAlignment="1">
      <alignment horizontal="left" vertical="center" wrapText="1" indent="1"/>
    </xf>
    <xf numFmtId="0" fontId="131" fillId="0" borderId="127" xfId="21414" applyFont="1" applyBorder="1" applyAlignment="1">
      <alignment horizontal="left" vertical="center" wrapText="1"/>
    </xf>
    <xf numFmtId="0" fontId="130" fillId="0" borderId="127" xfId="0" applyFont="1" applyFill="1" applyBorder="1" applyAlignment="1">
      <alignment horizontal="left" vertical="center" wrapText="1" indent="1"/>
    </xf>
    <xf numFmtId="0" fontId="134" fillId="0" borderId="127" xfId="0" applyFont="1" applyBorder="1" applyAlignment="1">
      <alignment horizontal="left"/>
    </xf>
    <xf numFmtId="0" fontId="0" fillId="0" borderId="137" xfId="0" applyBorder="1" applyAlignment="1">
      <alignment horizontal="center"/>
    </xf>
    <xf numFmtId="0" fontId="0" fillId="0" borderId="135" xfId="0" applyBorder="1" applyAlignment="1">
      <alignment horizontal="center"/>
    </xf>
    <xf numFmtId="0" fontId="131" fillId="0" borderId="134" xfId="0" applyFont="1" applyFill="1" applyBorder="1" applyAlignment="1">
      <alignment horizontal="left" vertical="center" wrapText="1"/>
    </xf>
    <xf numFmtId="3" fontId="0" fillId="36" borderId="134" xfId="0" applyNumberFormat="1" applyFill="1" applyBorder="1"/>
    <xf numFmtId="38" fontId="115" fillId="0" borderId="127" xfId="0" applyNumberFormat="1" applyFont="1" applyBorder="1"/>
    <xf numFmtId="0" fontId="101" fillId="0" borderId="127" xfId="0" applyFont="1" applyFill="1" applyBorder="1" applyAlignment="1">
      <alignment horizontal="left" vertical="center" wrapText="1"/>
    </xf>
    <xf numFmtId="0" fontId="101" fillId="0" borderId="136" xfId="0" applyFont="1" applyFill="1" applyBorder="1" applyAlignment="1">
      <alignment horizontal="left" vertical="center" wrapText="1"/>
    </xf>
    <xf numFmtId="0" fontId="101" fillId="0" borderId="127" xfId="0" applyFont="1" applyBorder="1" applyAlignment="1">
      <alignment horizontal="left" vertical="center" wrapText="1"/>
    </xf>
    <xf numFmtId="0" fontId="101" fillId="0" borderId="127" xfId="0" applyFont="1" applyFill="1" applyBorder="1" applyAlignment="1">
      <alignment horizontal="left" vertical="center"/>
    </xf>
    <xf numFmtId="0" fontId="101" fillId="0" borderId="136" xfId="0" applyFont="1" applyFill="1" applyBorder="1" applyAlignment="1">
      <alignment horizontal="left" vertical="center"/>
    </xf>
    <xf numFmtId="0" fontId="145" fillId="0" borderId="127" xfId="0" applyFont="1" applyFill="1" applyBorder="1" applyAlignment="1">
      <alignment horizontal="left" vertical="center"/>
    </xf>
    <xf numFmtId="0" fontId="145" fillId="0" borderId="136" xfId="0" applyFont="1" applyFill="1" applyBorder="1" applyAlignment="1">
      <alignment horizontal="left" vertical="center"/>
    </xf>
    <xf numFmtId="0" fontId="8" fillId="0" borderId="127" xfId="11" applyFont="1" applyFill="1" applyBorder="1" applyAlignment="1" applyProtection="1">
      <alignment horizontal="left"/>
      <protection locked="0"/>
    </xf>
    <xf numFmtId="10" fontId="142" fillId="0" borderId="136" xfId="0" applyNumberFormat="1" applyFont="1" applyBorder="1" applyAlignment="1">
      <alignment horizontal="right" vertical="center"/>
    </xf>
    <xf numFmtId="167" fontId="17" fillId="85" borderId="48" xfId="0" applyNumberFormat="1" applyFont="1" applyFill="1" applyBorder="1" applyAlignment="1">
      <alignment horizontal="center"/>
    </xf>
    <xf numFmtId="3" fontId="4" fillId="3" borderId="83" xfId="0" applyNumberFormat="1" applyFont="1" applyFill="1" applyBorder="1" applyAlignment="1">
      <alignment vertical="center"/>
    </xf>
    <xf numFmtId="3" fontId="4" fillId="3" borderId="14" xfId="0" applyNumberFormat="1" applyFont="1" applyFill="1" applyBorder="1" applyAlignment="1">
      <alignment vertical="center"/>
    </xf>
    <xf numFmtId="3" fontId="25" fillId="37" borderId="0" xfId="20" applyNumberFormat="1" applyBorder="1"/>
    <xf numFmtId="3" fontId="4" fillId="0" borderId="85" xfId="0" applyNumberFormat="1" applyFont="1" applyFill="1" applyBorder="1" applyAlignment="1">
      <alignment vertical="center"/>
    </xf>
    <xf numFmtId="3" fontId="4" fillId="0" borderId="86" xfId="0" applyNumberFormat="1" applyFont="1" applyFill="1" applyBorder="1" applyAlignment="1">
      <alignment vertical="center"/>
    </xf>
    <xf numFmtId="3" fontId="4" fillId="0" borderId="98" xfId="0" applyNumberFormat="1" applyFont="1" applyFill="1" applyBorder="1" applyAlignment="1">
      <alignment vertical="center"/>
    </xf>
    <xf numFmtId="10" fontId="4" fillId="0" borderId="80" xfId="20961" applyNumberFormat="1" applyFont="1" applyFill="1" applyBorder="1" applyAlignment="1">
      <alignment vertical="center"/>
    </xf>
    <xf numFmtId="164" fontId="0" fillId="0" borderId="0" xfId="0" applyNumberFormat="1"/>
    <xf numFmtId="0" fontId="101" fillId="0" borderId="127" xfId="0" applyFont="1" applyBorder="1"/>
    <xf numFmtId="3" fontId="20" fillId="0" borderId="0" xfId="0" applyNumberFormat="1" applyFont="1" applyAlignment="1">
      <alignment horizontal="left"/>
    </xf>
    <xf numFmtId="3" fontId="142" fillId="0" borderId="0" xfId="11" applyNumberFormat="1" applyFont="1" applyFill="1" applyBorder="1" applyAlignment="1" applyProtection="1">
      <alignment horizontal="left"/>
    </xf>
    <xf numFmtId="3" fontId="146" fillId="0" borderId="0" xfId="11" applyNumberFormat="1" applyFont="1" applyFill="1" applyBorder="1" applyAlignment="1" applyProtection="1">
      <alignment horizontal="left"/>
    </xf>
    <xf numFmtId="3" fontId="147" fillId="0" borderId="10" xfId="11" applyNumberFormat="1" applyFont="1" applyFill="1" applyBorder="1" applyAlignment="1" applyProtection="1">
      <alignment horizontal="left" vertical="center"/>
    </xf>
    <xf numFmtId="3" fontId="147" fillId="0" borderId="11" xfId="11" applyNumberFormat="1" applyFont="1" applyFill="1" applyBorder="1" applyAlignment="1" applyProtection="1">
      <alignment horizontal="left" vertical="center"/>
    </xf>
    <xf numFmtId="3" fontId="20" fillId="0" borderId="136" xfId="0" applyNumberFormat="1" applyFont="1" applyBorder="1" applyAlignment="1">
      <alignment horizontal="left" vertical="center"/>
    </xf>
    <xf numFmtId="3" fontId="20" fillId="0" borderId="127" xfId="0" applyNumberFormat="1" applyFont="1" applyBorder="1" applyAlignment="1">
      <alignment horizontal="left" vertical="center"/>
    </xf>
    <xf numFmtId="3" fontId="141" fillId="0" borderId="0" xfId="0" applyNumberFormat="1" applyFont="1" applyAlignment="1">
      <alignment horizontal="left"/>
    </xf>
    <xf numFmtId="3" fontId="6" fillId="0" borderId="0" xfId="0" applyNumberFormat="1" applyFont="1" applyAlignment="1">
      <alignment horizontal="right"/>
    </xf>
    <xf numFmtId="3" fontId="4" fillId="0" borderId="0" xfId="0" applyNumberFormat="1" applyFont="1" applyAlignment="1">
      <alignment horizontal="right"/>
    </xf>
    <xf numFmtId="3" fontId="6" fillId="0" borderId="0" xfId="11" applyNumberFormat="1" applyFont="1" applyFill="1" applyBorder="1" applyAlignment="1" applyProtection="1">
      <alignment horizontal="right"/>
    </xf>
    <xf numFmtId="3" fontId="14" fillId="0" borderId="0" xfId="11" applyNumberFormat="1" applyFont="1" applyFill="1" applyBorder="1" applyAlignment="1" applyProtection="1">
      <alignment horizontal="right"/>
    </xf>
    <xf numFmtId="3" fontId="148" fillId="3" borderId="127" xfId="21414" applyNumberFormat="1" applyFont="1" applyFill="1" applyBorder="1" applyAlignment="1">
      <alignment horizontal="right" vertical="center" wrapText="1"/>
    </xf>
    <xf numFmtId="3" fontId="149" fillId="0" borderId="127" xfId="21414" applyNumberFormat="1" applyFont="1" applyFill="1" applyBorder="1" applyAlignment="1">
      <alignment horizontal="right" vertical="center" wrapText="1" indent="1"/>
    </xf>
    <xf numFmtId="3" fontId="149" fillId="3" borderId="127" xfId="21414" applyNumberFormat="1" applyFont="1" applyFill="1" applyBorder="1" applyAlignment="1">
      <alignment horizontal="right" vertical="center" wrapText="1" indent="1"/>
    </xf>
    <xf numFmtId="3" fontId="148" fillId="0" borderId="127" xfId="0" applyNumberFormat="1" applyFont="1" applyFill="1" applyBorder="1" applyAlignment="1">
      <alignment horizontal="right" vertical="center" wrapText="1"/>
    </xf>
    <xf numFmtId="3" fontId="150" fillId="0" borderId="127" xfId="0" applyNumberFormat="1" applyFont="1" applyFill="1" applyBorder="1" applyAlignment="1">
      <alignment horizontal="right" vertical="center" wrapText="1"/>
    </xf>
    <xf numFmtId="3" fontId="151" fillId="3" borderId="127" xfId="0" applyNumberFormat="1" applyFont="1" applyFill="1" applyBorder="1" applyAlignment="1">
      <alignment horizontal="right" vertical="center" wrapText="1" indent="1"/>
    </xf>
    <xf numFmtId="3" fontId="150" fillId="3" borderId="127" xfId="0" applyNumberFormat="1" applyFont="1" applyFill="1" applyBorder="1" applyAlignment="1">
      <alignment horizontal="right" vertical="center" wrapText="1"/>
    </xf>
    <xf numFmtId="3" fontId="151" fillId="0" borderId="127" xfId="0" applyNumberFormat="1" applyFont="1" applyFill="1" applyBorder="1" applyAlignment="1">
      <alignment horizontal="right" vertical="center" wrapText="1" indent="1"/>
    </xf>
    <xf numFmtId="3" fontId="151" fillId="0" borderId="127" xfId="21414" applyNumberFormat="1" applyFont="1" applyFill="1" applyBorder="1" applyAlignment="1">
      <alignment horizontal="right" vertical="center" wrapText="1" indent="1"/>
    </xf>
    <xf numFmtId="3" fontId="150" fillId="0" borderId="127" xfId="21414" applyNumberFormat="1" applyFont="1" applyFill="1" applyBorder="1" applyAlignment="1">
      <alignment horizontal="right" vertical="center" wrapText="1"/>
    </xf>
    <xf numFmtId="3" fontId="133" fillId="0" borderId="127" xfId="21414" applyNumberFormat="1" applyFont="1" applyFill="1" applyBorder="1" applyAlignment="1">
      <alignment horizontal="right" vertical="center" wrapText="1"/>
    </xf>
    <xf numFmtId="3" fontId="149" fillId="3" borderId="127" xfId="0" applyNumberFormat="1" applyFont="1" applyFill="1" applyBorder="1" applyAlignment="1">
      <alignment horizontal="right" vertical="center" wrapText="1" indent="1"/>
    </xf>
    <xf numFmtId="3" fontId="150" fillId="0" borderId="127" xfId="0" applyNumberFormat="1" applyFont="1" applyBorder="1" applyAlignment="1">
      <alignment horizontal="right" vertical="center" wrapText="1"/>
    </xf>
    <xf numFmtId="3" fontId="149" fillId="0" borderId="127" xfId="0" applyNumberFormat="1" applyFont="1" applyBorder="1" applyAlignment="1">
      <alignment horizontal="right" vertical="center" wrapText="1" indent="1"/>
    </xf>
    <xf numFmtId="3" fontId="150" fillId="0" borderId="127" xfId="21414" applyNumberFormat="1" applyFont="1" applyBorder="1" applyAlignment="1">
      <alignment horizontal="right" vertical="center" wrapText="1"/>
    </xf>
    <xf numFmtId="3" fontId="149" fillId="0" borderId="127" xfId="0" applyNumberFormat="1" applyFont="1" applyFill="1" applyBorder="1" applyAlignment="1">
      <alignment horizontal="right" vertical="center" wrapText="1" indent="1"/>
    </xf>
    <xf numFmtId="3" fontId="152" fillId="0" borderId="127" xfId="0" applyNumberFormat="1" applyFont="1" applyBorder="1" applyAlignment="1">
      <alignment horizontal="right"/>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right" vertical="center" wrapText="1"/>
    </xf>
    <xf numFmtId="0" fontId="4" fillId="0" borderId="11" xfId="0" applyFont="1" applyFill="1" applyBorder="1" applyAlignment="1">
      <alignment horizontal="center" vertical="center" wrapText="1"/>
    </xf>
    <xf numFmtId="167" fontId="22" fillId="0" borderId="136" xfId="0" applyNumberFormat="1" applyFont="1" applyBorder="1" applyAlignment="1">
      <alignment horizontal="center"/>
    </xf>
    <xf numFmtId="167" fontId="18" fillId="0" borderId="136" xfId="0" applyNumberFormat="1" applyFont="1" applyBorder="1" applyAlignment="1">
      <alignment horizontal="center"/>
    </xf>
    <xf numFmtId="0" fontId="22" fillId="0" borderId="136" xfId="0" applyFont="1" applyBorder="1"/>
    <xf numFmtId="3" fontId="150" fillId="0" borderId="134" xfId="0" applyNumberFormat="1" applyFont="1" applyFill="1" applyBorder="1" applyAlignment="1">
      <alignment horizontal="right" vertical="center" wrapText="1"/>
    </xf>
    <xf numFmtId="0" fontId="22" fillId="0" borderId="133" xfId="0" applyFont="1" applyBorder="1"/>
    <xf numFmtId="14" fontId="4" fillId="0" borderId="0" xfId="0" applyNumberFormat="1" applyFont="1" applyAlignment="1">
      <alignment horizontal="left"/>
    </xf>
    <xf numFmtId="3" fontId="112" fillId="79" borderId="127" xfId="1" applyNumberFormat="1" applyFont="1" applyFill="1" applyBorder="1" applyAlignment="1" applyProtection="1">
      <alignment horizontal="right" vertical="center"/>
    </xf>
    <xf numFmtId="3" fontId="61" fillId="78" borderId="8" xfId="21412" applyNumberFormat="1" applyFont="1" applyFill="1" applyBorder="1" applyAlignment="1" applyProtection="1">
      <alignment horizontal="center" vertical="center"/>
      <protection locked="0"/>
    </xf>
    <xf numFmtId="3" fontId="112" fillId="0" borderId="127" xfId="1" applyNumberFormat="1" applyFont="1" applyFill="1" applyBorder="1" applyAlignment="1" applyProtection="1">
      <alignment horizontal="right" vertical="center"/>
      <protection locked="0"/>
    </xf>
    <xf numFmtId="164" fontId="112" fillId="0" borderId="127" xfId="948" applyNumberFormat="1" applyFont="1" applyFill="1" applyBorder="1" applyAlignment="1" applyProtection="1">
      <alignment horizontal="right" vertical="center"/>
      <protection locked="0"/>
    </xf>
    <xf numFmtId="3" fontId="112" fillId="3" borderId="127" xfId="1" applyNumberFormat="1" applyFont="1" applyFill="1" applyBorder="1" applyAlignment="1" applyProtection="1">
      <alignment horizontal="right" vertical="center"/>
      <protection locked="0"/>
    </xf>
    <xf numFmtId="10" fontId="61" fillId="78" borderId="129" xfId="20961" applyNumberFormat="1" applyFont="1" applyFill="1" applyBorder="1" applyAlignment="1" applyProtection="1">
      <alignment horizontal="center" vertical="center"/>
      <protection locked="0"/>
    </xf>
    <xf numFmtId="10" fontId="112" fillId="79" borderId="127" xfId="20961" applyNumberFormat="1" applyFont="1" applyFill="1" applyBorder="1" applyAlignment="1" applyProtection="1">
      <alignment horizontal="right" vertical="center"/>
    </xf>
    <xf numFmtId="38" fontId="124" fillId="0" borderId="0" xfId="0" applyNumberFormat="1" applyFont="1"/>
    <xf numFmtId="0" fontId="0" fillId="0" borderId="137" xfId="0" applyBorder="1" applyAlignment="1">
      <alignment horizontal="center" vertical="center"/>
    </xf>
    <xf numFmtId="164" fontId="124" fillId="0" borderId="127" xfId="7" applyNumberFormat="1" applyFont="1" applyBorder="1"/>
    <xf numFmtId="10" fontId="124" fillId="0" borderId="127" xfId="20961" applyNumberFormat="1" applyFont="1" applyBorder="1"/>
    <xf numFmtId="43" fontId="124" fillId="0" borderId="127" xfId="7" applyFont="1" applyBorder="1"/>
    <xf numFmtId="164" fontId="155" fillId="0" borderId="127" xfId="7" applyNumberFormat="1" applyFont="1" applyBorder="1"/>
    <xf numFmtId="164" fontId="120" fillId="0" borderId="127" xfId="0" applyNumberFormat="1" applyFont="1" applyBorder="1"/>
    <xf numFmtId="167" fontId="116" fillId="0" borderId="127" xfId="0" applyNumberFormat="1" applyFont="1" applyBorder="1"/>
    <xf numFmtId="167" fontId="119" fillId="0" borderId="127" xfId="0" applyNumberFormat="1" applyFont="1" applyBorder="1"/>
    <xf numFmtId="164" fontId="138" fillId="0" borderId="0" xfId="0" applyNumberFormat="1" applyFont="1"/>
    <xf numFmtId="0" fontId="14" fillId="0" borderId="0" xfId="11" applyFont="1" applyFill="1" applyBorder="1" applyAlignment="1" applyProtection="1">
      <alignment horizontal="left" vertical="center"/>
    </xf>
    <xf numFmtId="3" fontId="20" fillId="0" borderId="127" xfId="0" applyNumberFormat="1" applyFont="1" applyFill="1" applyBorder="1" applyAlignment="1">
      <alignment horizontal="left" vertical="center" wrapText="1"/>
    </xf>
    <xf numFmtId="3" fontId="20" fillId="0" borderId="127" xfId="7" applyNumberFormat="1" applyFont="1" applyFill="1" applyBorder="1" applyAlignment="1">
      <alignment horizontal="left" vertical="center" wrapText="1"/>
    </xf>
    <xf numFmtId="3" fontId="20" fillId="0" borderId="127" xfId="7" applyNumberFormat="1" applyFont="1" applyBorder="1" applyAlignment="1">
      <alignment horizontal="left" vertical="center"/>
    </xf>
    <xf numFmtId="0" fontId="0" fillId="0" borderId="137" xfId="0" applyBorder="1"/>
    <xf numFmtId="3" fontId="20" fillId="0" borderId="136" xfId="0" applyNumberFormat="1" applyFont="1" applyFill="1" applyBorder="1" applyAlignment="1">
      <alignment horizontal="left" vertical="center" wrapText="1"/>
    </xf>
    <xf numFmtId="3" fontId="20" fillId="0" borderId="136" xfId="7" applyNumberFormat="1" applyFont="1" applyFill="1" applyBorder="1" applyAlignment="1">
      <alignment horizontal="left" vertical="center" wrapText="1"/>
    </xf>
    <xf numFmtId="3" fontId="20" fillId="0" borderId="136" xfId="7" applyNumberFormat="1" applyFont="1" applyBorder="1" applyAlignment="1">
      <alignment horizontal="left" vertical="center"/>
    </xf>
    <xf numFmtId="0" fontId="0" fillId="0" borderId="135" xfId="0" applyBorder="1"/>
    <xf numFmtId="0" fontId="5" fillId="36" borderId="134" xfId="0" applyFont="1" applyFill="1" applyBorder="1" applyAlignment="1">
      <alignment vertical="center" wrapText="1"/>
    </xf>
    <xf numFmtId="3" fontId="144" fillId="36" borderId="134" xfId="0" applyNumberFormat="1" applyFont="1" applyFill="1" applyBorder="1" applyAlignment="1">
      <alignment horizontal="left" vertical="center"/>
    </xf>
    <xf numFmtId="3" fontId="144" fillId="36" borderId="133" xfId="0" applyNumberFormat="1" applyFont="1" applyFill="1" applyBorder="1" applyAlignment="1">
      <alignment horizontal="left" vertical="center"/>
    </xf>
    <xf numFmtId="0" fontId="5" fillId="36" borderId="127" xfId="0" applyFont="1" applyFill="1" applyBorder="1" applyAlignment="1">
      <alignment horizontal="left" vertical="top" wrapText="1"/>
    </xf>
    <xf numFmtId="0" fontId="6" fillId="3" borderId="127" xfId="13" applyFont="1" applyFill="1" applyBorder="1" applyAlignment="1" applyProtection="1">
      <alignment vertical="center" wrapText="1"/>
      <protection locked="0"/>
    </xf>
    <xf numFmtId="0" fontId="6" fillId="3" borderId="127" xfId="13" applyFont="1" applyFill="1" applyBorder="1" applyAlignment="1" applyProtection="1">
      <alignment horizontal="left" vertical="center" wrapText="1"/>
      <protection locked="0"/>
    </xf>
    <xf numFmtId="0" fontId="6" fillId="3" borderId="127" xfId="9" applyFont="1" applyFill="1" applyBorder="1" applyAlignment="1" applyProtection="1">
      <alignment horizontal="left" vertical="center" wrapText="1"/>
      <protection locked="0"/>
    </xf>
    <xf numFmtId="0" fontId="6" fillId="0" borderId="127" xfId="13" applyFont="1" applyBorder="1" applyAlignment="1" applyProtection="1">
      <alignment horizontal="left" vertical="center" wrapText="1"/>
      <protection locked="0"/>
    </xf>
    <xf numFmtId="0" fontId="6" fillId="0" borderId="127" xfId="13" applyFont="1" applyBorder="1" applyAlignment="1" applyProtection="1">
      <alignment wrapText="1"/>
      <protection locked="0"/>
    </xf>
    <xf numFmtId="0" fontId="6" fillId="0" borderId="127" xfId="13" applyFont="1" applyFill="1" applyBorder="1" applyAlignment="1" applyProtection="1">
      <alignment horizontal="left" vertical="center" wrapText="1"/>
      <protection locked="0"/>
    </xf>
    <xf numFmtId="1" fontId="14" fillId="36" borderId="127" xfId="2" applyNumberFormat="1" applyFont="1" applyFill="1" applyBorder="1" applyAlignment="1" applyProtection="1">
      <alignment horizontal="left" vertical="top" wrapText="1"/>
    </xf>
    <xf numFmtId="0" fontId="14" fillId="3" borderId="127" xfId="13" applyFont="1" applyFill="1" applyBorder="1" applyAlignment="1" applyProtection="1">
      <alignment vertical="center" wrapText="1"/>
      <protection locked="0"/>
    </xf>
    <xf numFmtId="0" fontId="6" fillId="3" borderId="127" xfId="13" applyFont="1" applyFill="1" applyBorder="1" applyAlignment="1" applyProtection="1">
      <alignment horizontal="left" vertical="center" wrapText="1" indent="3"/>
      <protection locked="0"/>
    </xf>
    <xf numFmtId="0" fontId="14" fillId="36" borderId="127" xfId="13" applyFont="1" applyFill="1" applyBorder="1" applyAlignment="1" applyProtection="1">
      <alignment vertical="center" wrapText="1"/>
      <protection locked="0"/>
    </xf>
    <xf numFmtId="0" fontId="6" fillId="83" borderId="127" xfId="13" applyFont="1" applyFill="1" applyBorder="1" applyAlignment="1" applyProtection="1">
      <alignment vertical="center" wrapText="1"/>
      <protection locked="0"/>
    </xf>
    <xf numFmtId="0" fontId="14" fillId="3" borderId="10" xfId="9" applyFont="1" applyFill="1" applyBorder="1" applyAlignment="1" applyProtection="1">
      <alignment horizontal="center" vertical="center" wrapText="1"/>
      <protection locked="0"/>
    </xf>
    <xf numFmtId="0" fontId="6" fillId="0" borderId="137" xfId="9" applyFont="1" applyFill="1" applyBorder="1" applyAlignment="1" applyProtection="1">
      <alignment horizontal="center" vertical="center"/>
      <protection locked="0"/>
    </xf>
    <xf numFmtId="193" fontId="6" fillId="36" borderId="136" xfId="2" applyNumberFormat="1" applyFont="1" applyFill="1" applyBorder="1" applyAlignment="1" applyProtection="1">
      <alignment vertical="top"/>
    </xf>
    <xf numFmtId="193" fontId="6" fillId="36" borderId="136" xfId="2" applyNumberFormat="1" applyFont="1" applyFill="1" applyBorder="1" applyAlignment="1" applyProtection="1">
      <alignment vertical="top" wrapText="1"/>
    </xf>
    <xf numFmtId="0" fontId="6" fillId="0" borderId="137" xfId="9" applyFont="1" applyFill="1" applyBorder="1" applyAlignment="1" applyProtection="1">
      <alignment horizontal="center" vertical="center" wrapText="1"/>
      <protection locked="0"/>
    </xf>
    <xf numFmtId="193" fontId="6" fillId="36" borderId="136" xfId="2" applyNumberFormat="1" applyFont="1" applyFill="1" applyBorder="1" applyAlignment="1" applyProtection="1">
      <alignment vertical="top" wrapText="1"/>
      <protection locked="0"/>
    </xf>
    <xf numFmtId="0" fontId="6" fillId="0" borderId="135" xfId="9" applyFont="1" applyFill="1" applyBorder="1" applyAlignment="1" applyProtection="1">
      <alignment horizontal="center" vertical="center" wrapText="1"/>
      <protection locked="0"/>
    </xf>
    <xf numFmtId="0" fontId="14" fillId="36" borderId="134" xfId="13" applyFont="1" applyFill="1" applyBorder="1" applyAlignment="1" applyProtection="1">
      <alignment vertical="center" wrapText="1"/>
      <protection locked="0"/>
    </xf>
    <xf numFmtId="193" fontId="6" fillId="36" borderId="133" xfId="2" applyNumberFormat="1" applyFont="1" applyFill="1" applyBorder="1" applyAlignment="1" applyProtection="1">
      <alignment vertical="top" wrapText="1"/>
    </xf>
    <xf numFmtId="10" fontId="16" fillId="2" borderId="127" xfId="20961" applyNumberFormat="1" applyFont="1" applyFill="1" applyBorder="1" applyAlignment="1" applyProtection="1">
      <alignment vertical="center"/>
      <protection locked="0"/>
    </xf>
    <xf numFmtId="10" fontId="8" fillId="2" borderId="127" xfId="20961" applyNumberFormat="1" applyFont="1" applyFill="1" applyBorder="1" applyAlignment="1" applyProtection="1">
      <alignment vertical="center"/>
      <protection locked="0"/>
    </xf>
    <xf numFmtId="193" fontId="8" fillId="2" borderId="127" xfId="0" applyNumberFormat="1" applyFont="1" applyFill="1" applyBorder="1" applyAlignment="1" applyProtection="1">
      <alignment vertical="center"/>
      <protection locked="0"/>
    </xf>
    <xf numFmtId="193" fontId="16" fillId="2" borderId="127" xfId="0" applyNumberFormat="1" applyFont="1" applyFill="1" applyBorder="1" applyAlignment="1" applyProtection="1">
      <alignment vertical="center"/>
      <protection locked="0"/>
    </xf>
    <xf numFmtId="3" fontId="115" fillId="0" borderId="0" xfId="0" applyNumberFormat="1" applyFont="1" applyAlignment="1">
      <alignment wrapText="1"/>
    </xf>
    <xf numFmtId="3" fontId="115" fillId="0" borderId="4" xfId="0" applyNumberFormat="1" applyFont="1" applyBorder="1" applyAlignment="1">
      <alignment wrapText="1"/>
    </xf>
    <xf numFmtId="10" fontId="4" fillId="0" borderId="0" xfId="0" applyNumberFormat="1" applyFont="1"/>
    <xf numFmtId="195" fontId="124" fillId="0" borderId="0" xfId="0" applyNumberFormat="1" applyFont="1"/>
    <xf numFmtId="0" fontId="105" fillId="84" borderId="127" xfId="0" applyFont="1" applyFill="1" applyBorder="1" applyAlignment="1">
      <alignment horizontal="center" vertical="center" wrapText="1"/>
    </xf>
    <xf numFmtId="0" fontId="105" fillId="84" borderId="127" xfId="0" applyNumberFormat="1" applyFont="1" applyFill="1" applyBorder="1" applyAlignment="1">
      <alignment horizontal="center" vertical="center" wrapText="1"/>
    </xf>
    <xf numFmtId="9" fontId="124" fillId="0" borderId="127" xfId="7" applyNumberFormat="1" applyFont="1" applyBorder="1"/>
    <xf numFmtId="167" fontId="116" fillId="0" borderId="0" xfId="0" applyNumberFormat="1" applyFont="1"/>
    <xf numFmtId="39" fontId="116" fillId="0" borderId="0" xfId="0" applyNumberFormat="1" applyFont="1" applyFill="1"/>
    <xf numFmtId="3" fontId="6" fillId="0" borderId="0" xfId="0" applyNumberFormat="1" applyFont="1"/>
    <xf numFmtId="3" fontId="6" fillId="0" borderId="0" xfId="0" applyNumberFormat="1" applyFont="1" applyBorder="1"/>
    <xf numFmtId="3" fontId="0" fillId="0" borderId="127" xfId="0" applyNumberFormat="1" applyBorder="1"/>
    <xf numFmtId="3" fontId="0" fillId="0" borderId="127" xfId="0" applyNumberFormat="1" applyBorder="1" applyAlignment="1">
      <alignment vertical="center"/>
    </xf>
    <xf numFmtId="3" fontId="3" fillId="0" borderId="127" xfId="0" applyNumberFormat="1" applyFont="1" applyBorder="1"/>
    <xf numFmtId="3" fontId="0" fillId="0" borderId="134" xfId="0" applyNumberFormat="1" applyBorder="1"/>
    <xf numFmtId="3" fontId="8" fillId="0" borderId="136" xfId="0" applyNumberFormat="1" applyFont="1" applyFill="1" applyBorder="1" applyAlignment="1" applyProtection="1">
      <alignment horizontal="center" vertical="center" wrapText="1"/>
    </xf>
    <xf numFmtId="3" fontId="0" fillId="36" borderId="136" xfId="0" applyNumberFormat="1" applyFill="1" applyBorder="1"/>
    <xf numFmtId="3" fontId="0" fillId="36" borderId="136" xfId="0" applyNumberFormat="1" applyFill="1" applyBorder="1" applyAlignment="1">
      <alignment vertical="center"/>
    </xf>
    <xf numFmtId="3" fontId="0" fillId="0" borderId="127" xfId="0" applyNumberFormat="1" applyFill="1" applyBorder="1"/>
    <xf numFmtId="3" fontId="4" fillId="0" borderId="16" xfId="0" applyNumberFormat="1" applyFont="1" applyFill="1" applyBorder="1" applyAlignment="1">
      <alignment vertical="center"/>
    </xf>
    <xf numFmtId="3" fontId="4" fillId="0" borderId="18" xfId="0" applyNumberFormat="1" applyFont="1" applyFill="1" applyBorder="1" applyAlignment="1">
      <alignment vertical="center"/>
    </xf>
    <xf numFmtId="3" fontId="4" fillId="0" borderId="17" xfId="0" applyNumberFormat="1" applyFont="1" applyFill="1" applyBorder="1" applyAlignment="1">
      <alignment vertical="center"/>
    </xf>
    <xf numFmtId="194" fontId="0" fillId="0" borderId="0" xfId="20961" applyNumberFormat="1" applyFont="1"/>
    <xf numFmtId="194" fontId="124" fillId="0" borderId="127" xfId="20961" applyNumberFormat="1" applyFont="1" applyBorder="1"/>
    <xf numFmtId="10" fontId="124" fillId="0" borderId="127" xfId="7" applyNumberFormat="1" applyFont="1" applyBorder="1"/>
    <xf numFmtId="196" fontId="115" fillId="0" borderId="0" xfId="0" applyNumberFormat="1" applyFont="1"/>
    <xf numFmtId="0" fontId="12" fillId="0" borderId="127" xfId="0" applyFont="1" applyBorder="1" applyAlignment="1">
      <alignment wrapText="1"/>
    </xf>
    <xf numFmtId="0" fontId="9" fillId="0" borderId="127" xfId="0" applyFont="1" applyBorder="1" applyAlignment="1">
      <alignment horizontal="center" vertical="center" wrapText="1"/>
    </xf>
    <xf numFmtId="0" fontId="8" fillId="0" borderId="127" xfId="0" applyFont="1" applyBorder="1" applyAlignment="1">
      <alignment wrapText="1"/>
    </xf>
    <xf numFmtId="0" fontId="8" fillId="0" borderId="127" xfId="0" applyFont="1" applyBorder="1" applyAlignment="1">
      <alignment horizontal="left" vertical="center" wrapText="1"/>
    </xf>
    <xf numFmtId="0" fontId="9" fillId="0" borderId="10" xfId="0" applyFont="1" applyBorder="1" applyAlignment="1">
      <alignment horizontal="center" wrapText="1"/>
    </xf>
    <xf numFmtId="0" fontId="8" fillId="0" borderId="137" xfId="0" applyFont="1" applyBorder="1" applyAlignment="1">
      <alignment vertical="center"/>
    </xf>
    <xf numFmtId="0" fontId="4" fillId="0" borderId="136" xfId="0" applyFont="1" applyBorder="1" applyAlignment="1"/>
    <xf numFmtId="0" fontId="9" fillId="0" borderId="136" xfId="0" applyFont="1" applyBorder="1" applyAlignment="1">
      <alignment horizontal="center" vertical="center" wrapText="1"/>
    </xf>
    <xf numFmtId="0" fontId="8" fillId="0" borderId="136" xfId="0" applyFont="1" applyBorder="1" applyAlignment="1"/>
    <xf numFmtId="0" fontId="8" fillId="0" borderId="136" xfId="0" applyFont="1" applyBorder="1" applyAlignment="1">
      <alignment wrapText="1"/>
    </xf>
    <xf numFmtId="0" fontId="8" fillId="0" borderId="135" xfId="0" applyFont="1" applyBorder="1" applyAlignment="1">
      <alignment vertical="center"/>
    </xf>
    <xf numFmtId="0" fontId="12" fillId="0" borderId="134" xfId="0" applyFont="1" applyBorder="1" applyAlignment="1">
      <alignment wrapText="1"/>
    </xf>
    <xf numFmtId="0" fontId="156" fillId="87" borderId="141" xfId="0" applyNumberFormat="1" applyFont="1" applyFill="1" applyBorder="1"/>
    <xf numFmtId="0" fontId="0" fillId="0" borderId="137" xfId="0" applyBorder="1" applyAlignment="1">
      <alignment horizontal="center" vertical="center"/>
    </xf>
    <xf numFmtId="0" fontId="8" fillId="0" borderId="137" xfId="0" applyFont="1" applyFill="1" applyBorder="1" applyAlignment="1">
      <alignment horizontal="center" vertical="center" wrapText="1"/>
    </xf>
    <xf numFmtId="0" fontId="14" fillId="0" borderId="127" xfId="0" applyFont="1" applyFill="1" applyBorder="1" applyAlignment="1">
      <alignment horizontal="center" vertical="center" wrapText="1"/>
    </xf>
    <xf numFmtId="0" fontId="15" fillId="0" borderId="127" xfId="0" applyFont="1" applyFill="1" applyBorder="1" applyAlignment="1">
      <alignment horizontal="left" vertical="center" wrapText="1"/>
    </xf>
    <xf numFmtId="0" fontId="8" fillId="0" borderId="137" xfId="0" applyFont="1" applyFill="1" applyBorder="1" applyAlignment="1">
      <alignment horizontal="right" vertical="center" wrapText="1"/>
    </xf>
    <xf numFmtId="0" fontId="6" fillId="0" borderId="127" xfId="0" applyFont="1" applyFill="1" applyBorder="1" applyAlignment="1">
      <alignment vertical="center" wrapText="1"/>
    </xf>
    <xf numFmtId="0" fontId="8" fillId="0" borderId="137" xfId="0" applyFont="1" applyBorder="1" applyAlignment="1">
      <alignment horizontal="right" vertical="center" wrapText="1"/>
    </xf>
    <xf numFmtId="0" fontId="6" fillId="0" borderId="127" xfId="0" applyFont="1" applyBorder="1" applyAlignment="1">
      <alignment vertical="center" wrapText="1"/>
    </xf>
    <xf numFmtId="0" fontId="8" fillId="2" borderId="137" xfId="0" applyFont="1" applyFill="1" applyBorder="1" applyAlignment="1">
      <alignment horizontal="right" vertical="center"/>
    </xf>
    <xf numFmtId="0" fontId="8" fillId="2" borderId="127" xfId="0" applyFont="1" applyFill="1" applyBorder="1" applyAlignment="1">
      <alignment vertical="center"/>
    </xf>
    <xf numFmtId="10" fontId="8" fillId="86" borderId="127" xfId="20961" applyNumberFormat="1" applyFont="1" applyFill="1" applyBorder="1" applyAlignment="1" applyProtection="1">
      <alignment vertical="center"/>
      <protection locked="0"/>
    </xf>
    <xf numFmtId="0" fontId="14" fillId="0" borderId="137" xfId="0" applyFont="1" applyFill="1" applyBorder="1" applyAlignment="1">
      <alignment horizontal="center" vertical="center" wrapText="1"/>
    </xf>
    <xf numFmtId="0" fontId="8" fillId="0" borderId="127" xfId="0" applyFont="1" applyFill="1" applyBorder="1" applyAlignment="1">
      <alignment horizontal="left" vertical="center" wrapText="1"/>
    </xf>
    <xf numFmtId="0" fontId="8" fillId="2" borderId="142" xfId="0" applyFont="1" applyFill="1" applyBorder="1" applyAlignment="1">
      <alignment horizontal="right" vertical="center"/>
    </xf>
    <xf numFmtId="0" fontId="8" fillId="2" borderId="128" xfId="0" applyFont="1" applyFill="1" applyBorder="1" applyAlignment="1">
      <alignment vertical="center"/>
    </xf>
    <xf numFmtId="194" fontId="8" fillId="2" borderId="127" xfId="20961" applyNumberFormat="1" applyFont="1" applyFill="1" applyBorder="1" applyAlignment="1" applyProtection="1">
      <alignment vertical="center"/>
      <protection locked="0"/>
    </xf>
    <xf numFmtId="0" fontId="8" fillId="2" borderId="135" xfId="0" applyFont="1" applyFill="1" applyBorder="1" applyAlignment="1">
      <alignment horizontal="right" vertical="center"/>
    </xf>
    <xf numFmtId="193" fontId="8" fillId="2" borderId="134" xfId="0" applyNumberFormat="1" applyFont="1" applyFill="1" applyBorder="1" applyAlignment="1" applyProtection="1">
      <alignment vertical="center"/>
      <protection locked="0"/>
    </xf>
    <xf numFmtId="10" fontId="142" fillId="2" borderId="134" xfId="20961" applyNumberFormat="1" applyFont="1" applyFill="1" applyBorder="1" applyAlignment="1" applyProtection="1">
      <alignment vertical="center"/>
      <protection locked="0"/>
    </xf>
    <xf numFmtId="0" fontId="8" fillId="0" borderId="127" xfId="0" applyFont="1" applyFill="1" applyBorder="1" applyAlignment="1" applyProtection="1">
      <alignment horizontal="center" vertical="center" wrapText="1"/>
    </xf>
    <xf numFmtId="193" fontId="8" fillId="36" borderId="127" xfId="0" applyNumberFormat="1" applyFont="1" applyFill="1" applyBorder="1" applyAlignment="1" applyProtection="1">
      <alignment horizontal="right"/>
    </xf>
    <xf numFmtId="0" fontId="14" fillId="0" borderId="127" xfId="0" applyNumberFormat="1" applyFont="1" applyFill="1" applyBorder="1" applyAlignment="1">
      <alignment vertical="center" wrapText="1"/>
    </xf>
    <xf numFmtId="0" fontId="6" fillId="0" borderId="127" xfId="0" applyNumberFormat="1" applyFont="1" applyFill="1" applyBorder="1" applyAlignment="1">
      <alignment horizontal="left" vertical="center" wrapText="1" indent="1"/>
    </xf>
    <xf numFmtId="0" fontId="3" fillId="0" borderId="127" xfId="0" applyFont="1" applyBorder="1" applyAlignment="1">
      <alignment vertical="center"/>
    </xf>
    <xf numFmtId="0" fontId="135" fillId="0" borderId="127" xfId="0" applyFont="1" applyFill="1" applyBorder="1" applyAlignment="1" applyProtection="1">
      <alignment horizontal="left" vertical="center" indent="1"/>
      <protection locked="0"/>
    </xf>
    <xf numFmtId="0" fontId="136" fillId="0" borderId="127" xfId="0" applyFont="1" applyFill="1" applyBorder="1" applyAlignment="1" applyProtection="1">
      <alignment horizontal="left" vertical="center" indent="3"/>
      <protection locked="0"/>
    </xf>
    <xf numFmtId="0" fontId="137" fillId="0" borderId="127" xfId="0" applyFont="1" applyFill="1" applyBorder="1" applyAlignment="1" applyProtection="1">
      <alignment horizontal="left" vertical="center" indent="3"/>
      <protection locked="0"/>
    </xf>
    <xf numFmtId="0" fontId="3" fillId="0" borderId="127" xfId="0" applyFont="1" applyFill="1" applyBorder="1" applyAlignment="1">
      <alignment vertical="center"/>
    </xf>
    <xf numFmtId="0" fontId="8" fillId="0" borderId="136" xfId="0" applyFont="1" applyFill="1" applyBorder="1" applyAlignment="1" applyProtection="1">
      <alignment horizontal="center" vertical="center" wrapText="1"/>
    </xf>
    <xf numFmtId="193" fontId="8" fillId="36" borderId="136" xfId="0" applyNumberFormat="1" applyFont="1" applyFill="1" applyBorder="1" applyAlignment="1" applyProtection="1">
      <alignment horizontal="right"/>
    </xf>
    <xf numFmtId="0" fontId="3" fillId="0" borderId="134" xfId="0" applyFont="1" applyBorder="1"/>
    <xf numFmtId="193" fontId="8" fillId="0" borderId="134" xfId="0" applyNumberFormat="1" applyFont="1" applyFill="1" applyBorder="1" applyAlignment="1" applyProtection="1">
      <alignment horizontal="right"/>
    </xf>
    <xf numFmtId="193" fontId="8" fillId="36" borderId="134" xfId="0" applyNumberFormat="1" applyFont="1" applyFill="1" applyBorder="1" applyAlignment="1" applyProtection="1">
      <alignment horizontal="right"/>
    </xf>
    <xf numFmtId="193" fontId="8" fillId="36" borderId="133" xfId="0" applyNumberFormat="1" applyFont="1" applyFill="1" applyBorder="1" applyAlignment="1" applyProtection="1">
      <alignment horizontal="right"/>
    </xf>
    <xf numFmtId="3" fontId="116" fillId="0" borderId="121" xfId="0" applyNumberFormat="1" applyFont="1" applyBorder="1"/>
    <xf numFmtId="4" fontId="8" fillId="0" borderId="127" xfId="0" applyNumberFormat="1" applyFont="1" applyFill="1" applyBorder="1" applyAlignment="1" applyProtection="1">
      <alignment horizontal="center" vertical="center" wrapText="1"/>
    </xf>
    <xf numFmtId="0" fontId="131" fillId="0" borderId="127" xfId="0" applyFont="1" applyFill="1" applyBorder="1" applyAlignment="1">
      <alignment horizontal="justify" vertical="center" wrapText="1"/>
    </xf>
    <xf numFmtId="4" fontId="0" fillId="36" borderId="127" xfId="0" applyNumberFormat="1" applyFill="1" applyBorder="1"/>
    <xf numFmtId="0" fontId="129" fillId="0" borderId="127" xfId="0" applyFont="1" applyFill="1" applyBorder="1" applyAlignment="1">
      <alignment horizontal="justify" vertical="center" wrapText="1"/>
    </xf>
    <xf numFmtId="0" fontId="131" fillId="0" borderId="127" xfId="21414" applyFont="1" applyFill="1" applyBorder="1" applyAlignment="1">
      <alignment horizontal="justify" vertical="center" wrapText="1"/>
    </xf>
    <xf numFmtId="0" fontId="129" fillId="0" borderId="127" xfId="0" applyFont="1" applyFill="1" applyBorder="1" applyAlignment="1">
      <alignment vertical="center" wrapText="1"/>
    </xf>
    <xf numFmtId="0" fontId="131" fillId="0" borderId="127" xfId="0" applyFont="1" applyFill="1" applyBorder="1" applyAlignment="1">
      <alignment vertical="center" wrapText="1"/>
    </xf>
    <xf numFmtId="0" fontId="131" fillId="0" borderId="127" xfId="21414" applyFont="1" applyFill="1" applyBorder="1" applyAlignment="1">
      <alignment vertical="center" wrapText="1"/>
    </xf>
    <xf numFmtId="4" fontId="8" fillId="0" borderId="136" xfId="0" applyNumberFormat="1" applyFont="1" applyFill="1" applyBorder="1" applyAlignment="1" applyProtection="1">
      <alignment horizontal="center" vertical="center" wrapText="1"/>
    </xf>
    <xf numFmtId="4" fontId="0" fillId="36" borderId="136" xfId="0" applyNumberFormat="1" applyFill="1" applyBorder="1"/>
    <xf numFmtId="0" fontId="0" fillId="0" borderId="135" xfId="0" applyBorder="1" applyAlignment="1">
      <alignment horizontal="center" vertical="center"/>
    </xf>
    <xf numFmtId="0" fontId="131" fillId="0" borderId="134" xfId="21414" applyFont="1" applyFill="1" applyBorder="1" applyAlignment="1">
      <alignment vertical="center" wrapText="1"/>
    </xf>
    <xf numFmtId="4" fontId="0" fillId="36" borderId="134" xfId="0" applyNumberFormat="1" applyFill="1" applyBorder="1"/>
    <xf numFmtId="4" fontId="0" fillId="36" borderId="133" xfId="0" applyNumberFormat="1" applyFill="1" applyBorder="1"/>
    <xf numFmtId="43" fontId="119" fillId="0" borderId="0" xfId="0" applyNumberFormat="1" applyFont="1"/>
    <xf numFmtId="43" fontId="116" fillId="0" borderId="0" xfId="0" applyNumberFormat="1" applyFont="1"/>
    <xf numFmtId="14" fontId="116" fillId="0" borderId="0" xfId="0" applyNumberFormat="1" applyFont="1" applyAlignment="1">
      <alignment horizontal="left"/>
    </xf>
    <xf numFmtId="43" fontId="138" fillId="0" borderId="0" xfId="0" applyNumberFormat="1" applyFont="1"/>
    <xf numFmtId="197" fontId="115" fillId="0" borderId="0" xfId="0" applyNumberFormat="1" applyFont="1"/>
    <xf numFmtId="0" fontId="103" fillId="0" borderId="53" xfId="0" applyFont="1" applyBorder="1" applyAlignment="1">
      <alignment horizontal="left" vertical="center" wrapText="1"/>
    </xf>
    <xf numFmtId="0" fontId="103" fillId="0" borderId="52" xfId="0" applyFont="1" applyBorder="1" applyAlignment="1">
      <alignment horizontal="left" vertical="center" wrapText="1"/>
    </xf>
    <xf numFmtId="0" fontId="0" fillId="0" borderId="127" xfId="0" applyBorder="1" applyAlignment="1">
      <alignment horizontal="center"/>
    </xf>
    <xf numFmtId="0" fontId="0" fillId="0" borderId="136" xfId="0" applyBorder="1" applyAlignment="1">
      <alignment horizontal="center"/>
    </xf>
    <xf numFmtId="0" fontId="0" fillId="0" borderId="9" xfId="0" applyBorder="1" applyAlignment="1">
      <alignment horizontal="center" vertical="center"/>
    </xf>
    <xf numFmtId="0" fontId="0" fillId="0" borderId="137" xfId="0" applyBorder="1" applyAlignment="1">
      <alignment horizontal="center" vertical="center"/>
    </xf>
    <xf numFmtId="0" fontId="127" fillId="0" borderId="10" xfId="0" applyFont="1" applyBorder="1" applyAlignment="1">
      <alignment horizontal="center" vertical="center"/>
    </xf>
    <xf numFmtId="0" fontId="127" fillId="0" borderId="127" xfId="0" applyFont="1" applyBorder="1" applyAlignment="1">
      <alignment horizontal="center" vertical="center"/>
    </xf>
    <xf numFmtId="3" fontId="9" fillId="0" borderId="10" xfId="0" applyNumberFormat="1" applyFont="1" applyFill="1" applyBorder="1" applyAlignment="1" applyProtection="1">
      <alignment horizontal="center" vertical="center"/>
    </xf>
    <xf numFmtId="3" fontId="9" fillId="0" borderId="11" xfId="0" applyNumberFormat="1" applyFont="1" applyFill="1" applyBorder="1" applyAlignment="1" applyProtection="1">
      <alignment horizontal="center" vertical="center"/>
    </xf>
    <xf numFmtId="0" fontId="127" fillId="0" borderId="10" xfId="0" applyFont="1" applyBorder="1" applyAlignment="1">
      <alignment horizontal="center" vertical="center" wrapText="1"/>
    </xf>
    <xf numFmtId="0" fontId="127" fillId="0" borderId="127" xfId="0" applyFont="1" applyBorder="1" applyAlignment="1">
      <alignment horizontal="center" vertical="center" wrapText="1"/>
    </xf>
    <xf numFmtId="4" fontId="9" fillId="0" borderId="10" xfId="0" applyNumberFormat="1" applyFont="1" applyFill="1" applyBorder="1" applyAlignment="1" applyProtection="1">
      <alignment horizontal="center" vertical="center"/>
    </xf>
    <xf numFmtId="4" fontId="9" fillId="0" borderId="11" xfId="0" applyNumberFormat="1" applyFont="1" applyFill="1" applyBorder="1" applyAlignment="1" applyProtection="1">
      <alignment horizontal="center" vertical="center"/>
    </xf>
    <xf numFmtId="0" fontId="0" fillId="0" borderId="10" xfId="0" applyBorder="1" applyAlignment="1">
      <alignment horizontal="center" vertical="center" wrapText="1"/>
    </xf>
    <xf numFmtId="0" fontId="0" fillId="0" borderId="127" xfId="0" applyBorder="1" applyAlignment="1">
      <alignment horizontal="center" vertical="center" wrapText="1"/>
    </xf>
    <xf numFmtId="0" fontId="9" fillId="0" borderId="10" xfId="0" applyFont="1" applyFill="1" applyBorder="1" applyAlignment="1" applyProtection="1">
      <alignment horizontal="center"/>
    </xf>
    <xf numFmtId="0" fontId="9" fillId="0" borderId="11" xfId="0" applyFont="1" applyFill="1" applyBorder="1" applyAlignment="1" applyProtection="1">
      <alignment horizontal="center"/>
    </xf>
    <xf numFmtId="0" fontId="12" fillId="0" borderId="127" xfId="0" applyFont="1" applyBorder="1" applyAlignment="1">
      <alignment wrapText="1"/>
    </xf>
    <xf numFmtId="0" fontId="4" fillId="0" borderId="136" xfId="0" applyFont="1" applyBorder="1" applyAlignment="1"/>
    <xf numFmtId="0" fontId="9" fillId="0" borderId="127" xfId="0" applyFont="1" applyBorder="1" applyAlignment="1">
      <alignment horizontal="left" vertical="center" wrapText="1"/>
    </xf>
    <xf numFmtId="0" fontId="9" fillId="0" borderId="136" xfId="0" applyFont="1" applyBorder="1" applyAlignment="1">
      <alignment horizontal="left" vertical="center" wrapText="1"/>
    </xf>
    <xf numFmtId="0" fontId="9" fillId="0" borderId="127" xfId="0" applyFont="1" applyBorder="1" applyAlignment="1">
      <alignment horizontal="center" vertical="center" wrapText="1"/>
    </xf>
    <xf numFmtId="0" fontId="9" fillId="0" borderId="136" xfId="0" applyFont="1" applyBorder="1" applyAlignment="1">
      <alignment horizontal="center" vertical="center" wrapText="1"/>
    </xf>
    <xf numFmtId="0" fontId="4" fillId="0" borderId="127" xfId="0" applyFont="1" applyFill="1" applyBorder="1" applyAlignment="1">
      <alignment horizontal="center" vertical="center" wrapText="1"/>
    </xf>
    <xf numFmtId="3" fontId="20" fillId="0" borderId="127" xfId="0" applyNumberFormat="1" applyFont="1" applyFill="1" applyBorder="1" applyAlignment="1">
      <alignment horizontal="left" vertical="center" wrapText="1"/>
    </xf>
    <xf numFmtId="3" fontId="20" fillId="0" borderId="127" xfId="0" applyNumberFormat="1" applyFont="1" applyFill="1" applyBorder="1" applyAlignment="1">
      <alignment horizontal="left"/>
    </xf>
    <xf numFmtId="3" fontId="20" fillId="0" borderId="136" xfId="0" applyNumberFormat="1" applyFont="1" applyFill="1" applyBorder="1" applyAlignment="1">
      <alignment horizontal="left"/>
    </xf>
    <xf numFmtId="0" fontId="5" fillId="36" borderId="102" xfId="0" applyFont="1" applyFill="1" applyBorder="1" applyAlignment="1">
      <alignment horizontal="center" vertical="center" wrapText="1"/>
    </xf>
    <xf numFmtId="0" fontId="5" fillId="36" borderId="21" xfId="0" applyFont="1" applyFill="1" applyBorder="1" applyAlignment="1">
      <alignment horizontal="center" vertical="center" wrapText="1"/>
    </xf>
    <xf numFmtId="0" fontId="5" fillId="36" borderId="99" xfId="0" applyFont="1" applyFill="1" applyBorder="1" applyAlignment="1">
      <alignment horizontal="center" vertical="center" wrapText="1"/>
    </xf>
    <xf numFmtId="0" fontId="5" fillId="36" borderId="84" xfId="0" applyFont="1" applyFill="1" applyBorder="1" applyAlignment="1">
      <alignment horizontal="center" vertical="center" wrapText="1"/>
    </xf>
    <xf numFmtId="0" fontId="100" fillId="3" borderId="54" xfId="13" applyFont="1" applyFill="1" applyBorder="1" applyAlignment="1" applyProtection="1">
      <alignment horizontal="center" vertical="center" wrapText="1"/>
      <protection locked="0"/>
    </xf>
    <xf numFmtId="0" fontId="100" fillId="3" borderId="51" xfId="13" applyFont="1" applyFill="1" applyBorder="1" applyAlignment="1" applyProtection="1">
      <alignment horizontal="center" vertical="center" wrapText="1"/>
      <protection locked="0"/>
    </xf>
    <xf numFmtId="9" fontId="4" fillId="0" borderId="5" xfId="0" applyNumberFormat="1" applyFont="1" applyBorder="1" applyAlignment="1">
      <alignment horizontal="center" vertical="center"/>
    </xf>
    <xf numFmtId="9" fontId="4" fillId="0" borderId="7"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164" fontId="14" fillId="3" borderId="9" xfId="1" applyNumberFormat="1" applyFont="1" applyFill="1" applyBorder="1" applyAlignment="1" applyProtection="1">
      <alignment horizontal="center"/>
      <protection locked="0"/>
    </xf>
    <xf numFmtId="164" fontId="14" fillId="3" borderId="10" xfId="1" applyNumberFormat="1" applyFont="1" applyFill="1" applyBorder="1" applyAlignment="1" applyProtection="1">
      <alignment horizontal="center"/>
      <protection locked="0"/>
    </xf>
    <xf numFmtId="164" fontId="14" fillId="3" borderId="11" xfId="1" applyNumberFormat="1" applyFont="1" applyFill="1" applyBorder="1" applyAlignment="1" applyProtection="1">
      <alignment horizontal="center"/>
      <protection locked="0"/>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164" fontId="14" fillId="0" borderId="77" xfId="1" applyNumberFormat="1" applyFont="1" applyFill="1" applyBorder="1" applyAlignment="1" applyProtection="1">
      <alignment horizontal="center" vertical="center" wrapText="1"/>
      <protection locked="0"/>
    </xf>
    <xf numFmtId="164" fontId="14" fillId="0" borderId="78"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5" xfId="0" applyFont="1" applyFill="1" applyBorder="1" applyAlignment="1">
      <alignment horizontal="center" wrapText="1"/>
    </xf>
    <xf numFmtId="0" fontId="4" fillId="0" borderId="7" xfId="0" applyFont="1" applyFill="1" applyBorder="1" applyAlignment="1">
      <alignment horizontal="center" wrapText="1"/>
    </xf>
    <xf numFmtId="0" fontId="4" fillId="0" borderId="49"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92" xfId="0" applyFont="1" applyFill="1" applyBorder="1" applyAlignment="1">
      <alignment horizontal="center" vertical="center" wrapText="1"/>
    </xf>
    <xf numFmtId="0" fontId="13" fillId="0" borderId="46" xfId="0" applyFont="1" applyFill="1" applyBorder="1" applyAlignment="1">
      <alignment horizontal="left" vertical="center"/>
    </xf>
    <xf numFmtId="0" fontId="13" fillId="0" borderId="47" xfId="0" applyFont="1" applyFill="1" applyBorder="1" applyAlignment="1">
      <alignment horizontal="left" vertical="center"/>
    </xf>
    <xf numFmtId="0" fontId="4" fillId="0" borderId="10" xfId="0" applyFont="1" applyBorder="1" applyAlignment="1">
      <alignment horizontal="center"/>
    </xf>
    <xf numFmtId="0" fontId="4" fillId="0" borderId="11" xfId="0" applyFont="1" applyBorder="1" applyAlignment="1">
      <alignment horizontal="center" vertical="center" wrapText="1"/>
    </xf>
    <xf numFmtId="0" fontId="4" fillId="0" borderId="98" xfId="0" applyFont="1" applyBorder="1" applyAlignment="1">
      <alignment horizontal="center" vertical="center" wrapText="1"/>
    </xf>
    <xf numFmtId="0" fontId="118" fillId="0" borderId="105" xfId="0" applyNumberFormat="1" applyFont="1" applyFill="1" applyBorder="1" applyAlignment="1">
      <alignment horizontal="left" vertical="center" wrapText="1"/>
    </xf>
    <xf numFmtId="0" fontId="118" fillId="0" borderId="106" xfId="0" applyNumberFormat="1" applyFont="1" applyFill="1" applyBorder="1" applyAlignment="1">
      <alignment horizontal="left" vertical="center" wrapText="1"/>
    </xf>
    <xf numFmtId="0" fontId="118" fillId="0" borderId="108" xfId="0" applyNumberFormat="1" applyFont="1" applyFill="1" applyBorder="1" applyAlignment="1">
      <alignment horizontal="left" vertical="center" wrapText="1"/>
    </xf>
    <xf numFmtId="0" fontId="118" fillId="0" borderId="109" xfId="0" applyNumberFormat="1" applyFont="1" applyFill="1" applyBorder="1" applyAlignment="1">
      <alignment horizontal="left" vertical="center" wrapText="1"/>
    </xf>
    <xf numFmtId="0" fontId="118" fillId="0" borderId="111" xfId="0" applyNumberFormat="1" applyFont="1" applyFill="1" applyBorder="1" applyAlignment="1">
      <alignment horizontal="left" vertical="center" wrapText="1"/>
    </xf>
    <xf numFmtId="0" fontId="118" fillId="0" borderId="112" xfId="0" applyNumberFormat="1" applyFont="1" applyFill="1" applyBorder="1" applyAlignment="1">
      <alignment horizontal="left" vertical="center" wrapText="1"/>
    </xf>
    <xf numFmtId="4" fontId="119" fillId="0" borderId="126" xfId="0" applyNumberFormat="1" applyFont="1" applyFill="1" applyBorder="1" applyAlignment="1">
      <alignment horizontal="center" vertical="center" wrapText="1"/>
    </xf>
    <xf numFmtId="4" fontId="119" fillId="0" borderId="125" xfId="0" applyNumberFormat="1" applyFont="1" applyFill="1" applyBorder="1" applyAlignment="1">
      <alignment horizontal="center" vertical="center" wrapText="1"/>
    </xf>
    <xf numFmtId="4" fontId="119" fillId="0" borderId="107" xfId="0" applyNumberFormat="1" applyFont="1" applyFill="1" applyBorder="1" applyAlignment="1">
      <alignment horizontal="center" vertical="center" wrapText="1"/>
    </xf>
    <xf numFmtId="4" fontId="119" fillId="0" borderId="45" xfId="0" applyNumberFormat="1" applyFont="1" applyFill="1" applyBorder="1" applyAlignment="1">
      <alignment horizontal="center" vertical="center" wrapText="1"/>
    </xf>
    <xf numFmtId="4" fontId="119" fillId="0" borderId="110" xfId="0" applyNumberFormat="1" applyFont="1" applyFill="1" applyBorder="1" applyAlignment="1">
      <alignment horizontal="center" vertical="center" wrapText="1"/>
    </xf>
    <xf numFmtId="4" fontId="119" fillId="0" borderId="8" xfId="0" applyNumberFormat="1" applyFont="1" applyFill="1" applyBorder="1" applyAlignment="1">
      <alignment horizontal="center" vertical="center" wrapText="1"/>
    </xf>
    <xf numFmtId="0" fontId="115" fillId="0" borderId="128" xfId="0" applyFont="1" applyBorder="1" applyAlignment="1">
      <alignment horizontal="center" vertical="center" wrapText="1"/>
    </xf>
    <xf numFmtId="0" fontId="115" fillId="0" borderId="4" xfId="0" applyFont="1" applyBorder="1" applyAlignment="1">
      <alignment horizontal="center" vertical="center" wrapText="1"/>
    </xf>
    <xf numFmtId="0" fontId="115" fillId="0" borderId="127" xfId="0" applyFont="1" applyBorder="1" applyAlignment="1">
      <alignment horizontal="center" vertical="center" wrapText="1"/>
    </xf>
    <xf numFmtId="0" fontId="115" fillId="0" borderId="130" xfId="0" applyFont="1" applyBorder="1" applyAlignment="1">
      <alignment horizontal="center" vertical="center" wrapText="1"/>
    </xf>
    <xf numFmtId="0" fontId="115" fillId="0" borderId="129" xfId="0" applyFont="1" applyBorder="1" applyAlignment="1">
      <alignment horizontal="center" vertical="center" wrapText="1"/>
    </xf>
    <xf numFmtId="0" fontId="123" fillId="0" borderId="127" xfId="0" applyFont="1" applyFill="1" applyBorder="1" applyAlignment="1">
      <alignment horizontal="center" vertical="center"/>
    </xf>
    <xf numFmtId="0" fontId="117" fillId="0" borderId="126" xfId="0" applyFont="1" applyFill="1" applyBorder="1" applyAlignment="1">
      <alignment horizontal="center" vertical="center"/>
    </xf>
    <xf numFmtId="0" fontId="117" fillId="0" borderId="131" xfId="0" applyFont="1" applyFill="1" applyBorder="1" applyAlignment="1">
      <alignment horizontal="center" vertical="center"/>
    </xf>
    <xf numFmtId="0" fontId="117" fillId="0" borderId="45" xfId="0" applyFont="1" applyFill="1" applyBorder="1" applyAlignment="1">
      <alignment horizontal="center" vertical="center"/>
    </xf>
    <xf numFmtId="0" fontId="117" fillId="0" borderId="8" xfId="0" applyFont="1" applyFill="1" applyBorder="1" applyAlignment="1">
      <alignment horizontal="center" vertical="center"/>
    </xf>
    <xf numFmtId="0" fontId="118" fillId="0" borderId="127" xfId="0" applyFont="1" applyFill="1" applyBorder="1" applyAlignment="1">
      <alignment horizontal="center" vertical="center" wrapText="1"/>
    </xf>
    <xf numFmtId="0" fontId="118" fillId="0" borderId="126" xfId="0" applyFont="1" applyFill="1" applyBorder="1" applyAlignment="1">
      <alignment horizontal="center" vertical="center" wrapText="1"/>
    </xf>
    <xf numFmtId="0" fontId="118" fillId="0" borderId="131" xfId="0" applyFont="1" applyFill="1" applyBorder="1" applyAlignment="1">
      <alignment horizontal="center" vertical="center" wrapText="1"/>
    </xf>
    <xf numFmtId="0" fontId="118" fillId="0" borderId="113" xfId="0" applyFont="1" applyFill="1" applyBorder="1" applyAlignment="1">
      <alignment horizontal="center" vertical="center" wrapText="1"/>
    </xf>
    <xf numFmtId="0" fontId="118" fillId="0" borderId="114" xfId="0" applyFont="1" applyFill="1" applyBorder="1" applyAlignment="1">
      <alignment horizontal="center" vertical="center" wrapText="1"/>
    </xf>
    <xf numFmtId="0" fontId="118" fillId="0" borderId="45" xfId="0" applyFont="1" applyFill="1" applyBorder="1" applyAlignment="1">
      <alignment horizontal="center" vertical="center" wrapText="1"/>
    </xf>
    <xf numFmtId="0" fontId="118" fillId="0" borderId="8" xfId="0" applyFont="1" applyFill="1" applyBorder="1" applyAlignment="1">
      <alignment horizontal="center" vertical="center" wrapText="1"/>
    </xf>
    <xf numFmtId="0" fontId="115" fillId="0" borderId="130" xfId="0" applyFont="1" applyFill="1" applyBorder="1" applyAlignment="1">
      <alignment horizontal="center" vertical="center" wrapText="1"/>
    </xf>
    <xf numFmtId="0" fontId="115" fillId="0" borderId="132" xfId="0" applyFont="1" applyFill="1" applyBorder="1" applyAlignment="1">
      <alignment horizontal="center" vertical="center" wrapText="1"/>
    </xf>
    <xf numFmtId="3" fontId="118" fillId="0" borderId="115" xfId="0" applyNumberFormat="1" applyFont="1" applyFill="1" applyBorder="1" applyAlignment="1">
      <alignment horizontal="center" vertical="center" wrapText="1"/>
    </xf>
    <xf numFmtId="3" fontId="118" fillId="0" borderId="4" xfId="0" applyNumberFormat="1" applyFont="1" applyFill="1" applyBorder="1" applyAlignment="1">
      <alignment horizontal="center" vertical="center" wrapText="1"/>
    </xf>
    <xf numFmtId="0" fontId="115" fillId="0" borderId="115" xfId="0" applyFont="1" applyFill="1" applyBorder="1" applyAlignment="1">
      <alignment horizontal="center" vertical="center" wrapText="1"/>
    </xf>
    <xf numFmtId="0" fontId="115" fillId="0" borderId="126" xfId="0" applyFont="1" applyFill="1" applyBorder="1" applyAlignment="1">
      <alignment horizontal="center" vertical="center" wrapText="1"/>
    </xf>
    <xf numFmtId="0" fontId="115" fillId="0" borderId="125" xfId="0" applyFont="1" applyFill="1" applyBorder="1" applyAlignment="1">
      <alignment horizontal="center" vertical="center" wrapText="1"/>
    </xf>
    <xf numFmtId="0" fontId="115" fillId="0" borderId="131" xfId="0" applyFont="1" applyFill="1" applyBorder="1" applyAlignment="1">
      <alignment horizontal="center" vertical="center" wrapText="1"/>
    </xf>
    <xf numFmtId="0" fontId="115" fillId="0" borderId="8" xfId="0" applyFont="1" applyBorder="1" applyAlignment="1">
      <alignment horizontal="center" vertical="center" wrapText="1"/>
    </xf>
    <xf numFmtId="0" fontId="115" fillId="0" borderId="136" xfId="0" applyFont="1" applyBorder="1" applyAlignment="1">
      <alignment horizontal="center" vertical="center" wrapText="1"/>
    </xf>
    <xf numFmtId="0" fontId="115" fillId="0" borderId="46" xfId="0" applyFont="1" applyFill="1" applyBorder="1" applyAlignment="1">
      <alignment horizontal="center" vertical="center" wrapText="1"/>
    </xf>
    <xf numFmtId="0" fontId="115" fillId="0" borderId="47" xfId="0" applyFont="1" applyFill="1" applyBorder="1" applyAlignment="1">
      <alignment horizontal="center" vertical="center" wrapText="1"/>
    </xf>
    <xf numFmtId="0" fontId="115" fillId="0" borderId="92" xfId="0" applyFont="1" applyFill="1" applyBorder="1" applyAlignment="1">
      <alignment horizontal="center" vertical="center" wrapText="1"/>
    </xf>
    <xf numFmtId="0" fontId="118" fillId="0" borderId="46" xfId="0" applyNumberFormat="1" applyFont="1" applyFill="1" applyBorder="1" applyAlignment="1">
      <alignment horizontal="left" vertical="top" wrapText="1"/>
    </xf>
    <xf numFmtId="0" fontId="118" fillId="0" borderId="92" xfId="0" applyNumberFormat="1" applyFont="1" applyFill="1" applyBorder="1" applyAlignment="1">
      <alignment horizontal="left" vertical="top" wrapText="1"/>
    </xf>
    <xf numFmtId="0" fontId="118" fillId="0" borderId="50" xfId="0" applyNumberFormat="1" applyFont="1" applyFill="1" applyBorder="1" applyAlignment="1">
      <alignment horizontal="left" vertical="top" wrapText="1"/>
    </xf>
    <xf numFmtId="0" fontId="118" fillId="0" borderId="79" xfId="0" applyNumberFormat="1" applyFont="1" applyFill="1" applyBorder="1" applyAlignment="1">
      <alignment horizontal="left" vertical="top" wrapText="1"/>
    </xf>
    <xf numFmtId="0" fontId="118" fillId="0" borderId="104" xfId="0" applyNumberFormat="1" applyFont="1" applyFill="1" applyBorder="1" applyAlignment="1">
      <alignment horizontal="left" vertical="top" wrapText="1"/>
    </xf>
    <xf numFmtId="0" fontId="118" fillId="0" borderId="138" xfId="0" applyNumberFormat="1" applyFont="1" applyFill="1" applyBorder="1" applyAlignment="1">
      <alignment horizontal="left" vertical="top" wrapText="1"/>
    </xf>
    <xf numFmtId="0" fontId="115" fillId="0" borderId="128" xfId="0" applyFont="1" applyFill="1" applyBorder="1" applyAlignment="1">
      <alignment horizontal="center" vertical="center" wrapText="1"/>
    </xf>
    <xf numFmtId="0" fontId="118" fillId="0" borderId="139" xfId="0" applyFont="1" applyFill="1" applyBorder="1" applyAlignment="1">
      <alignment horizontal="center" vertical="center" wrapText="1"/>
    </xf>
    <xf numFmtId="0" fontId="118" fillId="0" borderId="56" xfId="0" applyFont="1" applyFill="1" applyBorder="1" applyAlignment="1">
      <alignment horizontal="center" vertical="center" wrapText="1"/>
    </xf>
    <xf numFmtId="0" fontId="115" fillId="0" borderId="126" xfId="0" applyFont="1" applyBorder="1" applyAlignment="1">
      <alignment horizontal="center" vertical="top" wrapText="1"/>
    </xf>
    <xf numFmtId="0" fontId="115" fillId="0" borderId="125" xfId="0" applyFont="1" applyBorder="1" applyAlignment="1">
      <alignment horizontal="center" vertical="top" wrapText="1"/>
    </xf>
    <xf numFmtId="0" fontId="115" fillId="0" borderId="126" xfId="0" applyFont="1" applyFill="1" applyBorder="1" applyAlignment="1">
      <alignment horizontal="center" vertical="top" wrapText="1"/>
    </xf>
    <xf numFmtId="0" fontId="115" fillId="0" borderId="132" xfId="0" applyFont="1" applyFill="1" applyBorder="1" applyAlignment="1">
      <alignment horizontal="center" vertical="top" wrapText="1"/>
    </xf>
    <xf numFmtId="0" fontId="115" fillId="0" borderId="129" xfId="0" applyFont="1" applyFill="1" applyBorder="1" applyAlignment="1">
      <alignment horizontal="center" vertical="top" wrapText="1"/>
    </xf>
    <xf numFmtId="0" fontId="104" fillId="0" borderId="116" xfId="0" applyNumberFormat="1" applyFont="1" applyFill="1" applyBorder="1" applyAlignment="1">
      <alignment horizontal="left" vertical="top" wrapText="1"/>
    </xf>
    <xf numFmtId="0" fontId="104" fillId="0" borderId="117" xfId="0" applyNumberFormat="1" applyFont="1" applyFill="1" applyBorder="1" applyAlignment="1">
      <alignment horizontal="left" vertical="top" wrapText="1"/>
    </xf>
    <xf numFmtId="0" fontId="121" fillId="0" borderId="127" xfId="0" applyFont="1" applyBorder="1" applyAlignment="1">
      <alignment horizontal="center" vertical="center"/>
    </xf>
    <xf numFmtId="0" fontId="120" fillId="0" borderId="127" xfId="0" applyFont="1" applyBorder="1" applyAlignment="1">
      <alignment horizontal="center" vertical="center" wrapText="1"/>
    </xf>
    <xf numFmtId="0" fontId="120" fillId="0" borderId="128" xfId="0" applyFont="1" applyBorder="1" applyAlignment="1">
      <alignment horizontal="center" vertical="center" wrapText="1"/>
    </xf>
    <xf numFmtId="0" fontId="104" fillId="0" borderId="57" xfId="0" applyFont="1" applyFill="1" applyBorder="1" applyAlignment="1">
      <alignment horizontal="center" vertical="center"/>
    </xf>
    <xf numFmtId="0" fontId="104" fillId="0" borderId="58" xfId="0" applyFont="1" applyFill="1" applyBorder="1" applyAlignment="1">
      <alignment horizontal="center" vertical="center"/>
    </xf>
    <xf numFmtId="0" fontId="104" fillId="0" borderId="59" xfId="0" applyFont="1" applyFill="1" applyBorder="1" applyAlignment="1">
      <alignment horizontal="center" vertical="center"/>
    </xf>
    <xf numFmtId="0" fontId="105" fillId="0" borderId="85" xfId="0" applyFont="1" applyFill="1" applyBorder="1" applyAlignment="1">
      <alignment horizontal="left" vertical="center" wrapText="1"/>
    </xf>
    <xf numFmtId="0" fontId="104" fillId="76" borderId="60" xfId="0" applyFont="1" applyFill="1" applyBorder="1" applyAlignment="1">
      <alignment horizontal="center" vertical="center" wrapText="1"/>
    </xf>
    <xf numFmtId="0" fontId="104" fillId="76" borderId="61" xfId="0" applyFont="1" applyFill="1" applyBorder="1" applyAlignment="1">
      <alignment horizontal="center" vertical="center" wrapText="1"/>
    </xf>
    <xf numFmtId="0" fontId="104" fillId="76" borderId="62" xfId="0" applyFont="1" applyFill="1" applyBorder="1" applyAlignment="1">
      <alignment horizontal="center" vertical="center" wrapText="1"/>
    </xf>
    <xf numFmtId="0" fontId="105" fillId="0" borderId="45" xfId="0" applyFont="1" applyFill="1" applyBorder="1" applyAlignment="1">
      <alignment horizontal="left" vertical="center" wrapText="1"/>
    </xf>
    <xf numFmtId="0" fontId="105" fillId="0" borderId="8" xfId="0" applyFont="1" applyFill="1" applyBorder="1" applyAlignment="1">
      <alignment horizontal="left" vertical="center" wrapText="1"/>
    </xf>
    <xf numFmtId="0" fontId="105" fillId="0" borderId="86" xfId="0" applyFont="1" applyFill="1" applyBorder="1" applyAlignment="1">
      <alignment horizontal="left" vertical="center" wrapText="1"/>
    </xf>
    <xf numFmtId="0" fontId="105" fillId="0" borderId="84" xfId="0" applyFont="1" applyFill="1" applyBorder="1" applyAlignment="1">
      <alignment horizontal="left" vertical="center" wrapText="1"/>
    </xf>
    <xf numFmtId="0" fontId="105" fillId="3" borderId="86" xfId="0" applyFont="1" applyFill="1" applyBorder="1" applyAlignment="1">
      <alignment vertical="center" wrapText="1"/>
    </xf>
    <xf numFmtId="0" fontId="105" fillId="3" borderId="84" xfId="0" applyFont="1" applyFill="1" applyBorder="1" applyAlignment="1">
      <alignment vertical="center" wrapText="1"/>
    </xf>
    <xf numFmtId="0" fontId="125" fillId="3" borderId="86" xfId="0" applyFont="1" applyFill="1" applyBorder="1" applyAlignment="1">
      <alignment vertical="center" wrapText="1"/>
    </xf>
    <xf numFmtId="0" fontId="125" fillId="3" borderId="84" xfId="0" applyFont="1" applyFill="1" applyBorder="1" applyAlignment="1">
      <alignment vertical="center" wrapText="1"/>
    </xf>
    <xf numFmtId="0" fontId="105" fillId="0" borderId="86" xfId="0" applyFont="1" applyFill="1" applyBorder="1" applyAlignment="1">
      <alignment horizontal="left"/>
    </xf>
    <xf numFmtId="0" fontId="105" fillId="0" borderId="84" xfId="0" applyFont="1" applyFill="1" applyBorder="1" applyAlignment="1">
      <alignment horizontal="left"/>
    </xf>
    <xf numFmtId="0" fontId="105" fillId="82" borderId="86" xfId="0" applyFont="1" applyFill="1" applyBorder="1" applyAlignment="1">
      <alignment vertical="center" wrapText="1"/>
    </xf>
    <xf numFmtId="0" fontId="105" fillId="82" borderId="84" xfId="0" applyFont="1" applyFill="1" applyBorder="1" applyAlignment="1">
      <alignment vertical="center" wrapText="1"/>
    </xf>
    <xf numFmtId="0" fontId="105" fillId="82" borderId="122" xfId="0" applyFont="1" applyFill="1" applyBorder="1" applyAlignment="1">
      <alignment horizontal="left" vertical="center" wrapText="1"/>
    </xf>
    <xf numFmtId="0" fontId="105" fillId="82" borderId="123" xfId="0" applyFont="1" applyFill="1" applyBorder="1" applyAlignment="1">
      <alignment horizontal="left" vertical="center" wrapText="1"/>
    </xf>
    <xf numFmtId="0" fontId="105" fillId="82" borderId="124" xfId="0" applyFont="1" applyFill="1" applyBorder="1" applyAlignment="1">
      <alignment horizontal="left" vertical="center" wrapText="1"/>
    </xf>
    <xf numFmtId="0" fontId="105" fillId="3" borderId="64" xfId="0" applyFont="1" applyFill="1" applyBorder="1" applyAlignment="1">
      <alignment horizontal="left" vertical="center" wrapText="1"/>
    </xf>
    <xf numFmtId="0" fontId="105" fillId="3" borderId="65" xfId="0" applyFont="1" applyFill="1" applyBorder="1" applyAlignment="1">
      <alignment horizontal="left" vertical="center" wrapText="1"/>
    </xf>
    <xf numFmtId="0" fontId="105" fillId="82" borderId="67" xfId="0" applyFont="1" applyFill="1" applyBorder="1" applyAlignment="1">
      <alignment horizontal="left" vertical="center" wrapText="1"/>
    </xf>
    <xf numFmtId="0" fontId="105" fillId="82" borderId="68" xfId="0" applyFont="1" applyFill="1" applyBorder="1" applyAlignment="1">
      <alignment horizontal="left" vertical="center" wrapText="1"/>
    </xf>
    <xf numFmtId="0" fontId="105" fillId="82" borderId="45" xfId="0" applyFont="1" applyFill="1" applyBorder="1" applyAlignment="1">
      <alignment vertical="center" wrapText="1"/>
    </xf>
    <xf numFmtId="0" fontId="105" fillId="82" borderId="8" xfId="0" applyFont="1" applyFill="1" applyBorder="1" applyAlignment="1">
      <alignment vertical="center" wrapText="1"/>
    </xf>
    <xf numFmtId="0" fontId="105" fillId="0" borderId="64" xfId="0" applyFont="1" applyFill="1" applyBorder="1" applyAlignment="1">
      <alignment horizontal="left" vertical="center" wrapText="1"/>
    </xf>
    <xf numFmtId="0" fontId="105" fillId="0" borderId="65" xfId="0" applyFont="1" applyFill="1" applyBorder="1" applyAlignment="1">
      <alignment horizontal="left" vertical="center" wrapText="1"/>
    </xf>
    <xf numFmtId="0" fontId="105" fillId="3" borderId="86" xfId="0" applyFont="1" applyFill="1" applyBorder="1" applyAlignment="1">
      <alignment horizontal="left" vertical="center" wrapText="1"/>
    </xf>
    <xf numFmtId="0" fontId="105" fillId="3" borderId="84" xfId="0" applyFont="1" applyFill="1" applyBorder="1" applyAlignment="1">
      <alignment horizontal="left" vertical="center" wrapText="1"/>
    </xf>
    <xf numFmtId="0" fontId="104" fillId="76" borderId="69" xfId="0" applyFont="1" applyFill="1" applyBorder="1" applyAlignment="1">
      <alignment horizontal="center" vertical="center" wrapText="1"/>
    </xf>
    <xf numFmtId="0" fontId="104" fillId="76" borderId="0" xfId="0" applyFont="1" applyFill="1" applyBorder="1" applyAlignment="1">
      <alignment horizontal="center" vertical="center" wrapText="1"/>
    </xf>
    <xf numFmtId="0" fontId="104" fillId="76" borderId="70" xfId="0" applyFont="1" applyFill="1" applyBorder="1" applyAlignment="1">
      <alignment horizontal="center" vertical="center" wrapText="1"/>
    </xf>
    <xf numFmtId="0" fontId="105" fillId="77" borderId="86" xfId="0" applyFont="1" applyFill="1" applyBorder="1" applyAlignment="1">
      <alignment vertical="center" wrapText="1"/>
    </xf>
    <xf numFmtId="0" fontId="105" fillId="77" borderId="84" xfId="0" applyFont="1" applyFill="1" applyBorder="1" applyAlignment="1">
      <alignment vertical="center" wrapText="1"/>
    </xf>
    <xf numFmtId="0" fontId="105" fillId="0" borderId="86" xfId="0" applyFont="1" applyFill="1" applyBorder="1" applyAlignment="1">
      <alignment vertical="center" wrapText="1"/>
    </xf>
    <xf numFmtId="0" fontId="105" fillId="0" borderId="84" xfId="0" applyFont="1" applyFill="1" applyBorder="1" applyAlignment="1">
      <alignment vertical="center" wrapText="1"/>
    </xf>
    <xf numFmtId="0" fontId="104" fillId="76" borderId="74" xfId="0" applyFont="1" applyFill="1" applyBorder="1" applyAlignment="1">
      <alignment horizontal="center" vertical="center"/>
    </xf>
    <xf numFmtId="0" fontId="104" fillId="76" borderId="75" xfId="0" applyFont="1" applyFill="1" applyBorder="1" applyAlignment="1">
      <alignment horizontal="center" vertical="center"/>
    </xf>
    <xf numFmtId="0" fontId="104" fillId="76" borderId="76" xfId="0" applyFont="1" applyFill="1" applyBorder="1" applyAlignment="1">
      <alignment horizontal="center" vertical="center"/>
    </xf>
    <xf numFmtId="0" fontId="104" fillId="76" borderId="127" xfId="0" applyFont="1" applyFill="1" applyBorder="1" applyAlignment="1">
      <alignment horizontal="center" vertical="center" wrapText="1"/>
    </xf>
    <xf numFmtId="0" fontId="104" fillId="0" borderId="127" xfId="0" applyFont="1" applyFill="1" applyBorder="1" applyAlignment="1">
      <alignment horizontal="center" vertical="center"/>
    </xf>
    <xf numFmtId="0" fontId="105" fillId="0" borderId="130" xfId="13" applyFont="1" applyFill="1" applyBorder="1" applyAlignment="1" applyProtection="1">
      <alignment horizontal="left" vertical="top" wrapText="1"/>
      <protection locked="0"/>
    </xf>
    <xf numFmtId="0" fontId="105" fillId="0" borderId="129" xfId="13" applyFont="1" applyFill="1" applyBorder="1" applyAlignment="1" applyProtection="1">
      <alignment horizontal="left" vertical="top" wrapText="1"/>
      <protection locked="0"/>
    </xf>
    <xf numFmtId="0" fontId="105" fillId="3" borderId="130" xfId="13" applyFont="1" applyFill="1" applyBorder="1" applyAlignment="1" applyProtection="1">
      <alignment horizontal="left" vertical="top" wrapText="1"/>
      <protection locked="0"/>
    </xf>
    <xf numFmtId="0" fontId="105" fillId="3" borderId="129" xfId="13" applyFont="1" applyFill="1" applyBorder="1" applyAlignment="1" applyProtection="1">
      <alignment horizontal="left" vertical="top" wrapText="1"/>
      <protection locked="0"/>
    </xf>
    <xf numFmtId="0" fontId="104" fillId="0" borderId="72" xfId="0" applyFont="1" applyFill="1" applyBorder="1" applyAlignment="1">
      <alignment horizontal="center" vertical="center"/>
    </xf>
    <xf numFmtId="49" fontId="105" fillId="0" borderId="0" xfId="0" applyNumberFormat="1" applyFont="1" applyFill="1" applyBorder="1" applyAlignment="1">
      <alignment horizontal="center" vertical="center"/>
    </xf>
    <xf numFmtId="0" fontId="104" fillId="76" borderId="130" xfId="0" applyFont="1" applyFill="1" applyBorder="1" applyAlignment="1">
      <alignment horizontal="center" vertical="center" wrapText="1"/>
    </xf>
    <xf numFmtId="0" fontId="104" fillId="76" borderId="129" xfId="0" applyFont="1" applyFill="1" applyBorder="1" applyAlignment="1">
      <alignment horizontal="center" vertical="center" wrapText="1"/>
    </xf>
    <xf numFmtId="0" fontId="105" fillId="0" borderId="130" xfId="0" applyNumberFormat="1" applyFont="1" applyFill="1" applyBorder="1" applyAlignment="1">
      <alignment horizontal="left" vertical="center" wrapText="1"/>
    </xf>
    <xf numFmtId="0" fontId="105" fillId="0" borderId="129" xfId="0" applyNumberFormat="1" applyFont="1" applyFill="1" applyBorder="1" applyAlignment="1">
      <alignment horizontal="left" vertical="center" wrapText="1"/>
    </xf>
    <xf numFmtId="0" fontId="105" fillId="0" borderId="127" xfId="0" applyFont="1" applyFill="1" applyBorder="1" applyAlignment="1">
      <alignment horizontal="left" vertical="top" wrapText="1"/>
    </xf>
    <xf numFmtId="0" fontId="105" fillId="0" borderId="130" xfId="0" applyFont="1" applyFill="1" applyBorder="1" applyAlignment="1">
      <alignment horizontal="left" vertical="top" wrapText="1"/>
    </xf>
    <xf numFmtId="0" fontId="105" fillId="0" borderId="127" xfId="0" applyFont="1" applyFill="1" applyBorder="1" applyAlignment="1">
      <alignment horizontal="left" vertical="center" wrapText="1"/>
    </xf>
    <xf numFmtId="0" fontId="105" fillId="0" borderId="127" xfId="0" applyNumberFormat="1" applyFont="1" applyFill="1" applyBorder="1" applyAlignment="1">
      <alignment horizontal="left" vertical="top" wrapText="1"/>
    </xf>
    <xf numFmtId="0" fontId="105" fillId="0" borderId="127" xfId="0" applyFont="1" applyBorder="1" applyAlignment="1">
      <alignment horizontal="center"/>
    </xf>
    <xf numFmtId="0" fontId="105" fillId="0" borderId="130" xfId="0" applyFont="1" applyFill="1" applyBorder="1" applyAlignment="1">
      <alignment horizontal="left" vertical="center" wrapText="1"/>
    </xf>
    <xf numFmtId="0" fontId="105" fillId="0" borderId="129" xfId="0" applyFont="1" applyFill="1" applyBorder="1" applyAlignment="1">
      <alignment horizontal="left" vertical="center" wrapText="1"/>
    </xf>
    <xf numFmtId="0" fontId="105" fillId="0" borderId="130" xfId="0" applyNumberFormat="1" applyFont="1" applyFill="1" applyBorder="1" applyAlignment="1">
      <alignment horizontal="left" vertical="top" wrapText="1"/>
    </xf>
    <xf numFmtId="0" fontId="105" fillId="0" borderId="129" xfId="0" applyNumberFormat="1" applyFont="1" applyFill="1" applyBorder="1" applyAlignment="1">
      <alignment horizontal="left" vertical="top" wrapText="1"/>
    </xf>
  </cellXfs>
  <cellStyles count="21416">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23" xfId="21414"/>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09" xfId="21415"/>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xmlns=""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illar_geo%20working%20new%203009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1. key ratios"/>
      <sheetName val="2. RC"/>
      <sheetName val="3. PL"/>
      <sheetName val="4. Off-Balance"/>
      <sheetName val="5. RWA"/>
      <sheetName val="6. Administrators-shareholders"/>
      <sheetName val="7. LI1"/>
      <sheetName val="8. LI2"/>
      <sheetName val="9. Capital"/>
      <sheetName val="9.1. Capital Requirements"/>
      <sheetName val="10. CC2"/>
      <sheetName val="11. CRWA"/>
      <sheetName val="12. CRM"/>
      <sheetName val="13. CRME"/>
      <sheetName val="14. LCR"/>
      <sheetName val="15. CCR"/>
      <sheetName val="15.1. LR"/>
      <sheetName val="16. NSFR"/>
      <sheetName val=" 17. Residual Maturity"/>
      <sheetName val="18. Assets by Exposure classes"/>
      <sheetName val="pivot"/>
      <sheetName val="19 20 working"/>
      <sheetName val="19. Assets by Risk Sectors"/>
      <sheetName val="Corp CD provision change"/>
      <sheetName val="20. Provisions"/>
      <sheetName val="21. NPL"/>
      <sheetName val="Sheet2"/>
      <sheetName val="Sheet4"/>
      <sheetName val="22 working"/>
      <sheetName val="22. Quality"/>
      <sheetName val="23. LTV"/>
      <sheetName val="24. Risk Sector"/>
      <sheetName val="25 working"/>
      <sheetName val="25. Collateral"/>
      <sheetName val="Sheet3"/>
      <sheetName val="26 working"/>
      <sheetName val="26. Retail Products"/>
      <sheetName val="Instruction"/>
      <sheetName val="Sheet1"/>
    </sheetNames>
    <sheetDataSet>
      <sheetData sheetId="0"/>
      <sheetData sheetId="1">
        <row r="2">
          <cell r="F2">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7">
          <cell r="C7">
            <v>14389075.187700003</v>
          </cell>
        </row>
      </sheetData>
      <sheetData sheetId="24"/>
      <sheetData sheetId="25"/>
      <sheetData sheetId="26"/>
      <sheetData sheetId="27"/>
      <sheetData sheetId="28"/>
      <sheetData sheetId="29"/>
      <sheetData sheetId="30">
        <row r="9">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row>
        <row r="10">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row>
        <row r="11">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row>
      </sheetData>
      <sheetData sheetId="31"/>
      <sheetData sheetId="32">
        <row r="7">
          <cell r="D7">
            <v>694286490.17229998</v>
          </cell>
        </row>
      </sheetData>
      <sheetData sheetId="33"/>
      <sheetData sheetId="34">
        <row r="6">
          <cell r="C6">
            <v>263210575.4337</v>
          </cell>
        </row>
      </sheetData>
      <sheetData sheetId="35"/>
      <sheetData sheetId="36">
        <row r="2">
          <cell r="C2">
            <v>111972752.66379356</v>
          </cell>
        </row>
      </sheetData>
      <sheetData sheetId="37">
        <row r="7">
          <cell r="L7">
            <v>0</v>
          </cell>
        </row>
      </sheetData>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zoomScaleNormal="100" workbookViewId="0">
      <pane xSplit="1" ySplit="7" topLeftCell="B8" activePane="bottomRight" state="frozen"/>
      <selection sqref="A1:C1"/>
      <selection pane="topRight" sqref="A1:C1"/>
      <selection pane="bottomLeft" sqref="A1:C1"/>
      <selection pane="bottomRight" activeCell="B4" sqref="B4"/>
    </sheetView>
  </sheetViews>
  <sheetFormatPr defaultRowHeight="15"/>
  <cols>
    <col min="1" max="1" width="10.28515625" style="2" customWidth="1"/>
    <col min="2" max="2" width="153" bestFit="1" customWidth="1"/>
    <col min="3" max="3" width="39.42578125" customWidth="1"/>
    <col min="7" max="7" width="25" customWidth="1"/>
  </cols>
  <sheetData>
    <row r="1" spans="1:3" ht="15.75">
      <c r="A1" s="7"/>
      <c r="B1" s="94" t="s">
        <v>159</v>
      </c>
      <c r="C1" s="34"/>
    </row>
    <row r="2" spans="1:3" s="91" customFormat="1" ht="15.75">
      <c r="A2" s="129">
        <v>1</v>
      </c>
      <c r="B2" s="92" t="s">
        <v>160</v>
      </c>
      <c r="C2" s="589" t="s">
        <v>989</v>
      </c>
    </row>
    <row r="3" spans="1:3" s="91" customFormat="1" ht="15.75">
      <c r="A3" s="129">
        <v>2</v>
      </c>
      <c r="B3" s="93" t="s">
        <v>161</v>
      </c>
      <c r="C3" s="571" t="s">
        <v>960</v>
      </c>
    </row>
    <row r="4" spans="1:3" s="91" customFormat="1" ht="15.75">
      <c r="A4" s="129">
        <v>3</v>
      </c>
      <c r="B4" s="93" t="s">
        <v>162</v>
      </c>
      <c r="C4" s="589" t="s">
        <v>990</v>
      </c>
    </row>
    <row r="5" spans="1:3" s="91" customFormat="1" ht="15.75">
      <c r="A5" s="130">
        <v>4</v>
      </c>
      <c r="B5" s="96" t="s">
        <v>163</v>
      </c>
      <c r="C5" s="589" t="s">
        <v>991</v>
      </c>
    </row>
    <row r="6" spans="1:3" s="95" customFormat="1" ht="65.25" customHeight="1">
      <c r="A6" s="776" t="s">
        <v>320</v>
      </c>
      <c r="B6" s="777"/>
      <c r="C6" s="777"/>
    </row>
    <row r="7" spans="1:3">
      <c r="A7" s="225" t="s">
        <v>250</v>
      </c>
      <c r="B7" s="226" t="s">
        <v>164</v>
      </c>
    </row>
    <row r="8" spans="1:3">
      <c r="A8" s="227">
        <v>1</v>
      </c>
      <c r="B8" s="223" t="s">
        <v>139</v>
      </c>
    </row>
    <row r="9" spans="1:3">
      <c r="A9" s="227">
        <v>2</v>
      </c>
      <c r="B9" s="223" t="s">
        <v>165</v>
      </c>
    </row>
    <row r="10" spans="1:3">
      <c r="A10" s="227">
        <v>3</v>
      </c>
      <c r="B10" s="223" t="s">
        <v>166</v>
      </c>
    </row>
    <row r="11" spans="1:3">
      <c r="A11" s="227">
        <v>4</v>
      </c>
      <c r="B11" s="223" t="s">
        <v>167</v>
      </c>
      <c r="C11" s="90"/>
    </row>
    <row r="12" spans="1:3">
      <c r="A12" s="227">
        <v>5</v>
      </c>
      <c r="B12" s="223" t="s">
        <v>107</v>
      </c>
    </row>
    <row r="13" spans="1:3">
      <c r="A13" s="227">
        <v>6</v>
      </c>
      <c r="B13" s="228" t="s">
        <v>91</v>
      </c>
    </row>
    <row r="14" spans="1:3">
      <c r="A14" s="227">
        <v>7</v>
      </c>
      <c r="B14" s="223" t="s">
        <v>168</v>
      </c>
    </row>
    <row r="15" spans="1:3">
      <c r="A15" s="227">
        <v>8</v>
      </c>
      <c r="B15" s="223" t="s">
        <v>171</v>
      </c>
    </row>
    <row r="16" spans="1:3">
      <c r="A16" s="227">
        <v>9</v>
      </c>
      <c r="B16" s="223" t="s">
        <v>85</v>
      </c>
    </row>
    <row r="17" spans="1:2">
      <c r="A17" s="229" t="s">
        <v>377</v>
      </c>
      <c r="B17" s="223" t="s">
        <v>357</v>
      </c>
    </row>
    <row r="18" spans="1:2">
      <c r="A18" s="227">
        <v>10</v>
      </c>
      <c r="B18" s="223" t="s">
        <v>172</v>
      </c>
    </row>
    <row r="19" spans="1:2">
      <c r="A19" s="227">
        <v>11</v>
      </c>
      <c r="B19" s="228" t="s">
        <v>155</v>
      </c>
    </row>
    <row r="20" spans="1:2">
      <c r="A20" s="227">
        <v>12</v>
      </c>
      <c r="B20" s="228" t="s">
        <v>152</v>
      </c>
    </row>
    <row r="21" spans="1:2">
      <c r="A21" s="227">
        <v>13</v>
      </c>
      <c r="B21" s="230" t="s">
        <v>296</v>
      </c>
    </row>
    <row r="22" spans="1:2">
      <c r="A22" s="227">
        <v>14</v>
      </c>
      <c r="B22" s="223" t="s">
        <v>350</v>
      </c>
    </row>
    <row r="23" spans="1:2">
      <c r="A23" s="231">
        <v>15</v>
      </c>
      <c r="B23" s="223" t="s">
        <v>74</v>
      </c>
    </row>
    <row r="24" spans="1:2">
      <c r="A24" s="231">
        <v>15.1</v>
      </c>
      <c r="B24" s="223" t="s">
        <v>386</v>
      </c>
    </row>
    <row r="25" spans="1:2">
      <c r="A25" s="231">
        <v>16</v>
      </c>
      <c r="B25" s="223" t="s">
        <v>452</v>
      </c>
    </row>
    <row r="26" spans="1:2">
      <c r="A26" s="231">
        <v>17</v>
      </c>
      <c r="B26" s="223" t="s">
        <v>676</v>
      </c>
    </row>
    <row r="27" spans="1:2">
      <c r="A27" s="231">
        <v>18</v>
      </c>
      <c r="B27" s="223" t="s">
        <v>936</v>
      </c>
    </row>
    <row r="28" spans="1:2">
      <c r="A28" s="231">
        <v>19</v>
      </c>
      <c r="B28" s="223" t="s">
        <v>937</v>
      </c>
    </row>
    <row r="29" spans="1:2">
      <c r="A29" s="231">
        <v>20</v>
      </c>
      <c r="B29" s="223" t="s">
        <v>938</v>
      </c>
    </row>
    <row r="30" spans="1:2">
      <c r="A30" s="231">
        <v>21</v>
      </c>
      <c r="B30" s="223" t="s">
        <v>545</v>
      </c>
    </row>
    <row r="31" spans="1:2">
      <c r="A31" s="231">
        <v>22</v>
      </c>
      <c r="B31" s="223" t="s">
        <v>939</v>
      </c>
    </row>
    <row r="32" spans="1:2" ht="25.5">
      <c r="A32" s="231">
        <v>23</v>
      </c>
      <c r="B32" s="479" t="s">
        <v>935</v>
      </c>
    </row>
    <row r="33" spans="1:2">
      <c r="A33" s="231">
        <v>24</v>
      </c>
      <c r="B33" s="223" t="s">
        <v>940</v>
      </c>
    </row>
    <row r="34" spans="1:2">
      <c r="A34" s="231">
        <v>25</v>
      </c>
      <c r="B34" s="223" t="s">
        <v>941</v>
      </c>
    </row>
    <row r="35" spans="1:2">
      <c r="A35" s="227">
        <v>26</v>
      </c>
      <c r="B35" s="223" t="s">
        <v>722</v>
      </c>
    </row>
  </sheetData>
  <mergeCells count="1">
    <mergeCell ref="A6:C6"/>
  </mergeCells>
  <hyperlinks>
    <hyperlink ref="B8" location="'1. key ratios'!A1" display="ცხრილი 1: ძირითადი მაჩვენებლები"/>
    <hyperlink ref="B9" location="'2. SOFP'!A1" display="საბალანსო უწყისი"/>
    <hyperlink ref="B10" location="'3. SOPL'!A1" display="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pane xSplit="1" ySplit="5" topLeftCell="B6" activePane="bottomRight" state="frozen"/>
      <selection sqref="A1:C1"/>
      <selection pane="topRight" sqref="A1:C1"/>
      <selection pane="bottomLeft" sqref="A1:C1"/>
      <selection pane="bottomRight" activeCell="B6" sqref="B6"/>
    </sheetView>
  </sheetViews>
  <sheetFormatPr defaultRowHeight="15"/>
  <cols>
    <col min="1" max="1" width="9.5703125" style="5" bestFit="1" customWidth="1"/>
    <col min="2" max="2" width="132.42578125" style="2" customWidth="1"/>
    <col min="3" max="3" width="18.42578125" style="2" customWidth="1"/>
    <col min="4" max="4" width="12.28515625" bestFit="1" customWidth="1"/>
    <col min="6" max="6" width="12" bestFit="1" customWidth="1"/>
    <col min="7" max="7" width="11.28515625" bestFit="1" customWidth="1"/>
  </cols>
  <sheetData>
    <row r="1" spans="1:7" ht="15.75">
      <c r="A1" s="13" t="s">
        <v>108</v>
      </c>
      <c r="B1" s="12" t="str">
        <f>Info!C2</f>
        <v>სს ”საქართველოს ბანკი”</v>
      </c>
      <c r="D1" s="2"/>
      <c r="E1" s="2"/>
      <c r="F1" s="2"/>
    </row>
    <row r="2" spans="1:7" s="17" customFormat="1" ht="15.75" customHeight="1">
      <c r="A2" s="17" t="s">
        <v>109</v>
      </c>
      <c r="B2" s="275">
        <f>'1. key ratios'!B2</f>
        <v>45199</v>
      </c>
    </row>
    <row r="3" spans="1:7" s="17" customFormat="1" ht="15.75" customHeight="1"/>
    <row r="4" spans="1:7" ht="15.75" thickBot="1">
      <c r="A4" s="5" t="s">
        <v>256</v>
      </c>
      <c r="B4" s="24" t="s">
        <v>85</v>
      </c>
    </row>
    <row r="5" spans="1:7">
      <c r="A5" s="64" t="s">
        <v>25</v>
      </c>
      <c r="B5" s="670"/>
      <c r="C5" s="65" t="s">
        <v>26</v>
      </c>
    </row>
    <row r="6" spans="1:7">
      <c r="A6" s="671">
        <v>1</v>
      </c>
      <c r="B6" s="658" t="s">
        <v>27</v>
      </c>
      <c r="C6" s="672">
        <f>SUM(C7:C11)</f>
        <v>4087389261.7839236</v>
      </c>
      <c r="D6" s="489"/>
      <c r="G6" s="489"/>
    </row>
    <row r="7" spans="1:7">
      <c r="A7" s="671">
        <v>2</v>
      </c>
      <c r="B7" s="659" t="s">
        <v>28</v>
      </c>
      <c r="C7" s="487">
        <v>27993660.18</v>
      </c>
      <c r="G7" s="489"/>
    </row>
    <row r="8" spans="1:7">
      <c r="A8" s="671">
        <v>3</v>
      </c>
      <c r="B8" s="659" t="s">
        <v>29</v>
      </c>
      <c r="C8" s="487">
        <v>138796561.40627709</v>
      </c>
      <c r="G8" s="489"/>
    </row>
    <row r="9" spans="1:7">
      <c r="A9" s="671">
        <v>4</v>
      </c>
      <c r="B9" s="659" t="s">
        <v>30</v>
      </c>
      <c r="C9" s="487">
        <v>31727328.587299995</v>
      </c>
      <c r="G9" s="489"/>
    </row>
    <row r="10" spans="1:7">
      <c r="A10" s="671">
        <v>5</v>
      </c>
      <c r="B10" s="659" t="s">
        <v>31</v>
      </c>
      <c r="C10" s="487">
        <v>0</v>
      </c>
      <c r="G10" s="489"/>
    </row>
    <row r="11" spans="1:7">
      <c r="A11" s="671">
        <v>6</v>
      </c>
      <c r="B11" s="659" t="s">
        <v>32</v>
      </c>
      <c r="C11" s="487">
        <v>3888871711.6103463</v>
      </c>
      <c r="G11" s="489"/>
    </row>
    <row r="12" spans="1:7" s="4" customFormat="1">
      <c r="A12" s="671">
        <v>7</v>
      </c>
      <c r="B12" s="658" t="s">
        <v>33</v>
      </c>
      <c r="C12" s="673">
        <f>SUM(C13:C28)</f>
        <v>219704247.68567026</v>
      </c>
      <c r="D12" s="489"/>
      <c r="G12" s="489"/>
    </row>
    <row r="13" spans="1:7" s="4" customFormat="1">
      <c r="A13" s="671">
        <v>8</v>
      </c>
      <c r="B13" s="660" t="s">
        <v>34</v>
      </c>
      <c r="C13" s="487">
        <v>31727328.587299995</v>
      </c>
      <c r="G13" s="489"/>
    </row>
    <row r="14" spans="1:7" s="4" customFormat="1" ht="25.5">
      <c r="A14" s="671">
        <v>9</v>
      </c>
      <c r="B14" s="660" t="s">
        <v>35</v>
      </c>
      <c r="C14" s="487">
        <v>0</v>
      </c>
      <c r="G14" s="489"/>
    </row>
    <row r="15" spans="1:7" s="4" customFormat="1">
      <c r="A15" s="671">
        <v>10</v>
      </c>
      <c r="B15" s="661" t="s">
        <v>36</v>
      </c>
      <c r="C15" s="487">
        <v>164932492.87</v>
      </c>
      <c r="G15" s="489"/>
    </row>
    <row r="16" spans="1:7" s="4" customFormat="1">
      <c r="A16" s="671">
        <v>11</v>
      </c>
      <c r="B16" s="662" t="s">
        <v>37</v>
      </c>
      <c r="C16" s="487">
        <v>0</v>
      </c>
      <c r="G16" s="489"/>
    </row>
    <row r="17" spans="1:7" s="4" customFormat="1">
      <c r="A17" s="671">
        <v>12</v>
      </c>
      <c r="B17" s="661" t="s">
        <v>38</v>
      </c>
      <c r="C17" s="487">
        <v>10173</v>
      </c>
      <c r="G17" s="489"/>
    </row>
    <row r="18" spans="1:7" s="4" customFormat="1">
      <c r="A18" s="671">
        <v>13</v>
      </c>
      <c r="B18" s="661" t="s">
        <v>39</v>
      </c>
      <c r="C18" s="487">
        <v>5775971.9944000002</v>
      </c>
      <c r="G18" s="489"/>
    </row>
    <row r="19" spans="1:7" s="4" customFormat="1">
      <c r="A19" s="671">
        <v>14</v>
      </c>
      <c r="B19" s="661" t="s">
        <v>40</v>
      </c>
      <c r="C19" s="487">
        <v>0</v>
      </c>
      <c r="G19" s="489"/>
    </row>
    <row r="20" spans="1:7" s="4" customFormat="1" ht="25.5">
      <c r="A20" s="671">
        <v>15</v>
      </c>
      <c r="B20" s="661" t="s">
        <v>41</v>
      </c>
      <c r="C20" s="487">
        <v>0</v>
      </c>
      <c r="G20" s="489"/>
    </row>
    <row r="21" spans="1:7" s="4" customFormat="1" ht="25.5">
      <c r="A21" s="671">
        <v>16</v>
      </c>
      <c r="B21" s="660" t="s">
        <v>42</v>
      </c>
      <c r="C21" s="487">
        <v>0</v>
      </c>
      <c r="G21" s="489"/>
    </row>
    <row r="22" spans="1:7" s="4" customFormat="1">
      <c r="A22" s="671">
        <v>17</v>
      </c>
      <c r="B22" s="663" t="s">
        <v>43</v>
      </c>
      <c r="C22" s="487">
        <v>9283286.8639702518</v>
      </c>
      <c r="G22" s="489"/>
    </row>
    <row r="23" spans="1:7" s="4" customFormat="1">
      <c r="A23" s="671">
        <v>18</v>
      </c>
      <c r="B23" s="480" t="s">
        <v>725</v>
      </c>
      <c r="C23" s="487">
        <v>7974994.370000001</v>
      </c>
      <c r="G23" s="489"/>
    </row>
    <row r="24" spans="1:7" s="4" customFormat="1" ht="25.5">
      <c r="A24" s="671">
        <v>19</v>
      </c>
      <c r="B24" s="660" t="s">
        <v>44</v>
      </c>
      <c r="C24" s="488">
        <v>0</v>
      </c>
      <c r="G24" s="489"/>
    </row>
    <row r="25" spans="1:7" s="4" customFormat="1" ht="25.5">
      <c r="A25" s="671">
        <v>20</v>
      </c>
      <c r="B25" s="660" t="s">
        <v>45</v>
      </c>
      <c r="C25" s="488">
        <v>0</v>
      </c>
      <c r="G25" s="489"/>
    </row>
    <row r="26" spans="1:7" s="4" customFormat="1" ht="25.5">
      <c r="A26" s="671">
        <v>21</v>
      </c>
      <c r="B26" s="664" t="s">
        <v>46</v>
      </c>
      <c r="C26" s="488">
        <v>0</v>
      </c>
      <c r="G26" s="489"/>
    </row>
    <row r="27" spans="1:7" s="4" customFormat="1">
      <c r="A27" s="671">
        <v>22</v>
      </c>
      <c r="B27" s="664" t="s">
        <v>47</v>
      </c>
      <c r="C27" s="488">
        <v>0</v>
      </c>
      <c r="G27" s="489"/>
    </row>
    <row r="28" spans="1:7" s="4" customFormat="1" ht="25.5">
      <c r="A28" s="671">
        <v>23</v>
      </c>
      <c r="B28" s="664" t="s">
        <v>48</v>
      </c>
      <c r="C28" s="488"/>
      <c r="G28" s="489"/>
    </row>
    <row r="29" spans="1:7" s="4" customFormat="1">
      <c r="A29" s="671">
        <v>24</v>
      </c>
      <c r="B29" s="665" t="s">
        <v>22</v>
      </c>
      <c r="C29" s="673">
        <f>C6-C12</f>
        <v>3867685014.0982533</v>
      </c>
      <c r="D29" s="490"/>
      <c r="G29" s="489"/>
    </row>
    <row r="30" spans="1:7" s="4" customFormat="1">
      <c r="A30" s="674"/>
      <c r="B30" s="666"/>
      <c r="C30" s="488"/>
      <c r="G30" s="489"/>
    </row>
    <row r="31" spans="1:7" s="4" customFormat="1">
      <c r="A31" s="674">
        <v>25</v>
      </c>
      <c r="B31" s="665" t="s">
        <v>49</v>
      </c>
      <c r="C31" s="673">
        <f>C32+C35</f>
        <v>401745000</v>
      </c>
      <c r="D31" s="490"/>
      <c r="G31" s="489"/>
    </row>
    <row r="32" spans="1:7" s="4" customFormat="1">
      <c r="A32" s="674">
        <v>26</v>
      </c>
      <c r="B32" s="659" t="s">
        <v>50</v>
      </c>
      <c r="C32" s="675">
        <f>C33+C34</f>
        <v>0</v>
      </c>
      <c r="G32" s="489"/>
    </row>
    <row r="33" spans="1:9" s="4" customFormat="1">
      <c r="A33" s="674">
        <v>27</v>
      </c>
      <c r="B33" s="667" t="s">
        <v>51</v>
      </c>
      <c r="C33" s="488"/>
      <c r="G33" s="489"/>
    </row>
    <row r="34" spans="1:9" s="4" customFormat="1">
      <c r="A34" s="674">
        <v>28</v>
      </c>
      <c r="B34" s="667" t="s">
        <v>52</v>
      </c>
      <c r="C34" s="488"/>
      <c r="G34" s="489"/>
    </row>
    <row r="35" spans="1:9" s="4" customFormat="1">
      <c r="A35" s="674">
        <v>29</v>
      </c>
      <c r="B35" s="659" t="s">
        <v>53</v>
      </c>
      <c r="C35" s="487">
        <v>401745000</v>
      </c>
      <c r="G35" s="489"/>
    </row>
    <row r="36" spans="1:9" s="4" customFormat="1">
      <c r="A36" s="674">
        <v>30</v>
      </c>
      <c r="B36" s="665" t="s">
        <v>54</v>
      </c>
      <c r="C36" s="673">
        <f>SUM(C37:C41)</f>
        <v>0</v>
      </c>
      <c r="G36" s="489"/>
    </row>
    <row r="37" spans="1:9" s="4" customFormat="1">
      <c r="A37" s="674">
        <v>31</v>
      </c>
      <c r="B37" s="660" t="s">
        <v>55</v>
      </c>
      <c r="C37" s="488">
        <v>0</v>
      </c>
      <c r="G37" s="489"/>
    </row>
    <row r="38" spans="1:9" s="4" customFormat="1">
      <c r="A38" s="674">
        <v>32</v>
      </c>
      <c r="B38" s="661" t="s">
        <v>56</v>
      </c>
      <c r="C38" s="488">
        <v>0</v>
      </c>
      <c r="G38" s="489"/>
    </row>
    <row r="39" spans="1:9" s="4" customFormat="1" ht="25.5">
      <c r="A39" s="674">
        <v>33</v>
      </c>
      <c r="B39" s="660" t="s">
        <v>57</v>
      </c>
      <c r="C39" s="488">
        <v>0</v>
      </c>
      <c r="G39" s="489"/>
    </row>
    <row r="40" spans="1:9" s="4" customFormat="1" ht="25.5">
      <c r="A40" s="674">
        <v>34</v>
      </c>
      <c r="B40" s="660" t="s">
        <v>45</v>
      </c>
      <c r="C40" s="488"/>
      <c r="G40" s="489"/>
    </row>
    <row r="41" spans="1:9" s="4" customFormat="1" ht="25.5">
      <c r="A41" s="674">
        <v>35</v>
      </c>
      <c r="B41" s="664" t="s">
        <v>58</v>
      </c>
      <c r="C41" s="488"/>
      <c r="G41" s="489"/>
      <c r="I41" s="4">
        <v>0</v>
      </c>
    </row>
    <row r="42" spans="1:9" s="4" customFormat="1">
      <c r="A42" s="674">
        <v>36</v>
      </c>
      <c r="B42" s="665" t="s">
        <v>23</v>
      </c>
      <c r="C42" s="673">
        <f>C31-C36</f>
        <v>401745000</v>
      </c>
      <c r="G42" s="489"/>
    </row>
    <row r="43" spans="1:9" s="4" customFormat="1">
      <c r="A43" s="674"/>
      <c r="B43" s="666"/>
      <c r="C43" s="488"/>
      <c r="G43" s="489"/>
    </row>
    <row r="44" spans="1:9" s="4" customFormat="1">
      <c r="A44" s="674">
        <v>37</v>
      </c>
      <c r="B44" s="668" t="s">
        <v>59</v>
      </c>
      <c r="C44" s="673">
        <f>SUM(C45:C47)</f>
        <v>463747645</v>
      </c>
      <c r="D44" s="490"/>
      <c r="G44" s="489"/>
    </row>
    <row r="45" spans="1:9" s="4" customFormat="1">
      <c r="A45" s="674">
        <v>38</v>
      </c>
      <c r="B45" s="659" t="s">
        <v>60</v>
      </c>
      <c r="C45" s="488">
        <v>463747645</v>
      </c>
      <c r="G45" s="489"/>
    </row>
    <row r="46" spans="1:9" s="4" customFormat="1">
      <c r="A46" s="674">
        <v>39</v>
      </c>
      <c r="B46" s="659" t="s">
        <v>61</v>
      </c>
      <c r="C46" s="488"/>
      <c r="G46" s="489"/>
    </row>
    <row r="47" spans="1:9" s="4" customFormat="1">
      <c r="A47" s="674">
        <v>40</v>
      </c>
      <c r="B47" s="669" t="s">
        <v>724</v>
      </c>
      <c r="C47" s="488"/>
      <c r="G47" s="489"/>
    </row>
    <row r="48" spans="1:9" s="4" customFormat="1">
      <c r="A48" s="674">
        <v>41</v>
      </c>
      <c r="B48" s="668" t="s">
        <v>62</v>
      </c>
      <c r="C48" s="673">
        <f>SUM(C49:C52)</f>
        <v>0</v>
      </c>
      <c r="G48" s="489"/>
    </row>
    <row r="49" spans="1:7" s="4" customFormat="1">
      <c r="A49" s="674">
        <v>42</v>
      </c>
      <c r="B49" s="660" t="s">
        <v>63</v>
      </c>
      <c r="C49" s="488"/>
      <c r="G49" s="489"/>
    </row>
    <row r="50" spans="1:7" s="4" customFormat="1">
      <c r="A50" s="674">
        <v>43</v>
      </c>
      <c r="B50" s="661" t="s">
        <v>64</v>
      </c>
      <c r="C50" s="488">
        <v>0</v>
      </c>
      <c r="G50" s="489"/>
    </row>
    <row r="51" spans="1:7" s="4" customFormat="1" ht="25.5">
      <c r="A51" s="674">
        <v>44</v>
      </c>
      <c r="B51" s="660" t="s">
        <v>65</v>
      </c>
      <c r="C51" s="488">
        <v>0</v>
      </c>
      <c r="G51" s="489"/>
    </row>
    <row r="52" spans="1:7" s="4" customFormat="1" ht="25.5">
      <c r="A52" s="674">
        <v>45</v>
      </c>
      <c r="B52" s="660" t="s">
        <v>45</v>
      </c>
      <c r="C52" s="488"/>
      <c r="G52" s="489"/>
    </row>
    <row r="53" spans="1:7" s="4" customFormat="1" ht="15.75" thickBot="1">
      <c r="A53" s="676">
        <v>46</v>
      </c>
      <c r="B53" s="677" t="s">
        <v>24</v>
      </c>
      <c r="C53" s="678">
        <f>C44-C48</f>
        <v>463747645</v>
      </c>
      <c r="D53" s="490"/>
      <c r="G53" s="489"/>
    </row>
    <row r="56" spans="1:7">
      <c r="B56" s="2" t="s">
        <v>141</v>
      </c>
    </row>
  </sheetData>
  <dataValidations count="1">
    <dataValidation operator="lessThanOrEqual" allowBlank="1" showInputMessage="1" showErrorMessage="1" errorTitle="Should be negative number" error="Should be whole negative number or 0" sqref="C36:C53 C24:C34"/>
  </dataValidations>
  <pageMargins left="0.7" right="0.7" top="0.75" bottom="0.75" header="0.3" footer="0.3"/>
  <ignoredErrors>
    <ignoredError sqref="C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zoomScaleNormal="100" workbookViewId="0"/>
  </sheetViews>
  <sheetFormatPr defaultColWidth="9.140625" defaultRowHeight="12.75"/>
  <cols>
    <col min="1" max="1" width="10.85546875" style="190" bestFit="1" customWidth="1"/>
    <col min="2" max="2" width="59" style="190" customWidth="1"/>
    <col min="3" max="3" width="16.7109375" style="190" bestFit="1" customWidth="1"/>
    <col min="4" max="4" width="22.140625" style="491" customWidth="1"/>
    <col min="5" max="5" width="9.140625" style="190"/>
    <col min="6" max="6" width="12.85546875" style="190" bestFit="1" customWidth="1"/>
    <col min="7" max="7" width="25.140625" style="190" customWidth="1"/>
    <col min="8" max="16384" width="9.140625" style="190"/>
  </cols>
  <sheetData>
    <row r="1" spans="1:4" ht="15">
      <c r="A1" s="13" t="s">
        <v>108</v>
      </c>
      <c r="B1" s="12" t="str">
        <f>Info!C2</f>
        <v>სს ”საქართველოს ბანკი”</v>
      </c>
    </row>
    <row r="2" spans="1:4" s="17" customFormat="1" ht="15.75" customHeight="1">
      <c r="A2" s="17" t="s">
        <v>109</v>
      </c>
      <c r="B2" s="628">
        <f>'1. key ratios'!B2</f>
        <v>45199</v>
      </c>
      <c r="D2" s="492"/>
    </row>
    <row r="3" spans="1:4" s="17" customFormat="1" ht="15.75" customHeight="1">
      <c r="D3" s="492"/>
    </row>
    <row r="4" spans="1:4" ht="13.5" thickBot="1">
      <c r="A4" s="191" t="s">
        <v>356</v>
      </c>
      <c r="B4" s="211" t="s">
        <v>357</v>
      </c>
    </row>
    <row r="5" spans="1:4" s="212" customFormat="1">
      <c r="A5" s="804" t="s">
        <v>358</v>
      </c>
      <c r="B5" s="805"/>
      <c r="C5" s="203" t="s">
        <v>359</v>
      </c>
      <c r="D5" s="493" t="s">
        <v>360</v>
      </c>
    </row>
    <row r="6" spans="1:4" s="213" customFormat="1">
      <c r="A6" s="204">
        <v>1</v>
      </c>
      <c r="B6" s="205" t="s">
        <v>361</v>
      </c>
      <c r="C6" s="205"/>
      <c r="D6" s="494"/>
    </row>
    <row r="7" spans="1:4" s="213" customFormat="1">
      <c r="A7" s="206" t="s">
        <v>362</v>
      </c>
      <c r="B7" s="207" t="s">
        <v>363</v>
      </c>
      <c r="C7" s="255">
        <v>4.4999999999999998E-2</v>
      </c>
      <c r="D7" s="495">
        <f>C7*'5. RWA'!$C$13</f>
        <v>939662973.82156062</v>
      </c>
    </row>
    <row r="8" spans="1:4" s="213" customFormat="1">
      <c r="A8" s="206" t="s">
        <v>364</v>
      </c>
      <c r="B8" s="207" t="s">
        <v>365</v>
      </c>
      <c r="C8" s="256">
        <v>0.06</v>
      </c>
      <c r="D8" s="495">
        <f>C8*'5. RWA'!$C$13</f>
        <v>1252883965.0954142</v>
      </c>
    </row>
    <row r="9" spans="1:4" s="213" customFormat="1">
      <c r="A9" s="206" t="s">
        <v>366</v>
      </c>
      <c r="B9" s="207" t="s">
        <v>367</v>
      </c>
      <c r="C9" s="256">
        <v>0.08</v>
      </c>
      <c r="D9" s="495">
        <f>C9*'5. RWA'!$C$13</f>
        <v>1670511953.4605525</v>
      </c>
    </row>
    <row r="10" spans="1:4" s="213" customFormat="1">
      <c r="A10" s="204" t="s">
        <v>368</v>
      </c>
      <c r="B10" s="205" t="s">
        <v>369</v>
      </c>
      <c r="C10" s="257"/>
      <c r="D10" s="496"/>
    </row>
    <row r="11" spans="1:4" s="214" customFormat="1">
      <c r="A11" s="208" t="s">
        <v>370</v>
      </c>
      <c r="B11" s="209" t="s">
        <v>432</v>
      </c>
      <c r="C11" s="258">
        <v>2.5000000000000001E-2</v>
      </c>
      <c r="D11" s="497">
        <f>C11*'5. RWA'!$C$13</f>
        <v>522034985.45642263</v>
      </c>
    </row>
    <row r="12" spans="1:4" s="214" customFormat="1">
      <c r="A12" s="208" t="s">
        <v>371</v>
      </c>
      <c r="B12" s="209" t="s">
        <v>372</v>
      </c>
      <c r="C12" s="258">
        <v>0</v>
      </c>
      <c r="D12" s="497">
        <f>C12*'5. RWA'!$C$13</f>
        <v>0</v>
      </c>
    </row>
    <row r="13" spans="1:4" s="214" customFormat="1">
      <c r="A13" s="208" t="s">
        <v>373</v>
      </c>
      <c r="B13" s="209" t="s">
        <v>374</v>
      </c>
      <c r="C13" s="258">
        <v>2.5000000000000001E-2</v>
      </c>
      <c r="D13" s="497">
        <f>C13*'5. RWA'!$C$13</f>
        <v>522034985.45642263</v>
      </c>
    </row>
    <row r="14" spans="1:4" s="213" customFormat="1">
      <c r="A14" s="204" t="s">
        <v>375</v>
      </c>
      <c r="B14" s="205" t="s">
        <v>430</v>
      </c>
      <c r="C14" s="259"/>
      <c r="D14" s="496"/>
    </row>
    <row r="15" spans="1:4" s="213" customFormat="1">
      <c r="A15" s="224" t="s">
        <v>378</v>
      </c>
      <c r="B15" s="209" t="s">
        <v>431</v>
      </c>
      <c r="C15" s="258">
        <v>5.1802120481661343E-2</v>
      </c>
      <c r="D15" s="497">
        <f>C15*'5. RWA'!$C$13</f>
        <v>1081700768.4902372</v>
      </c>
    </row>
    <row r="16" spans="1:4" s="213" customFormat="1">
      <c r="A16" s="224" t="s">
        <v>379</v>
      </c>
      <c r="B16" s="209" t="s">
        <v>381</v>
      </c>
      <c r="C16" s="258">
        <v>5.9015772025530489E-2</v>
      </c>
      <c r="D16" s="497">
        <f>C16*'5. RWA'!$C$13</f>
        <v>1232331907.6418943</v>
      </c>
    </row>
    <row r="17" spans="1:6" s="213" customFormat="1">
      <c r="A17" s="224" t="s">
        <v>380</v>
      </c>
      <c r="B17" s="209" t="s">
        <v>428</v>
      </c>
      <c r="C17" s="258">
        <v>6.8507418793779348E-2</v>
      </c>
      <c r="D17" s="497">
        <f>C17*'5. RWA'!$C$13</f>
        <v>1430530774.9467063</v>
      </c>
    </row>
    <row r="18" spans="1:6" s="212" customFormat="1">
      <c r="A18" s="806" t="s">
        <v>429</v>
      </c>
      <c r="B18" s="807"/>
      <c r="C18" s="260" t="s">
        <v>359</v>
      </c>
      <c r="D18" s="498" t="s">
        <v>360</v>
      </c>
    </row>
    <row r="19" spans="1:6" s="213" customFormat="1">
      <c r="A19" s="210">
        <v>4</v>
      </c>
      <c r="B19" s="209" t="s">
        <v>22</v>
      </c>
      <c r="C19" s="258">
        <f>C7+C11+C12+C13+C15</f>
        <v>0.14680212048166136</v>
      </c>
      <c r="D19" s="495">
        <f>C19*'5. RWA'!$C$13</f>
        <v>3065433713.2246437</v>
      </c>
      <c r="E19" s="500"/>
      <c r="F19" s="501"/>
    </row>
    <row r="20" spans="1:6" s="213" customFormat="1">
      <c r="A20" s="210">
        <v>5</v>
      </c>
      <c r="B20" s="209" t="s">
        <v>86</v>
      </c>
      <c r="C20" s="258">
        <f>C8+C11+C12+C13+C16</f>
        <v>0.16901577202553048</v>
      </c>
      <c r="D20" s="495">
        <f>C20*'5. RWA'!$C$13</f>
        <v>3529285843.6501536</v>
      </c>
      <c r="E20" s="500"/>
      <c r="F20" s="501"/>
    </row>
    <row r="21" spans="1:6" s="213" customFormat="1" ht="13.5" thickBot="1">
      <c r="A21" s="215" t="s">
        <v>376</v>
      </c>
      <c r="B21" s="216" t="s">
        <v>85</v>
      </c>
      <c r="C21" s="261">
        <f>C9+C11+C12+C13+C17</f>
        <v>0.19850741879377937</v>
      </c>
      <c r="D21" s="499">
        <f>C21*'5. RWA'!$C$13</f>
        <v>4145112699.3201041</v>
      </c>
      <c r="E21" s="500"/>
      <c r="F21" s="501"/>
    </row>
    <row r="22" spans="1:6">
      <c r="F22" s="191"/>
    </row>
    <row r="23" spans="1:6" ht="63.75">
      <c r="B23" s="19" t="s">
        <v>433</v>
      </c>
    </row>
  </sheetData>
  <mergeCells count="2">
    <mergeCell ref="A5:B5"/>
    <mergeCell ref="A18:B18"/>
  </mergeCells>
  <conditionalFormatting sqref="C21">
    <cfRule type="cellIs" dxfId="29"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pane xSplit="1" ySplit="5" topLeftCell="B6" activePane="bottomRight" state="frozen"/>
      <selection sqref="A1:C1"/>
      <selection pane="topRight" sqref="A1:C1"/>
      <selection pane="bottomLeft" sqref="A1:C1"/>
      <selection pane="bottomRight" activeCell="B6" sqref="B6"/>
    </sheetView>
  </sheetViews>
  <sheetFormatPr defaultRowHeight="15.75"/>
  <cols>
    <col min="1" max="1" width="10.7109375" style="30" customWidth="1"/>
    <col min="2" max="2" width="100.85546875" style="30" customWidth="1"/>
    <col min="3" max="3" width="51.28515625" style="599" customWidth="1"/>
    <col min="4" max="4" width="48" style="30" customWidth="1"/>
    <col min="5" max="5" width="15.85546875" bestFit="1" customWidth="1"/>
  </cols>
  <sheetData>
    <row r="1" spans="1:7">
      <c r="A1" s="13" t="s">
        <v>108</v>
      </c>
      <c r="B1" s="15" t="str">
        <f>Info!C2</f>
        <v>სს ”საქართველოს ბანკი”</v>
      </c>
      <c r="C1" s="598"/>
      <c r="E1" s="2"/>
      <c r="F1" s="2"/>
    </row>
    <row r="2" spans="1:7" s="17" customFormat="1" ht="15">
      <c r="A2" s="17" t="s">
        <v>109</v>
      </c>
      <c r="B2" s="628">
        <f>'1. key ratios'!B2</f>
        <v>45199</v>
      </c>
      <c r="C2" s="599"/>
    </row>
    <row r="3" spans="1:7" s="17" customFormat="1" ht="15">
      <c r="A3" s="22"/>
      <c r="C3" s="600"/>
    </row>
    <row r="4" spans="1:7" s="17" customFormat="1" thickBot="1">
      <c r="A4" s="17" t="s">
        <v>257</v>
      </c>
      <c r="B4" s="109" t="s">
        <v>172</v>
      </c>
      <c r="C4" s="601"/>
      <c r="D4" s="110" t="s">
        <v>87</v>
      </c>
    </row>
    <row r="5" spans="1:7" ht="25.5">
      <c r="A5" s="619" t="s">
        <v>25</v>
      </c>
      <c r="B5" s="620" t="s">
        <v>144</v>
      </c>
      <c r="C5" s="621" t="s">
        <v>857</v>
      </c>
      <c r="D5" s="622" t="s">
        <v>173</v>
      </c>
    </row>
    <row r="6" spans="1:7">
      <c r="A6" s="566">
        <v>1</v>
      </c>
      <c r="B6" s="546" t="s">
        <v>842</v>
      </c>
      <c r="C6" s="602">
        <f>SUM(C7:C9)</f>
        <v>4274902718.1064005</v>
      </c>
      <c r="D6" s="623"/>
      <c r="E6" s="6">
        <f>C6-'2. SOFP'!E7</f>
        <v>0</v>
      </c>
    </row>
    <row r="7" spans="1:7">
      <c r="A7" s="566">
        <v>1.1000000000000001</v>
      </c>
      <c r="B7" s="548" t="s">
        <v>96</v>
      </c>
      <c r="C7" s="603">
        <f>'2. SOFP'!E8</f>
        <v>790475911.34199989</v>
      </c>
      <c r="D7" s="623"/>
      <c r="E7" s="6">
        <f>C7-'2. SOFP'!E8</f>
        <v>0</v>
      </c>
    </row>
    <row r="8" spans="1:7">
      <c r="A8" s="566">
        <v>1.2</v>
      </c>
      <c r="B8" s="548" t="s">
        <v>97</v>
      </c>
      <c r="C8" s="603">
        <f>'2. SOFP'!E9</f>
        <v>2541080989.4400001</v>
      </c>
      <c r="D8" s="623"/>
      <c r="E8" s="6">
        <f>C8-'2. SOFP'!E9</f>
        <v>0</v>
      </c>
    </row>
    <row r="9" spans="1:7">
      <c r="A9" s="566">
        <v>1.3</v>
      </c>
      <c r="B9" s="548" t="s">
        <v>98</v>
      </c>
      <c r="C9" s="603">
        <f>'2. SOFP'!E10</f>
        <v>943345817.32440031</v>
      </c>
      <c r="D9" s="623"/>
      <c r="E9" s="6">
        <f>C9-'2. SOFP'!E10</f>
        <v>0</v>
      </c>
    </row>
    <row r="10" spans="1:7">
      <c r="A10" s="566">
        <v>2</v>
      </c>
      <c r="B10" s="549" t="s">
        <v>729</v>
      </c>
      <c r="C10" s="603">
        <f>'2. SOFP'!E11</f>
        <v>48992907.440000005</v>
      </c>
      <c r="D10" s="623"/>
      <c r="E10" s="6">
        <f>C10-'2. SOFP'!E11</f>
        <v>0</v>
      </c>
    </row>
    <row r="11" spans="1:7">
      <c r="A11" s="566">
        <v>2.1</v>
      </c>
      <c r="B11" s="550" t="s">
        <v>730</v>
      </c>
      <c r="C11" s="604">
        <f>'2. SOFP'!E12</f>
        <v>48992907.440000005</v>
      </c>
      <c r="D11" s="624"/>
      <c r="E11" s="6">
        <f>C11-'2. SOFP'!E12</f>
        <v>0</v>
      </c>
    </row>
    <row r="12" spans="1:7" ht="21">
      <c r="A12" s="566">
        <v>3</v>
      </c>
      <c r="B12" s="551" t="s">
        <v>731</v>
      </c>
      <c r="C12" s="605"/>
      <c r="D12" s="624"/>
      <c r="E12" s="6">
        <f>C12-'2. SOFP'!E13</f>
        <v>0</v>
      </c>
    </row>
    <row r="13" spans="1:7" ht="21">
      <c r="A13" s="566">
        <v>4</v>
      </c>
      <c r="B13" s="552" t="s">
        <v>732</v>
      </c>
      <c r="C13" s="606"/>
      <c r="D13" s="624"/>
      <c r="E13" s="6">
        <f>C13-'2. SOFP'!E14</f>
        <v>0</v>
      </c>
      <c r="G13" t="s">
        <v>993</v>
      </c>
    </row>
    <row r="14" spans="1:7">
      <c r="A14" s="566">
        <v>5</v>
      </c>
      <c r="B14" s="552" t="s">
        <v>733</v>
      </c>
      <c r="C14" s="606">
        <f>SUM(C15)+C17</f>
        <v>4525415858.8349991</v>
      </c>
      <c r="D14" s="624"/>
      <c r="E14" s="6">
        <f>C14-'2. SOFP'!E15</f>
        <v>0</v>
      </c>
    </row>
    <row r="15" spans="1:7">
      <c r="A15" s="566">
        <v>5.0999999999999996</v>
      </c>
      <c r="B15" s="554" t="s">
        <v>734</v>
      </c>
      <c r="C15" s="607">
        <f>'2. SOFP'!E16</f>
        <v>6545939.3944000006</v>
      </c>
      <c r="D15" s="624"/>
      <c r="E15" s="6">
        <f>C15-'2. SOFP'!E16</f>
        <v>0</v>
      </c>
    </row>
    <row r="16" spans="1:7" ht="25.5">
      <c r="A16" s="566"/>
      <c r="B16" s="32" t="s">
        <v>995</v>
      </c>
      <c r="C16" s="607">
        <f>'9. Capital'!C18</f>
        <v>5775971.9944000002</v>
      </c>
      <c r="D16" s="624" t="s">
        <v>992</v>
      </c>
      <c r="E16" s="6"/>
    </row>
    <row r="17" spans="1:5">
      <c r="A17" s="566">
        <v>5.2</v>
      </c>
      <c r="B17" s="554" t="s">
        <v>568</v>
      </c>
      <c r="C17" s="607">
        <f>'2. SOFP'!E17</f>
        <v>4518869919.4405994</v>
      </c>
      <c r="D17" s="624"/>
      <c r="E17" s="6">
        <f>C17-'2. SOFP'!E17</f>
        <v>0</v>
      </c>
    </row>
    <row r="18" spans="1:5">
      <c r="A18" s="566">
        <v>5.3</v>
      </c>
      <c r="B18" s="554" t="s">
        <v>735</v>
      </c>
      <c r="C18" s="607">
        <f>'2. SOFP'!E18</f>
        <v>0</v>
      </c>
      <c r="D18" s="624"/>
      <c r="E18" s="6">
        <f>C18-'2. SOFP'!E18</f>
        <v>0</v>
      </c>
    </row>
    <row r="19" spans="1:5">
      <c r="A19" s="566">
        <v>6</v>
      </c>
      <c r="B19" s="551" t="s">
        <v>736</v>
      </c>
      <c r="C19" s="605">
        <f>SUM(C20:C21)</f>
        <v>18631154877.632298</v>
      </c>
      <c r="D19" s="624"/>
      <c r="E19" s="6">
        <f>C19-'2. SOFP'!E19</f>
        <v>0</v>
      </c>
    </row>
    <row r="20" spans="1:5">
      <c r="A20" s="566">
        <v>6.1</v>
      </c>
      <c r="B20" s="554" t="s">
        <v>568</v>
      </c>
      <c r="C20" s="607">
        <f>'2. SOFP'!E20</f>
        <v>485255490.83230001</v>
      </c>
      <c r="D20" s="624"/>
      <c r="E20" s="6">
        <f>C20-'2. SOFP'!E20</f>
        <v>0</v>
      </c>
    </row>
    <row r="21" spans="1:5">
      <c r="A21" s="566">
        <v>6.2</v>
      </c>
      <c r="B21" s="554" t="s">
        <v>735</v>
      </c>
      <c r="C21" s="607">
        <f>'2. SOFP'!E21</f>
        <v>18145899386.799999</v>
      </c>
      <c r="D21" s="624"/>
      <c r="E21" s="6">
        <f>C21-'2. SOFP'!E21</f>
        <v>0</v>
      </c>
    </row>
    <row r="22" spans="1:5">
      <c r="A22" s="566">
        <v>7</v>
      </c>
      <c r="B22" s="555" t="s">
        <v>737</v>
      </c>
      <c r="C22" s="608">
        <f>'2. SOFP'!E22</f>
        <v>157362371.54397023</v>
      </c>
      <c r="D22" s="624">
        <v>0</v>
      </c>
      <c r="E22" s="6">
        <f>C22-'2. SOFP'!E22</f>
        <v>0</v>
      </c>
    </row>
    <row r="23" spans="1:5" ht="21">
      <c r="A23" s="566"/>
      <c r="B23" s="555" t="s">
        <v>996</v>
      </c>
      <c r="C23" s="608">
        <f>'9. Capital'!C22</f>
        <v>9283286.8639702518</v>
      </c>
      <c r="D23" s="624" t="s">
        <v>988</v>
      </c>
      <c r="E23" s="6"/>
    </row>
    <row r="24" spans="1:5">
      <c r="A24" s="566"/>
      <c r="B24" s="555"/>
      <c r="C24" s="608"/>
      <c r="D24" s="624"/>
      <c r="E24" s="6"/>
    </row>
    <row r="25" spans="1:5">
      <c r="A25" s="566">
        <v>8</v>
      </c>
      <c r="B25" s="555" t="s">
        <v>738</v>
      </c>
      <c r="C25" s="608">
        <f>'2. SOFP'!E23</f>
        <v>28795295.039999999</v>
      </c>
      <c r="D25" s="624"/>
      <c r="E25" s="6">
        <f>C25-'2. SOFP'!E23</f>
        <v>0</v>
      </c>
    </row>
    <row r="26" spans="1:5">
      <c r="A26" s="566">
        <v>9</v>
      </c>
      <c r="B26" s="552" t="s">
        <v>739</v>
      </c>
      <c r="C26" s="606">
        <f>SUM(C27:C28)</f>
        <v>627020924.80000007</v>
      </c>
      <c r="D26" s="624"/>
      <c r="E26" s="6">
        <f>C26-'2. SOFP'!E24</f>
        <v>0</v>
      </c>
    </row>
    <row r="27" spans="1:5">
      <c r="A27" s="566">
        <v>9.1</v>
      </c>
      <c r="B27" s="556" t="s">
        <v>740</v>
      </c>
      <c r="C27" s="609">
        <f>'2. SOFP'!E25</f>
        <v>498173902.73000002</v>
      </c>
      <c r="D27" s="624"/>
      <c r="E27" s="6">
        <f>C27-'2. SOFP'!E25</f>
        <v>0</v>
      </c>
    </row>
    <row r="28" spans="1:5">
      <c r="A28" s="566">
        <v>9.1999999999999993</v>
      </c>
      <c r="B28" s="556" t="s">
        <v>741</v>
      </c>
      <c r="C28" s="609">
        <f>'2. SOFP'!E26</f>
        <v>128847022.07000001</v>
      </c>
      <c r="D28" s="624"/>
      <c r="E28" s="6">
        <f>C28-'2. SOFP'!E26</f>
        <v>0</v>
      </c>
    </row>
    <row r="29" spans="1:5">
      <c r="A29" s="566">
        <v>10</v>
      </c>
      <c r="B29" s="552" t="s">
        <v>36</v>
      </c>
      <c r="C29" s="606">
        <f>SUM(C30:C31)</f>
        <v>164932492.87</v>
      </c>
      <c r="D29" s="624"/>
      <c r="E29" s="6">
        <f>C29-'2. SOFP'!E27</f>
        <v>0</v>
      </c>
    </row>
    <row r="30" spans="1:5">
      <c r="A30" s="566">
        <v>10.1</v>
      </c>
      <c r="B30" s="556" t="s">
        <v>742</v>
      </c>
      <c r="C30" s="609">
        <f>'2. SOFP'!E28</f>
        <v>33331342.84</v>
      </c>
      <c r="D30" s="624" t="s">
        <v>994</v>
      </c>
      <c r="E30" s="6">
        <f>C30-'2. SOFP'!E28</f>
        <v>0</v>
      </c>
    </row>
    <row r="31" spans="1:5">
      <c r="A31" s="566">
        <v>10.199999999999999</v>
      </c>
      <c r="B31" s="556" t="s">
        <v>743</v>
      </c>
      <c r="C31" s="609">
        <f>'2. SOFP'!E29</f>
        <v>131601150.03</v>
      </c>
      <c r="D31" s="624" t="s">
        <v>994</v>
      </c>
      <c r="E31" s="6">
        <f>C31-'2. SOFP'!E29</f>
        <v>0</v>
      </c>
    </row>
    <row r="32" spans="1:5">
      <c r="A32" s="566">
        <v>11</v>
      </c>
      <c r="B32" s="552" t="s">
        <v>744</v>
      </c>
      <c r="C32" s="606">
        <f>SUM(C33:C34)</f>
        <v>0</v>
      </c>
      <c r="D32" s="624"/>
      <c r="E32" s="6">
        <f>C32-'2. SOFP'!E30</f>
        <v>0</v>
      </c>
    </row>
    <row r="33" spans="1:5">
      <c r="A33" s="566">
        <v>11.1</v>
      </c>
      <c r="B33" s="556" t="s">
        <v>745</v>
      </c>
      <c r="C33" s="609">
        <f>'2. SOFP'!E31</f>
        <v>0</v>
      </c>
      <c r="D33" s="624"/>
      <c r="E33" s="6">
        <f>C33-'2. SOFP'!E31</f>
        <v>0</v>
      </c>
    </row>
    <row r="34" spans="1:5">
      <c r="A34" s="566">
        <v>11.2</v>
      </c>
      <c r="B34" s="556" t="s">
        <v>746</v>
      </c>
      <c r="C34" s="609">
        <f>'2. SOFP'!E32</f>
        <v>0</v>
      </c>
      <c r="D34" s="624"/>
      <c r="E34" s="6">
        <f>C34-'2. SOFP'!E32</f>
        <v>0</v>
      </c>
    </row>
    <row r="35" spans="1:5">
      <c r="A35" s="566">
        <v>13</v>
      </c>
      <c r="B35" s="552" t="s">
        <v>99</v>
      </c>
      <c r="C35" s="609">
        <f>'2. SOFP'!E33</f>
        <v>572628973.27639961</v>
      </c>
      <c r="D35" s="624"/>
      <c r="E35" s="6">
        <f>C35-'2. SOFP'!E33</f>
        <v>0</v>
      </c>
    </row>
    <row r="36" spans="1:5">
      <c r="A36" s="566">
        <v>13.1</v>
      </c>
      <c r="B36" s="557" t="s">
        <v>747</v>
      </c>
      <c r="C36" s="610">
        <f>'2. SOFP'!E34</f>
        <v>228099382.21000001</v>
      </c>
      <c r="D36" s="624"/>
      <c r="E36" s="6">
        <f>C36-'2. SOFP'!E34</f>
        <v>0</v>
      </c>
    </row>
    <row r="37" spans="1:5">
      <c r="A37" s="566">
        <v>13.2</v>
      </c>
      <c r="B37" s="557" t="s">
        <v>748</v>
      </c>
      <c r="C37" s="610">
        <f>'2. SOFP'!E35</f>
        <v>0</v>
      </c>
      <c r="D37" s="624"/>
      <c r="E37" s="6">
        <f>C37-'2. SOFP'!E35</f>
        <v>0</v>
      </c>
    </row>
    <row r="38" spans="1:5">
      <c r="A38" s="566">
        <v>14</v>
      </c>
      <c r="B38" s="558" t="s">
        <v>749</v>
      </c>
      <c r="C38" s="611">
        <f>SUM(C6,C10,C12,C13,C14,C19,C22,C25,C26,C29,C32,C35)</f>
        <v>29031206419.544067</v>
      </c>
      <c r="D38" s="624"/>
      <c r="E38" s="6">
        <f>C38-'2. SOFP'!E36</f>
        <v>0</v>
      </c>
    </row>
    <row r="39" spans="1:5">
      <c r="A39" s="566"/>
      <c r="B39" s="559" t="s">
        <v>104</v>
      </c>
      <c r="C39" s="612"/>
      <c r="D39" s="624"/>
      <c r="E39" s="6">
        <f>C39-'2. SOFP'!E37</f>
        <v>0</v>
      </c>
    </row>
    <row r="40" spans="1:5">
      <c r="A40" s="566">
        <v>15</v>
      </c>
      <c r="B40" s="555" t="s">
        <v>750</v>
      </c>
      <c r="C40" s="604">
        <f>'2. SOFP'!E38</f>
        <v>27074742.93</v>
      </c>
      <c r="D40" s="624"/>
      <c r="E40" s="6">
        <f>C40-'2. SOFP'!E38</f>
        <v>0</v>
      </c>
    </row>
    <row r="41" spans="1:5">
      <c r="A41" s="566">
        <v>15.1</v>
      </c>
      <c r="B41" s="550" t="s">
        <v>730</v>
      </c>
      <c r="C41" s="604">
        <f>'2. SOFP'!E39</f>
        <v>27074742.93</v>
      </c>
      <c r="D41" s="624"/>
      <c r="E41" s="6">
        <f>C41-'2. SOFP'!E39</f>
        <v>0</v>
      </c>
    </row>
    <row r="42" spans="1:5" ht="21">
      <c r="A42" s="566">
        <v>16</v>
      </c>
      <c r="B42" s="555" t="s">
        <v>751</v>
      </c>
      <c r="C42" s="608"/>
      <c r="D42" s="624"/>
      <c r="E42" s="6">
        <f>C42-'2. SOFP'!E40</f>
        <v>0</v>
      </c>
    </row>
    <row r="43" spans="1:5">
      <c r="A43" s="566">
        <v>17</v>
      </c>
      <c r="B43" s="555" t="s">
        <v>752</v>
      </c>
      <c r="C43" s="608">
        <f>SUM(C44:C47)</f>
        <v>23565853923.240898</v>
      </c>
      <c r="D43" s="624"/>
      <c r="E43" s="6">
        <f>C43-'2. SOFP'!E41</f>
        <v>0</v>
      </c>
    </row>
    <row r="44" spans="1:5">
      <c r="A44" s="566">
        <v>17.100000000000001</v>
      </c>
      <c r="B44" s="560" t="s">
        <v>753</v>
      </c>
      <c r="C44" s="613">
        <f>'2. SOFP'!E42</f>
        <v>21457974916.810898</v>
      </c>
      <c r="D44" s="624"/>
      <c r="E44" s="6">
        <f>C44-'2. SOFP'!E42</f>
        <v>0</v>
      </c>
    </row>
    <row r="45" spans="1:5">
      <c r="A45" s="566">
        <v>17.2</v>
      </c>
      <c r="B45" s="548" t="s">
        <v>100</v>
      </c>
      <c r="C45" s="603">
        <f>'2. SOFP'!E43</f>
        <v>1914861205.8599999</v>
      </c>
      <c r="D45" s="624"/>
      <c r="E45" s="6">
        <f>C45-'2. SOFP'!E43</f>
        <v>0</v>
      </c>
    </row>
    <row r="46" spans="1:5">
      <c r="A46" s="566">
        <v>17.3</v>
      </c>
      <c r="B46" s="560" t="s">
        <v>754</v>
      </c>
      <c r="C46" s="613">
        <f>'2. SOFP'!E44</f>
        <v>68912002.690000013</v>
      </c>
      <c r="D46" s="624"/>
      <c r="E46" s="6">
        <f>C46-'2. SOFP'!E44</f>
        <v>0</v>
      </c>
    </row>
    <row r="47" spans="1:5">
      <c r="A47" s="566">
        <v>17.399999999999999</v>
      </c>
      <c r="B47" s="560" t="s">
        <v>755</v>
      </c>
      <c r="C47" s="613">
        <f>'2. SOFP'!E45</f>
        <v>124105797.88</v>
      </c>
      <c r="D47" s="624"/>
      <c r="E47" s="6">
        <f>C47-'2. SOFP'!E45</f>
        <v>0</v>
      </c>
    </row>
    <row r="48" spans="1:5">
      <c r="A48" s="566">
        <v>18</v>
      </c>
      <c r="B48" s="561" t="s">
        <v>756</v>
      </c>
      <c r="C48" s="614">
        <f>'2. SOFP'!E46</f>
        <v>6244726.1273999978</v>
      </c>
      <c r="D48" s="624"/>
      <c r="E48" s="6">
        <f>C48-'2. SOFP'!E46</f>
        <v>0</v>
      </c>
    </row>
    <row r="49" spans="1:5">
      <c r="A49" s="566">
        <v>19</v>
      </c>
      <c r="B49" s="561" t="s">
        <v>757</v>
      </c>
      <c r="C49" s="614">
        <f>SUM(C50:C51)</f>
        <v>155925605.65483564</v>
      </c>
      <c r="D49" s="624"/>
      <c r="E49" s="6">
        <f>C49-'2. SOFP'!E47</f>
        <v>0</v>
      </c>
    </row>
    <row r="50" spans="1:5">
      <c r="A50" s="566">
        <v>19.100000000000001</v>
      </c>
      <c r="B50" s="562" t="s">
        <v>758</v>
      </c>
      <c r="C50" s="615">
        <f>'2. SOFP'!E48</f>
        <v>140184043.35203636</v>
      </c>
      <c r="D50" s="624"/>
      <c r="E50" s="6">
        <f>C50-'2. SOFP'!E48</f>
        <v>0</v>
      </c>
    </row>
    <row r="51" spans="1:5">
      <c r="A51" s="566">
        <v>19.2</v>
      </c>
      <c r="B51" s="562" t="s">
        <v>759</v>
      </c>
      <c r="C51" s="615">
        <f>'2. SOFP'!E49</f>
        <v>15741562.302799283</v>
      </c>
      <c r="D51" s="624"/>
      <c r="E51" s="6">
        <f>C51-'2. SOFP'!E49</f>
        <v>0</v>
      </c>
    </row>
    <row r="52" spans="1:5">
      <c r="A52" s="566">
        <v>20</v>
      </c>
      <c r="B52" s="558" t="s">
        <v>101</v>
      </c>
      <c r="C52" s="615">
        <f>'2. SOFP'!E50</f>
        <v>894703985.12000012</v>
      </c>
      <c r="D52" s="624"/>
      <c r="E52" s="6">
        <f>C52-'2. SOFP'!E50</f>
        <v>0</v>
      </c>
    </row>
    <row r="53" spans="1:5" ht="21">
      <c r="A53" s="566"/>
      <c r="B53" s="558" t="str">
        <f>'9. Capital'!B35</f>
        <v>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v>
      </c>
      <c r="C53" s="615">
        <f>'9. Capital'!C35</f>
        <v>401745000</v>
      </c>
      <c r="D53" s="624" t="s">
        <v>997</v>
      </c>
      <c r="E53" s="6"/>
    </row>
    <row r="54" spans="1:5">
      <c r="A54" s="566"/>
      <c r="B54" s="558" t="str">
        <f>'9. Capital'!B45</f>
        <v>ინსტრუმენტები, რომლებიც აკმაყოფილებენ მეორადი კაპიტალის კრიტერიუმებს</v>
      </c>
      <c r="C54" s="615">
        <f>'9. Capital'!C45</f>
        <v>463747645</v>
      </c>
      <c r="D54" s="624" t="s">
        <v>998</v>
      </c>
      <c r="E54" s="6"/>
    </row>
    <row r="55" spans="1:5">
      <c r="A55" s="566">
        <v>21</v>
      </c>
      <c r="B55" s="549" t="s">
        <v>89</v>
      </c>
      <c r="C55" s="615">
        <f>'2. SOFP'!E51</f>
        <v>294024347.68700719</v>
      </c>
      <c r="D55" s="624"/>
      <c r="E55" s="6">
        <f>C55-'2. SOFP'!E51</f>
        <v>0</v>
      </c>
    </row>
    <row r="56" spans="1:5">
      <c r="A56" s="566">
        <v>21.1</v>
      </c>
      <c r="B56" s="548" t="s">
        <v>760</v>
      </c>
      <c r="C56" s="615">
        <f>'2. SOFP'!E52</f>
        <v>3668040.75</v>
      </c>
      <c r="D56" s="624"/>
      <c r="E56" s="6">
        <f>C56-'2. SOFP'!E52</f>
        <v>0</v>
      </c>
    </row>
    <row r="57" spans="1:5">
      <c r="A57" s="566">
        <v>22</v>
      </c>
      <c r="B57" s="558" t="s">
        <v>761</v>
      </c>
      <c r="C57" s="611">
        <f>SUM(C40,C42,C43,C48,C49,C52,C55)</f>
        <v>24943827330.760139</v>
      </c>
      <c r="D57" s="624"/>
      <c r="E57" s="6">
        <f>C57-'2. SOFP'!E53</f>
        <v>0</v>
      </c>
    </row>
    <row r="58" spans="1:5">
      <c r="A58" s="566"/>
      <c r="B58" s="559" t="s">
        <v>762</v>
      </c>
      <c r="C58" s="612"/>
      <c r="D58" s="624"/>
      <c r="E58" s="6">
        <f>C58-'2. SOFP'!E54</f>
        <v>0</v>
      </c>
    </row>
    <row r="59" spans="1:5">
      <c r="A59" s="566">
        <v>23</v>
      </c>
      <c r="B59" s="558" t="s">
        <v>105</v>
      </c>
      <c r="C59" s="611">
        <f>'2. SOFP'!E55</f>
        <v>27993660.18</v>
      </c>
      <c r="D59" s="624" t="s">
        <v>999</v>
      </c>
      <c r="E59" s="6">
        <f>C59-'2. SOFP'!E55</f>
        <v>0</v>
      </c>
    </row>
    <row r="60" spans="1:5">
      <c r="A60" s="566">
        <v>24</v>
      </c>
      <c r="B60" s="558" t="s">
        <v>763</v>
      </c>
      <c r="C60" s="611">
        <f>'2. SOFP'!E56</f>
        <v>0</v>
      </c>
      <c r="D60" s="624"/>
      <c r="E60" s="6">
        <f>C60-'2. SOFP'!E56</f>
        <v>0</v>
      </c>
    </row>
    <row r="61" spans="1:5">
      <c r="A61" s="566">
        <v>25</v>
      </c>
      <c r="B61" s="563" t="s">
        <v>102</v>
      </c>
      <c r="C61" s="616">
        <f>'2. SOFP'!E57</f>
        <v>252311118.03999999</v>
      </c>
      <c r="D61" s="624" t="s">
        <v>1001</v>
      </c>
      <c r="E61" s="6">
        <f>C61-'2. SOFP'!E57</f>
        <v>0</v>
      </c>
    </row>
    <row r="62" spans="1:5">
      <c r="A62" s="566">
        <v>26</v>
      </c>
      <c r="B62" s="561" t="s">
        <v>764</v>
      </c>
      <c r="C62" s="614">
        <f>'2. SOFP'!E58</f>
        <v>-10173</v>
      </c>
      <c r="D62" s="624" t="s">
        <v>1000</v>
      </c>
      <c r="E62" s="6">
        <f>C62-'2. SOFP'!E58</f>
        <v>0</v>
      </c>
    </row>
    <row r="63" spans="1:5">
      <c r="A63" s="566">
        <v>27</v>
      </c>
      <c r="B63" s="561" t="s">
        <v>765</v>
      </c>
      <c r="C63" s="614">
        <f>'2. SOFP'!E59</f>
        <v>0</v>
      </c>
      <c r="D63" s="624"/>
      <c r="E63" s="6">
        <f>C63-'2. SOFP'!E59</f>
        <v>0</v>
      </c>
    </row>
    <row r="64" spans="1:5">
      <c r="A64" s="566">
        <v>27.1</v>
      </c>
      <c r="B64" s="564" t="s">
        <v>766</v>
      </c>
      <c r="C64" s="614">
        <f>'2. SOFP'!E60</f>
        <v>0</v>
      </c>
      <c r="D64" s="624"/>
      <c r="E64" s="6">
        <f>C64-'2. SOFP'!E60</f>
        <v>0</v>
      </c>
    </row>
    <row r="65" spans="1:5">
      <c r="A65" s="566">
        <v>27.2</v>
      </c>
      <c r="B65" s="560" t="s">
        <v>767</v>
      </c>
      <c r="C65" s="614">
        <f>'2. SOFP'!E61</f>
        <v>0</v>
      </c>
      <c r="D65" s="624"/>
      <c r="E65" s="6">
        <f>C65-'2. SOFP'!E61</f>
        <v>0</v>
      </c>
    </row>
    <row r="66" spans="1:5">
      <c r="A66" s="566">
        <v>28</v>
      </c>
      <c r="B66" s="549" t="s">
        <v>768</v>
      </c>
      <c r="C66" s="614">
        <f>'2. SOFP'!E62</f>
        <v>-113514556.6337229</v>
      </c>
      <c r="D66" s="624"/>
      <c r="E66" s="6">
        <f>C66-'2. SOFP'!E62</f>
        <v>0</v>
      </c>
    </row>
    <row r="67" spans="1:5">
      <c r="A67" s="566">
        <v>29</v>
      </c>
      <c r="B67" s="561" t="s">
        <v>769</v>
      </c>
      <c r="C67" s="614">
        <f>SUM(C68:C70)</f>
        <v>31727328.587299995</v>
      </c>
      <c r="D67" s="625"/>
      <c r="E67" s="6">
        <f>C67-'2. SOFP'!E63</f>
        <v>0</v>
      </c>
    </row>
    <row r="68" spans="1:5">
      <c r="A68" s="566">
        <v>29.1</v>
      </c>
      <c r="B68" s="554" t="s">
        <v>770</v>
      </c>
      <c r="C68" s="607">
        <f>'2. SOFP'!E64</f>
        <v>2358668.17</v>
      </c>
      <c r="D68" s="624" t="s">
        <v>1003</v>
      </c>
      <c r="E68" s="6">
        <f>C68-'2. SOFP'!E64</f>
        <v>0</v>
      </c>
    </row>
    <row r="69" spans="1:5" ht="21">
      <c r="A69" s="566">
        <v>29.2</v>
      </c>
      <c r="B69" s="564" t="s">
        <v>771</v>
      </c>
      <c r="C69" s="617">
        <f>'2. SOFP'!E65</f>
        <v>2211831.9</v>
      </c>
      <c r="D69" s="624" t="s">
        <v>1003</v>
      </c>
      <c r="E69" s="6">
        <f>C69-'2. SOFP'!E65</f>
        <v>0</v>
      </c>
    </row>
    <row r="70" spans="1:5" ht="21">
      <c r="A70" s="566">
        <v>29.3</v>
      </c>
      <c r="B70" s="556" t="s">
        <v>772</v>
      </c>
      <c r="C70" s="609">
        <f>'2. SOFP'!E66</f>
        <v>27156828.517299995</v>
      </c>
      <c r="D70" s="624" t="s">
        <v>1003</v>
      </c>
      <c r="E70" s="6">
        <f>C70-'2. SOFP'!E66</f>
        <v>0</v>
      </c>
    </row>
    <row r="71" spans="1:5">
      <c r="A71" s="566">
        <v>30</v>
      </c>
      <c r="B71" s="552" t="s">
        <v>103</v>
      </c>
      <c r="C71" s="606">
        <f>'2. SOFP'!E67</f>
        <v>3888871711.6103463</v>
      </c>
      <c r="D71" s="580" t="s">
        <v>1002</v>
      </c>
      <c r="E71" s="6">
        <f>C71-'2. SOFP'!E67</f>
        <v>0</v>
      </c>
    </row>
    <row r="72" spans="1:5">
      <c r="A72" s="566">
        <v>31</v>
      </c>
      <c r="B72" s="565" t="s">
        <v>773</v>
      </c>
      <c r="C72" s="618">
        <f>SUM(C59,C60,C61,C62,C63,C66,C67,C71)</f>
        <v>4087379088.7839231</v>
      </c>
      <c r="D72" s="625"/>
      <c r="E72" s="6">
        <f>C72-'2. SOFP'!E68</f>
        <v>0</v>
      </c>
    </row>
    <row r="73" spans="1:5" ht="16.5" thickBot="1">
      <c r="A73" s="567">
        <v>32</v>
      </c>
      <c r="B73" s="568" t="s">
        <v>774</v>
      </c>
      <c r="C73" s="626">
        <f>SUM(C57,C72)</f>
        <v>29031206419.544064</v>
      </c>
      <c r="D73" s="627"/>
    </row>
    <row r="75" spans="1:5">
      <c r="C75" s="599">
        <f>C73-'2. SOFP'!E36</f>
        <v>0</v>
      </c>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3"/>
  <sheetViews>
    <sheetView zoomScaleNormal="100" workbookViewId="0">
      <pane xSplit="2" ySplit="7" topLeftCell="C8" activePane="bottomRight" state="frozen"/>
      <selection sqref="A1:C1"/>
      <selection pane="topRight" sqref="A1:C1"/>
      <selection pane="bottomLeft" sqref="A1:C1"/>
      <selection pane="bottomRight" activeCell="C8" sqref="C8"/>
    </sheetView>
  </sheetViews>
  <sheetFormatPr defaultColWidth="9.140625" defaultRowHeight="12.75"/>
  <cols>
    <col min="1" max="1" width="10.5703125" style="2" bestFit="1" customWidth="1"/>
    <col min="2" max="2" width="97" style="2" bestFit="1" customWidth="1"/>
    <col min="3" max="3" width="16.42578125" style="2" customWidth="1"/>
    <col min="4" max="4" width="13.28515625" style="2" bestFit="1" customWidth="1"/>
    <col min="5" max="5" width="15.42578125" style="2" customWidth="1"/>
    <col min="6" max="6" width="13.28515625" style="2" bestFit="1" customWidth="1"/>
    <col min="7" max="7" width="17.7109375" style="2" customWidth="1"/>
    <col min="8" max="8" width="13.28515625" style="2" bestFit="1" customWidth="1"/>
    <col min="9" max="9" width="13.140625" style="2" customWidth="1"/>
    <col min="10" max="10" width="13.28515625" style="2" bestFit="1" customWidth="1"/>
    <col min="11" max="11" width="18.85546875" style="2" customWidth="1"/>
    <col min="12" max="12" width="13.28515625" style="2" bestFit="1" customWidth="1"/>
    <col min="13" max="13" width="13.85546875" style="2" bestFit="1" customWidth="1"/>
    <col min="14" max="14" width="13.28515625" style="2" bestFit="1" customWidth="1"/>
    <col min="15" max="15" width="14.85546875" style="2" customWidth="1"/>
    <col min="16" max="16" width="13.28515625" style="2" bestFit="1" customWidth="1"/>
    <col min="17" max="17" width="14.140625" style="2" customWidth="1"/>
    <col min="18" max="18" width="13.28515625" style="2" bestFit="1" customWidth="1"/>
    <col min="19" max="19" width="31.5703125" style="2" bestFit="1" customWidth="1"/>
    <col min="20" max="20" width="11.7109375" style="10" bestFit="1" customWidth="1"/>
    <col min="21" max="16384" width="9.140625" style="10"/>
  </cols>
  <sheetData>
    <row r="1" spans="1:20">
      <c r="A1" s="2" t="s">
        <v>108</v>
      </c>
      <c r="B1" s="190" t="str">
        <f>Info!C2</f>
        <v>სს ”საქართველოს ბანკი”</v>
      </c>
    </row>
    <row r="2" spans="1:20">
      <c r="A2" s="2" t="s">
        <v>109</v>
      </c>
      <c r="B2" s="275">
        <f>'1. key ratios'!B2</f>
        <v>45199</v>
      </c>
    </row>
    <row r="4" spans="1:20" ht="26.25" thickBot="1">
      <c r="A4" s="29" t="s">
        <v>258</v>
      </c>
      <c r="B4" s="160" t="s">
        <v>293</v>
      </c>
      <c r="E4" s="2">
        <v>0</v>
      </c>
    </row>
    <row r="5" spans="1:20">
      <c r="A5" s="61"/>
      <c r="B5" s="63"/>
      <c r="C5" s="56" t="s">
        <v>0</v>
      </c>
      <c r="D5" s="56" t="s">
        <v>1</v>
      </c>
      <c r="E5" s="56" t="s">
        <v>2</v>
      </c>
      <c r="F5" s="56" t="s">
        <v>3</v>
      </c>
      <c r="G5" s="56" t="s">
        <v>4</v>
      </c>
      <c r="H5" s="56" t="s">
        <v>5</v>
      </c>
      <c r="I5" s="56" t="s">
        <v>145</v>
      </c>
      <c r="J5" s="56" t="s">
        <v>146</v>
      </c>
      <c r="K5" s="56" t="s">
        <v>147</v>
      </c>
      <c r="L5" s="56" t="s">
        <v>148</v>
      </c>
      <c r="M5" s="56" t="s">
        <v>149</v>
      </c>
      <c r="N5" s="56" t="s">
        <v>150</v>
      </c>
      <c r="O5" s="56" t="s">
        <v>280</v>
      </c>
      <c r="P5" s="56" t="s">
        <v>281</v>
      </c>
      <c r="Q5" s="56" t="s">
        <v>282</v>
      </c>
      <c r="R5" s="152" t="s">
        <v>283</v>
      </c>
      <c r="S5" s="57" t="s">
        <v>284</v>
      </c>
    </row>
    <row r="6" spans="1:20" ht="46.5" customHeight="1">
      <c r="A6" s="67"/>
      <c r="B6" s="812" t="s">
        <v>285</v>
      </c>
      <c r="C6" s="810">
        <v>0</v>
      </c>
      <c r="D6" s="811"/>
      <c r="E6" s="810">
        <v>0.2</v>
      </c>
      <c r="F6" s="811"/>
      <c r="G6" s="810">
        <v>0.35</v>
      </c>
      <c r="H6" s="811"/>
      <c r="I6" s="810">
        <v>0.5</v>
      </c>
      <c r="J6" s="811"/>
      <c r="K6" s="810">
        <v>0.75</v>
      </c>
      <c r="L6" s="811"/>
      <c r="M6" s="810">
        <v>1</v>
      </c>
      <c r="N6" s="811"/>
      <c r="O6" s="810">
        <v>1.5</v>
      </c>
      <c r="P6" s="811"/>
      <c r="Q6" s="810">
        <v>2.5</v>
      </c>
      <c r="R6" s="811"/>
      <c r="S6" s="808" t="s">
        <v>156</v>
      </c>
    </row>
    <row r="7" spans="1:20">
      <c r="A7" s="67"/>
      <c r="B7" s="813"/>
      <c r="C7" s="159" t="s">
        <v>278</v>
      </c>
      <c r="D7" s="159" t="s">
        <v>279</v>
      </c>
      <c r="E7" s="159" t="s">
        <v>278</v>
      </c>
      <c r="F7" s="159" t="s">
        <v>279</v>
      </c>
      <c r="G7" s="159" t="s">
        <v>278</v>
      </c>
      <c r="H7" s="159" t="s">
        <v>279</v>
      </c>
      <c r="I7" s="159" t="s">
        <v>278</v>
      </c>
      <c r="J7" s="159" t="s">
        <v>279</v>
      </c>
      <c r="K7" s="159" t="s">
        <v>278</v>
      </c>
      <c r="L7" s="159" t="s">
        <v>279</v>
      </c>
      <c r="M7" s="159" t="s">
        <v>278</v>
      </c>
      <c r="N7" s="159" t="s">
        <v>279</v>
      </c>
      <c r="O7" s="159" t="s">
        <v>278</v>
      </c>
      <c r="P7" s="159" t="s">
        <v>279</v>
      </c>
      <c r="Q7" s="159" t="s">
        <v>278</v>
      </c>
      <c r="R7" s="159" t="s">
        <v>279</v>
      </c>
      <c r="S7" s="809"/>
    </row>
    <row r="8" spans="1:20" s="70" customFormat="1">
      <c r="A8" s="60">
        <v>1</v>
      </c>
      <c r="B8" s="88" t="s">
        <v>134</v>
      </c>
      <c r="C8" s="525">
        <v>4557305442.9535999</v>
      </c>
      <c r="D8" s="525"/>
      <c r="E8" s="525">
        <v>0</v>
      </c>
      <c r="F8" s="526"/>
      <c r="G8" s="525"/>
      <c r="H8" s="525"/>
      <c r="I8" s="525">
        <v>0</v>
      </c>
      <c r="J8" s="525"/>
      <c r="K8" s="525">
        <v>0.35</v>
      </c>
      <c r="L8" s="525"/>
      <c r="M8" s="525">
        <v>1852055544.53</v>
      </c>
      <c r="N8" s="525"/>
      <c r="O8" s="525">
        <v>0</v>
      </c>
      <c r="P8" s="525"/>
      <c r="Q8" s="525">
        <v>0</v>
      </c>
      <c r="R8" s="526"/>
      <c r="S8" s="165">
        <f>$C$6*SUM(C8:D8)+$E$6*SUM(E8:F8)+$G$6*SUM(G8:H8)+$I$6*SUM(I8:J8)+$K$6*SUM(K8:L8)+$M$6*SUM(M8:N8)+$O$6*SUM(O8:P8)+$Q$6*SUM(Q8:R8)</f>
        <v>1852055544.7925</v>
      </c>
      <c r="T8" s="528"/>
    </row>
    <row r="9" spans="1:20" s="70" customFormat="1">
      <c r="A9" s="60">
        <v>2</v>
      </c>
      <c r="B9" s="88" t="s">
        <v>135</v>
      </c>
      <c r="C9" s="525">
        <v>0</v>
      </c>
      <c r="D9" s="525"/>
      <c r="E9" s="525">
        <v>0</v>
      </c>
      <c r="F9" s="525"/>
      <c r="G9" s="525"/>
      <c r="H9" s="525"/>
      <c r="I9" s="525">
        <v>0</v>
      </c>
      <c r="J9" s="525"/>
      <c r="K9" s="525">
        <v>0</v>
      </c>
      <c r="L9" s="525"/>
      <c r="M9" s="525">
        <v>0</v>
      </c>
      <c r="N9" s="525"/>
      <c r="O9" s="525">
        <v>0</v>
      </c>
      <c r="P9" s="525"/>
      <c r="Q9" s="525">
        <v>0</v>
      </c>
      <c r="R9" s="526"/>
      <c r="S9" s="165">
        <f t="shared" ref="S9:S21" si="0">$C$6*SUM(C9:D9)+$E$6*SUM(E9:F9)+$G$6*SUM(G9:H9)+$I$6*SUM(I9:J9)+$K$6*SUM(K9:L9)+$M$6*SUM(M9:N9)+$O$6*SUM(O9:P9)+$Q$6*SUM(Q9:R9)</f>
        <v>0</v>
      </c>
      <c r="T9" s="528"/>
    </row>
    <row r="10" spans="1:20" s="70" customFormat="1">
      <c r="A10" s="60">
        <v>3</v>
      </c>
      <c r="B10" s="88" t="s">
        <v>136</v>
      </c>
      <c r="C10" s="525">
        <v>0</v>
      </c>
      <c r="D10" s="525"/>
      <c r="E10" s="525">
        <v>0</v>
      </c>
      <c r="F10" s="525"/>
      <c r="G10" s="525"/>
      <c r="H10" s="525"/>
      <c r="I10" s="525">
        <v>0</v>
      </c>
      <c r="J10" s="525"/>
      <c r="K10" s="525">
        <v>0</v>
      </c>
      <c r="L10" s="525"/>
      <c r="M10" s="525">
        <v>0</v>
      </c>
      <c r="N10" s="525"/>
      <c r="O10" s="525">
        <v>0</v>
      </c>
      <c r="P10" s="525"/>
      <c r="Q10" s="525">
        <v>0</v>
      </c>
      <c r="R10" s="526"/>
      <c r="S10" s="165">
        <f t="shared" si="0"/>
        <v>0</v>
      </c>
      <c r="T10" s="528"/>
    </row>
    <row r="11" spans="1:20" s="70" customFormat="1">
      <c r="A11" s="60">
        <v>4</v>
      </c>
      <c r="B11" s="88" t="s">
        <v>137</v>
      </c>
      <c r="C11" s="525">
        <v>948943856.53999996</v>
      </c>
      <c r="D11" s="525"/>
      <c r="E11" s="525">
        <v>0</v>
      </c>
      <c r="F11" s="525"/>
      <c r="G11" s="525"/>
      <c r="H11" s="525"/>
      <c r="I11" s="525">
        <v>0</v>
      </c>
      <c r="J11" s="525"/>
      <c r="K11" s="525">
        <v>0</v>
      </c>
      <c r="L11" s="525"/>
      <c r="M11" s="525">
        <v>0</v>
      </c>
      <c r="N11" s="525"/>
      <c r="O11" s="525">
        <v>0</v>
      </c>
      <c r="P11" s="525"/>
      <c r="Q11" s="525">
        <v>0</v>
      </c>
      <c r="R11" s="526"/>
      <c r="S11" s="165">
        <f t="shared" si="0"/>
        <v>0</v>
      </c>
      <c r="T11" s="528"/>
    </row>
    <row r="12" spans="1:20" s="70" customFormat="1">
      <c r="A12" s="60">
        <v>5</v>
      </c>
      <c r="B12" s="88" t="s">
        <v>946</v>
      </c>
      <c r="C12" s="525">
        <v>0</v>
      </c>
      <c r="D12" s="525"/>
      <c r="E12" s="525">
        <v>0</v>
      </c>
      <c r="F12" s="525"/>
      <c r="G12" s="525"/>
      <c r="H12" s="525"/>
      <c r="I12" s="525">
        <v>0</v>
      </c>
      <c r="J12" s="525"/>
      <c r="K12" s="525">
        <v>0</v>
      </c>
      <c r="L12" s="525"/>
      <c r="M12" s="525">
        <v>0</v>
      </c>
      <c r="N12" s="525"/>
      <c r="O12" s="525">
        <v>0</v>
      </c>
      <c r="P12" s="525"/>
      <c r="Q12" s="525">
        <v>0</v>
      </c>
      <c r="R12" s="526"/>
      <c r="S12" s="165">
        <f t="shared" si="0"/>
        <v>0</v>
      </c>
      <c r="T12" s="528"/>
    </row>
    <row r="13" spans="1:20" s="70" customFormat="1">
      <c r="A13" s="60">
        <v>6</v>
      </c>
      <c r="B13" s="88" t="s">
        <v>138</v>
      </c>
      <c r="C13" s="525">
        <v>0</v>
      </c>
      <c r="D13" s="525"/>
      <c r="E13" s="525">
        <v>988934965.57880032</v>
      </c>
      <c r="F13" s="525"/>
      <c r="G13" s="525">
        <v>0</v>
      </c>
      <c r="H13" s="525"/>
      <c r="I13" s="525">
        <v>57341942.999700002</v>
      </c>
      <c r="J13" s="525"/>
      <c r="K13" s="525">
        <v>0</v>
      </c>
      <c r="L13" s="525"/>
      <c r="M13" s="525">
        <v>24978768.326200001</v>
      </c>
      <c r="N13" s="525"/>
      <c r="O13" s="525">
        <v>0</v>
      </c>
      <c r="P13" s="525"/>
      <c r="Q13" s="525">
        <v>0</v>
      </c>
      <c r="R13" s="526"/>
      <c r="S13" s="165">
        <f t="shared" si="0"/>
        <v>251436732.9418101</v>
      </c>
      <c r="T13" s="528"/>
    </row>
    <row r="14" spans="1:20" s="70" customFormat="1">
      <c r="A14" s="60">
        <v>7</v>
      </c>
      <c r="B14" s="88" t="s">
        <v>71</v>
      </c>
      <c r="C14" s="525"/>
      <c r="D14" s="525"/>
      <c r="E14" s="525">
        <v>0</v>
      </c>
      <c r="F14" s="525"/>
      <c r="G14" s="525">
        <v>0</v>
      </c>
      <c r="H14" s="525"/>
      <c r="I14" s="525">
        <v>0</v>
      </c>
      <c r="J14" s="525"/>
      <c r="K14" s="525">
        <v>0</v>
      </c>
      <c r="L14" s="525"/>
      <c r="M14" s="525">
        <v>7008761586.8785992</v>
      </c>
      <c r="N14" s="525">
        <v>1025729129.2720406</v>
      </c>
      <c r="O14" s="525">
        <v>0</v>
      </c>
      <c r="P14" s="525"/>
      <c r="Q14" s="525">
        <v>0</v>
      </c>
      <c r="R14" s="526"/>
      <c r="S14" s="165">
        <f t="shared" si="0"/>
        <v>8034490716.1506395</v>
      </c>
      <c r="T14" s="528"/>
    </row>
    <row r="15" spans="1:20" s="70" customFormat="1">
      <c r="A15" s="60">
        <v>8</v>
      </c>
      <c r="B15" s="88" t="s">
        <v>72</v>
      </c>
      <c r="C15" s="525"/>
      <c r="D15" s="525"/>
      <c r="E15" s="525"/>
      <c r="F15" s="525"/>
      <c r="G15" s="525">
        <v>0</v>
      </c>
      <c r="H15" s="525"/>
      <c r="I15" s="525">
        <v>0</v>
      </c>
      <c r="J15" s="525"/>
      <c r="K15" s="525">
        <v>6412811979.4624996</v>
      </c>
      <c r="L15" s="525">
        <v>118519525.9631</v>
      </c>
      <c r="M15" s="525">
        <v>0</v>
      </c>
      <c r="N15" s="525">
        <v>0</v>
      </c>
      <c r="O15" s="525"/>
      <c r="P15" s="525"/>
      <c r="Q15" s="525">
        <v>0</v>
      </c>
      <c r="R15" s="526"/>
      <c r="S15" s="165">
        <f t="shared" si="0"/>
        <v>4898498629.0692005</v>
      </c>
      <c r="T15" s="528"/>
    </row>
    <row r="16" spans="1:20" s="70" customFormat="1">
      <c r="A16" s="60">
        <v>9</v>
      </c>
      <c r="B16" s="88" t="s">
        <v>947</v>
      </c>
      <c r="C16" s="525"/>
      <c r="D16" s="525"/>
      <c r="E16" s="525"/>
      <c r="F16" s="525"/>
      <c r="G16" s="525">
        <v>4394225256.4042997</v>
      </c>
      <c r="H16" s="525"/>
      <c r="I16" s="525">
        <v>0</v>
      </c>
      <c r="J16" s="525"/>
      <c r="K16" s="525">
        <v>0</v>
      </c>
      <c r="L16" s="525"/>
      <c r="M16" s="525">
        <v>0</v>
      </c>
      <c r="N16" s="525"/>
      <c r="O16" s="525">
        <v>0</v>
      </c>
      <c r="P16" s="525"/>
      <c r="Q16" s="525">
        <v>0</v>
      </c>
      <c r="R16" s="526"/>
      <c r="S16" s="165">
        <f t="shared" si="0"/>
        <v>1537978839.7415049</v>
      </c>
      <c r="T16" s="528"/>
    </row>
    <row r="17" spans="1:22" s="70" customFormat="1">
      <c r="A17" s="60">
        <v>10</v>
      </c>
      <c r="B17" s="88" t="s">
        <v>67</v>
      </c>
      <c r="C17" s="525"/>
      <c r="D17" s="525"/>
      <c r="E17" s="525"/>
      <c r="F17" s="525"/>
      <c r="G17" s="525">
        <v>0</v>
      </c>
      <c r="H17" s="525"/>
      <c r="I17" s="525">
        <v>28442541.9826</v>
      </c>
      <c r="J17" s="525"/>
      <c r="K17" s="525">
        <v>0</v>
      </c>
      <c r="L17" s="525"/>
      <c r="M17" s="525">
        <v>171675192.0077</v>
      </c>
      <c r="N17" s="525"/>
      <c r="O17" s="525">
        <v>3564826.0211</v>
      </c>
      <c r="P17" s="525"/>
      <c r="Q17" s="525">
        <v>0</v>
      </c>
      <c r="R17" s="526"/>
      <c r="S17" s="165">
        <f t="shared" si="0"/>
        <v>191243702.03064999</v>
      </c>
      <c r="T17" s="528"/>
    </row>
    <row r="18" spans="1:22" s="70" customFormat="1">
      <c r="A18" s="60">
        <v>11</v>
      </c>
      <c r="B18" s="88" t="s">
        <v>68</v>
      </c>
      <c r="C18" s="525"/>
      <c r="D18" s="525"/>
      <c r="E18" s="525"/>
      <c r="F18" s="525"/>
      <c r="G18" s="525">
        <v>0</v>
      </c>
      <c r="H18" s="525"/>
      <c r="I18" s="525">
        <v>0</v>
      </c>
      <c r="J18" s="525"/>
      <c r="K18" s="525">
        <v>0</v>
      </c>
      <c r="L18" s="525"/>
      <c r="M18" s="525">
        <v>155408985.05450001</v>
      </c>
      <c r="N18" s="525"/>
      <c r="O18" s="525">
        <v>78773838.987399995</v>
      </c>
      <c r="P18" s="525"/>
      <c r="Q18" s="525">
        <v>45443096.145097502</v>
      </c>
      <c r="R18" s="526"/>
      <c r="S18" s="165">
        <f t="shared" si="0"/>
        <v>387177483.89834374</v>
      </c>
      <c r="T18" s="528"/>
    </row>
    <row r="19" spans="1:22" s="70" customFormat="1">
      <c r="A19" s="60">
        <v>12</v>
      </c>
      <c r="B19" s="88" t="s">
        <v>69</v>
      </c>
      <c r="C19" s="525"/>
      <c r="D19" s="525"/>
      <c r="E19" s="525"/>
      <c r="F19" s="525"/>
      <c r="G19" s="525">
        <v>0</v>
      </c>
      <c r="H19" s="525"/>
      <c r="I19" s="525">
        <v>0</v>
      </c>
      <c r="J19" s="525"/>
      <c r="K19" s="525">
        <v>0</v>
      </c>
      <c r="L19" s="525"/>
      <c r="M19" s="525">
        <v>0</v>
      </c>
      <c r="N19" s="525"/>
      <c r="O19" s="525">
        <v>0</v>
      </c>
      <c r="P19" s="525"/>
      <c r="Q19" s="525">
        <v>0</v>
      </c>
      <c r="R19" s="526"/>
      <c r="S19" s="165">
        <f t="shared" si="0"/>
        <v>0</v>
      </c>
      <c r="T19" s="528"/>
    </row>
    <row r="20" spans="1:22" s="70" customFormat="1">
      <c r="A20" s="60">
        <v>13</v>
      </c>
      <c r="B20" s="88" t="s">
        <v>70</v>
      </c>
      <c r="C20" s="525"/>
      <c r="D20" s="525"/>
      <c r="E20" s="525"/>
      <c r="F20" s="525"/>
      <c r="G20" s="525">
        <v>0</v>
      </c>
      <c r="H20" s="525"/>
      <c r="I20" s="525">
        <v>0</v>
      </c>
      <c r="J20" s="525"/>
      <c r="K20" s="525">
        <v>0</v>
      </c>
      <c r="L20" s="525"/>
      <c r="M20" s="525">
        <v>0</v>
      </c>
      <c r="N20" s="525"/>
      <c r="O20" s="525">
        <v>0</v>
      </c>
      <c r="P20" s="525"/>
      <c r="Q20" s="525">
        <v>0</v>
      </c>
      <c r="R20" s="526"/>
      <c r="S20" s="165">
        <f t="shared" si="0"/>
        <v>0</v>
      </c>
      <c r="T20" s="528"/>
    </row>
    <row r="21" spans="1:22" s="70" customFormat="1">
      <c r="A21" s="60">
        <v>14</v>
      </c>
      <c r="B21" s="88" t="s">
        <v>154</v>
      </c>
      <c r="C21" s="525">
        <v>790475911.34200001</v>
      </c>
      <c r="D21" s="525"/>
      <c r="E21" s="525"/>
      <c r="F21" s="525"/>
      <c r="G21" s="525">
        <v>0</v>
      </c>
      <c r="H21" s="525"/>
      <c r="I21" s="525">
        <v>0</v>
      </c>
      <c r="J21" s="525"/>
      <c r="K21" s="525">
        <v>0</v>
      </c>
      <c r="L21" s="525"/>
      <c r="M21" s="525">
        <v>1180971515.5915997</v>
      </c>
      <c r="N21" s="525"/>
      <c r="O21" s="525">
        <v>0</v>
      </c>
      <c r="P21" s="525"/>
      <c r="Q21" s="525">
        <v>148740748.83999997</v>
      </c>
      <c r="R21" s="526"/>
      <c r="S21" s="165">
        <f t="shared" si="0"/>
        <v>1552823387.6915996</v>
      </c>
      <c r="T21" s="528"/>
    </row>
    <row r="22" spans="1:22" ht="13.5" thickBot="1">
      <c r="A22" s="42"/>
      <c r="B22" s="72" t="s">
        <v>66</v>
      </c>
      <c r="C22" s="136">
        <f>SUM(C8:C21)</f>
        <v>6296725210.8355999</v>
      </c>
      <c r="D22" s="136">
        <f t="shared" ref="D22:S22" si="1">SUM(D8:D21)</f>
        <v>0</v>
      </c>
      <c r="E22" s="136">
        <f t="shared" si="1"/>
        <v>988934965.57880032</v>
      </c>
      <c r="F22" s="136">
        <f t="shared" si="1"/>
        <v>0</v>
      </c>
      <c r="G22" s="136">
        <f t="shared" si="1"/>
        <v>4394225256.4042997</v>
      </c>
      <c r="H22" s="136">
        <f t="shared" si="1"/>
        <v>0</v>
      </c>
      <c r="I22" s="136">
        <f t="shared" si="1"/>
        <v>85784484.982299998</v>
      </c>
      <c r="J22" s="136">
        <f t="shared" si="1"/>
        <v>0</v>
      </c>
      <c r="K22" s="136">
        <f t="shared" si="1"/>
        <v>6412811979.8125</v>
      </c>
      <c r="L22" s="136">
        <f t="shared" si="1"/>
        <v>118519525.9631</v>
      </c>
      <c r="M22" s="136">
        <f t="shared" si="1"/>
        <v>10393851592.388599</v>
      </c>
      <c r="N22" s="136">
        <f t="shared" si="1"/>
        <v>1025729129.2720406</v>
      </c>
      <c r="O22" s="136">
        <f t="shared" si="1"/>
        <v>82338665.008499995</v>
      </c>
      <c r="P22" s="136">
        <f t="shared" si="1"/>
        <v>0</v>
      </c>
      <c r="Q22" s="136">
        <f t="shared" si="1"/>
        <v>194183844.98509747</v>
      </c>
      <c r="R22" s="136">
        <f t="shared" si="1"/>
        <v>0</v>
      </c>
      <c r="S22" s="166">
        <f t="shared" si="1"/>
        <v>18705705036.316246</v>
      </c>
      <c r="T22" s="529"/>
    </row>
    <row r="23" spans="1:22">
      <c r="C23" s="527"/>
      <c r="D23" s="527"/>
      <c r="E23" s="527"/>
      <c r="F23" s="527"/>
      <c r="G23" s="527"/>
      <c r="H23" s="527"/>
      <c r="I23" s="527"/>
      <c r="J23" s="527"/>
      <c r="K23" s="527"/>
      <c r="L23" s="527"/>
      <c r="M23" s="527"/>
      <c r="N23" s="527"/>
      <c r="O23" s="527"/>
      <c r="P23" s="527"/>
      <c r="Q23" s="527"/>
      <c r="R23" s="527"/>
      <c r="S23" s="527"/>
      <c r="T23" s="527"/>
      <c r="U23" s="527"/>
      <c r="V23" s="527"/>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1"/>
  <sheetViews>
    <sheetView zoomScaleNormal="100" workbookViewId="0">
      <pane xSplit="2" ySplit="6" topLeftCell="C7" activePane="bottomRight" state="frozen"/>
      <selection sqref="A1:C1"/>
      <selection pane="topRight" sqref="A1:C1"/>
      <selection pane="bottomLeft" sqref="A1:C1"/>
      <selection pane="bottomRight" activeCell="C7" sqref="C7"/>
    </sheetView>
  </sheetViews>
  <sheetFormatPr defaultColWidth="9.140625" defaultRowHeight="12.75"/>
  <cols>
    <col min="1" max="1" width="10.5703125" style="2" bestFit="1" customWidth="1"/>
    <col min="2" max="2" width="97" style="2" bestFit="1"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0"/>
  </cols>
  <sheetData>
    <row r="1" spans="1:22">
      <c r="A1" s="2" t="s">
        <v>108</v>
      </c>
      <c r="B1" s="190" t="str">
        <f>Info!C2</f>
        <v>სს ”საქართველოს ბანკი”</v>
      </c>
    </row>
    <row r="2" spans="1:22">
      <c r="A2" s="2" t="s">
        <v>109</v>
      </c>
      <c r="B2" s="275">
        <f>'1. key ratios'!B2</f>
        <v>45199</v>
      </c>
      <c r="E2" s="2">
        <v>0</v>
      </c>
    </row>
    <row r="3" spans="1:22" ht="15">
      <c r="M3" s="531" t="s">
        <v>957</v>
      </c>
      <c r="N3" s="531"/>
      <c r="O3" s="531" t="s">
        <v>958</v>
      </c>
      <c r="P3" s="531"/>
      <c r="Q3" s="531"/>
      <c r="R3" s="531" t="s">
        <v>959</v>
      </c>
    </row>
    <row r="4" spans="1:22" ht="27.75" thickBot="1">
      <c r="A4" s="2" t="s">
        <v>259</v>
      </c>
      <c r="B4" s="161" t="s">
        <v>294</v>
      </c>
      <c r="V4" s="110" t="s">
        <v>87</v>
      </c>
    </row>
    <row r="5" spans="1:22">
      <c r="A5" s="40"/>
      <c r="B5" s="41"/>
      <c r="C5" s="814" t="s">
        <v>116</v>
      </c>
      <c r="D5" s="815"/>
      <c r="E5" s="815"/>
      <c r="F5" s="815"/>
      <c r="G5" s="815"/>
      <c r="H5" s="815"/>
      <c r="I5" s="815"/>
      <c r="J5" s="815"/>
      <c r="K5" s="815"/>
      <c r="L5" s="816"/>
      <c r="M5" s="814" t="s">
        <v>117</v>
      </c>
      <c r="N5" s="815"/>
      <c r="O5" s="815"/>
      <c r="P5" s="815"/>
      <c r="Q5" s="815"/>
      <c r="R5" s="815"/>
      <c r="S5" s="816"/>
      <c r="T5" s="819" t="s">
        <v>292</v>
      </c>
      <c r="U5" s="819" t="s">
        <v>291</v>
      </c>
      <c r="V5" s="817" t="s">
        <v>118</v>
      </c>
    </row>
    <row r="6" spans="1:22" s="29" customFormat="1" ht="127.5">
      <c r="A6" s="58"/>
      <c r="B6" s="89"/>
      <c r="C6" s="38" t="s">
        <v>119</v>
      </c>
      <c r="D6" s="37" t="s">
        <v>120</v>
      </c>
      <c r="E6" s="36" t="s">
        <v>121</v>
      </c>
      <c r="F6" s="162" t="s">
        <v>286</v>
      </c>
      <c r="G6" s="37" t="s">
        <v>122</v>
      </c>
      <c r="H6" s="37" t="s">
        <v>123</v>
      </c>
      <c r="I6" s="37" t="s">
        <v>124</v>
      </c>
      <c r="J6" s="37" t="s">
        <v>153</v>
      </c>
      <c r="K6" s="37" t="s">
        <v>125</v>
      </c>
      <c r="L6" s="39" t="s">
        <v>126</v>
      </c>
      <c r="M6" s="38" t="s">
        <v>127</v>
      </c>
      <c r="N6" s="37" t="s">
        <v>128</v>
      </c>
      <c r="O6" s="37" t="s">
        <v>129</v>
      </c>
      <c r="P6" s="37" t="s">
        <v>130</v>
      </c>
      <c r="Q6" s="37" t="s">
        <v>131</v>
      </c>
      <c r="R6" s="37" t="s">
        <v>132</v>
      </c>
      <c r="S6" s="39" t="s">
        <v>133</v>
      </c>
      <c r="T6" s="820"/>
      <c r="U6" s="820"/>
      <c r="V6" s="818"/>
    </row>
    <row r="7" spans="1:22" s="70" customFormat="1">
      <c r="A7" s="71">
        <v>1</v>
      </c>
      <c r="B7" s="88" t="s">
        <v>134</v>
      </c>
      <c r="C7" s="137"/>
      <c r="D7" s="530">
        <v>0</v>
      </c>
      <c r="E7" s="530"/>
      <c r="F7" s="530"/>
      <c r="G7" s="530"/>
      <c r="H7" s="530"/>
      <c r="I7" s="530"/>
      <c r="J7" s="530"/>
      <c r="K7" s="530"/>
      <c r="L7" s="530"/>
      <c r="M7" s="530">
        <v>0</v>
      </c>
      <c r="N7" s="530"/>
      <c r="O7" s="530"/>
      <c r="P7" s="530"/>
      <c r="Q7" s="530"/>
      <c r="R7" s="530">
        <v>0</v>
      </c>
      <c r="S7" s="530"/>
      <c r="T7" s="156"/>
      <c r="U7" s="155"/>
      <c r="V7" s="138">
        <f>SUM(C7:S7)</f>
        <v>0</v>
      </c>
    </row>
    <row r="8" spans="1:22" s="70" customFormat="1">
      <c r="A8" s="71">
        <v>2</v>
      </c>
      <c r="B8" s="88" t="s">
        <v>135</v>
      </c>
      <c r="C8" s="137"/>
      <c r="D8" s="530">
        <v>0</v>
      </c>
      <c r="E8" s="530"/>
      <c r="F8" s="530"/>
      <c r="G8" s="530"/>
      <c r="H8" s="530"/>
      <c r="I8" s="530"/>
      <c r="J8" s="530"/>
      <c r="K8" s="530"/>
      <c r="L8" s="530"/>
      <c r="M8" s="530"/>
      <c r="N8" s="530"/>
      <c r="O8" s="530"/>
      <c r="P8" s="530"/>
      <c r="Q8" s="530"/>
      <c r="R8" s="530">
        <v>0</v>
      </c>
      <c r="S8" s="530"/>
      <c r="T8" s="155"/>
      <c r="U8" s="155"/>
      <c r="V8" s="138">
        <f t="shared" ref="V8:V20" si="0">SUM(C8:S8)</f>
        <v>0</v>
      </c>
    </row>
    <row r="9" spans="1:22" s="70" customFormat="1">
      <c r="A9" s="71">
        <v>3</v>
      </c>
      <c r="B9" s="88" t="s">
        <v>136</v>
      </c>
      <c r="C9" s="137"/>
      <c r="D9" s="530">
        <v>0</v>
      </c>
      <c r="E9" s="530"/>
      <c r="F9" s="530"/>
      <c r="G9" s="530"/>
      <c r="H9" s="530"/>
      <c r="I9" s="530"/>
      <c r="J9" s="530"/>
      <c r="K9" s="530"/>
      <c r="L9" s="530"/>
      <c r="M9" s="530"/>
      <c r="N9" s="530"/>
      <c r="O9" s="530"/>
      <c r="P9" s="530"/>
      <c r="Q9" s="530"/>
      <c r="R9" s="530">
        <v>0</v>
      </c>
      <c r="S9" s="530"/>
      <c r="T9" s="155"/>
      <c r="U9" s="155"/>
      <c r="V9" s="138">
        <f>SUM(C9:S9)</f>
        <v>0</v>
      </c>
    </row>
    <row r="10" spans="1:22" s="70" customFormat="1">
      <c r="A10" s="71">
        <v>4</v>
      </c>
      <c r="B10" s="88" t="s">
        <v>137</v>
      </c>
      <c r="C10" s="137"/>
      <c r="D10" s="530">
        <v>0</v>
      </c>
      <c r="E10" s="530"/>
      <c r="F10" s="530"/>
      <c r="G10" s="530"/>
      <c r="H10" s="530"/>
      <c r="I10" s="530"/>
      <c r="J10" s="530"/>
      <c r="K10" s="530"/>
      <c r="L10" s="530"/>
      <c r="M10" s="530"/>
      <c r="N10" s="530"/>
      <c r="O10" s="530"/>
      <c r="P10" s="530"/>
      <c r="Q10" s="530"/>
      <c r="R10" s="530">
        <v>0</v>
      </c>
      <c r="S10" s="530"/>
      <c r="T10" s="155"/>
      <c r="U10" s="155"/>
      <c r="V10" s="138">
        <f t="shared" si="0"/>
        <v>0</v>
      </c>
    </row>
    <row r="11" spans="1:22" s="70" customFormat="1">
      <c r="A11" s="71">
        <v>5</v>
      </c>
      <c r="B11" s="88" t="s">
        <v>946</v>
      </c>
      <c r="C11" s="137"/>
      <c r="D11" s="530">
        <v>0</v>
      </c>
      <c r="E11" s="530"/>
      <c r="F11" s="530"/>
      <c r="G11" s="530"/>
      <c r="H11" s="530"/>
      <c r="I11" s="530"/>
      <c r="J11" s="530"/>
      <c r="K11" s="530"/>
      <c r="L11" s="530"/>
      <c r="M11" s="530"/>
      <c r="N11" s="530"/>
      <c r="O11" s="530"/>
      <c r="P11" s="530"/>
      <c r="Q11" s="530"/>
      <c r="R11" s="530">
        <v>0</v>
      </c>
      <c r="S11" s="530"/>
      <c r="T11" s="155"/>
      <c r="U11" s="155"/>
      <c r="V11" s="138">
        <f t="shared" si="0"/>
        <v>0</v>
      </c>
    </row>
    <row r="12" spans="1:22" s="70" customFormat="1">
      <c r="A12" s="71">
        <v>6</v>
      </c>
      <c r="B12" s="88" t="s">
        <v>138</v>
      </c>
      <c r="C12" s="137"/>
      <c r="D12" s="530">
        <v>0</v>
      </c>
      <c r="E12" s="530"/>
      <c r="F12" s="530"/>
      <c r="G12" s="530"/>
      <c r="H12" s="530"/>
      <c r="I12" s="530"/>
      <c r="J12" s="530"/>
      <c r="K12" s="530"/>
      <c r="L12" s="530"/>
      <c r="M12" s="530"/>
      <c r="N12" s="530"/>
      <c r="O12" s="530"/>
      <c r="P12" s="530"/>
      <c r="Q12" s="530"/>
      <c r="R12" s="530">
        <v>0</v>
      </c>
      <c r="S12" s="530"/>
      <c r="T12" s="155"/>
      <c r="U12" s="155"/>
      <c r="V12" s="138">
        <f t="shared" si="0"/>
        <v>0</v>
      </c>
    </row>
    <row r="13" spans="1:22" s="70" customFormat="1">
      <c r="A13" s="71">
        <v>7</v>
      </c>
      <c r="B13" s="88" t="s">
        <v>71</v>
      </c>
      <c r="C13" s="137"/>
      <c r="D13" s="530">
        <v>87557284.905299991</v>
      </c>
      <c r="E13" s="530"/>
      <c r="F13" s="530"/>
      <c r="G13" s="530"/>
      <c r="H13" s="530"/>
      <c r="I13" s="530"/>
      <c r="J13" s="530"/>
      <c r="K13" s="530"/>
      <c r="L13" s="530"/>
      <c r="M13" s="530">
        <v>17990133.876600001</v>
      </c>
      <c r="N13" s="530"/>
      <c r="O13" s="530">
        <v>62798580.111400001</v>
      </c>
      <c r="P13" s="530"/>
      <c r="Q13" s="530"/>
      <c r="R13" s="530">
        <v>153937118.86660001</v>
      </c>
      <c r="S13" s="530"/>
      <c r="T13" s="155"/>
      <c r="U13" s="155"/>
      <c r="V13" s="138">
        <f t="shared" si="0"/>
        <v>322283117.75989997</v>
      </c>
    </row>
    <row r="14" spans="1:22" s="70" customFormat="1">
      <c r="A14" s="71">
        <v>8</v>
      </c>
      <c r="B14" s="88" t="s">
        <v>72</v>
      </c>
      <c r="C14" s="137"/>
      <c r="D14" s="530">
        <v>64880819.410899997</v>
      </c>
      <c r="E14" s="530"/>
      <c r="F14" s="530"/>
      <c r="G14" s="530"/>
      <c r="H14" s="530"/>
      <c r="I14" s="530"/>
      <c r="J14" s="530">
        <v>0</v>
      </c>
      <c r="K14" s="530"/>
      <c r="L14" s="530"/>
      <c r="M14" s="530">
        <v>4227885.3382999999</v>
      </c>
      <c r="N14" s="530"/>
      <c r="O14" s="530">
        <v>1107548.7738000001</v>
      </c>
      <c r="P14" s="530"/>
      <c r="Q14" s="530"/>
      <c r="R14" s="530">
        <v>0</v>
      </c>
      <c r="S14" s="530"/>
      <c r="T14" s="155"/>
      <c r="U14" s="155"/>
      <c r="V14" s="138">
        <f t="shared" si="0"/>
        <v>70216253.523000002</v>
      </c>
    </row>
    <row r="15" spans="1:22" s="70" customFormat="1">
      <c r="A15" s="71">
        <v>9</v>
      </c>
      <c r="B15" s="88" t="s">
        <v>947</v>
      </c>
      <c r="C15" s="137"/>
      <c r="D15" s="530">
        <v>879229.21730000002</v>
      </c>
      <c r="E15" s="530"/>
      <c r="F15" s="530"/>
      <c r="G15" s="530"/>
      <c r="H15" s="530"/>
      <c r="I15" s="530"/>
      <c r="J15" s="530"/>
      <c r="K15" s="530"/>
      <c r="L15" s="530"/>
      <c r="M15" s="530">
        <v>911802.86410000001</v>
      </c>
      <c r="N15" s="530"/>
      <c r="O15" s="530">
        <v>253644.2801</v>
      </c>
      <c r="P15" s="530"/>
      <c r="Q15" s="530"/>
      <c r="R15" s="530">
        <v>0</v>
      </c>
      <c r="S15" s="530"/>
      <c r="T15" s="155"/>
      <c r="U15" s="155"/>
      <c r="V15" s="138">
        <f t="shared" si="0"/>
        <v>2044676.3615000001</v>
      </c>
    </row>
    <row r="16" spans="1:22" s="70" customFormat="1">
      <c r="A16" s="71">
        <v>10</v>
      </c>
      <c r="B16" s="88" t="s">
        <v>67</v>
      </c>
      <c r="C16" s="137"/>
      <c r="D16" s="530">
        <v>79809.620800000004</v>
      </c>
      <c r="E16" s="530"/>
      <c r="F16" s="530"/>
      <c r="G16" s="530"/>
      <c r="H16" s="530"/>
      <c r="I16" s="530"/>
      <c r="J16" s="530"/>
      <c r="K16" s="530"/>
      <c r="L16" s="530"/>
      <c r="M16" s="530">
        <v>918975.76689199999</v>
      </c>
      <c r="N16" s="530"/>
      <c r="O16" s="530">
        <v>0</v>
      </c>
      <c r="P16" s="530"/>
      <c r="Q16" s="530"/>
      <c r="R16" s="530">
        <v>0</v>
      </c>
      <c r="S16" s="530"/>
      <c r="T16" s="155"/>
      <c r="U16" s="155"/>
      <c r="V16" s="138">
        <f t="shared" si="0"/>
        <v>998785.38769200002</v>
      </c>
    </row>
    <row r="17" spans="1:22" s="70" customFormat="1">
      <c r="A17" s="71">
        <v>11</v>
      </c>
      <c r="B17" s="88" t="s">
        <v>68</v>
      </c>
      <c r="C17" s="137"/>
      <c r="D17" s="530">
        <v>-5.9799999999999999E-2</v>
      </c>
      <c r="E17" s="530"/>
      <c r="F17" s="530"/>
      <c r="G17" s="530"/>
      <c r="H17" s="530"/>
      <c r="I17" s="530">
        <v>0</v>
      </c>
      <c r="J17" s="530"/>
      <c r="K17" s="530"/>
      <c r="L17" s="530"/>
      <c r="M17" s="530">
        <v>350020.34740000003</v>
      </c>
      <c r="N17" s="530"/>
      <c r="O17" s="530">
        <v>195365.09137800001</v>
      </c>
      <c r="P17" s="530"/>
      <c r="Q17" s="530"/>
      <c r="R17" s="530">
        <v>0</v>
      </c>
      <c r="S17" s="530"/>
      <c r="T17" s="155"/>
      <c r="U17" s="155"/>
      <c r="V17" s="138">
        <f t="shared" si="0"/>
        <v>545385.37897800002</v>
      </c>
    </row>
    <row r="18" spans="1:22" s="70" customFormat="1">
      <c r="A18" s="71">
        <v>12</v>
      </c>
      <c r="B18" s="88" t="s">
        <v>69</v>
      </c>
      <c r="C18" s="137"/>
      <c r="D18" s="530">
        <v>0</v>
      </c>
      <c r="E18" s="530"/>
      <c r="F18" s="530"/>
      <c r="G18" s="530"/>
      <c r="H18" s="530"/>
      <c r="I18" s="530"/>
      <c r="J18" s="530"/>
      <c r="K18" s="530"/>
      <c r="L18" s="530"/>
      <c r="M18" s="530"/>
      <c r="N18" s="530"/>
      <c r="O18" s="530"/>
      <c r="P18" s="530"/>
      <c r="Q18" s="530"/>
      <c r="R18" s="530">
        <v>0</v>
      </c>
      <c r="S18" s="530"/>
      <c r="T18" s="155"/>
      <c r="U18" s="155"/>
      <c r="V18" s="138">
        <f t="shared" si="0"/>
        <v>0</v>
      </c>
    </row>
    <row r="19" spans="1:22" s="70" customFormat="1">
      <c r="A19" s="71">
        <v>13</v>
      </c>
      <c r="B19" s="88" t="s">
        <v>70</v>
      </c>
      <c r="C19" s="137"/>
      <c r="D19" s="530">
        <v>0</v>
      </c>
      <c r="E19" s="530"/>
      <c r="F19" s="530"/>
      <c r="G19" s="530"/>
      <c r="H19" s="530"/>
      <c r="I19" s="530"/>
      <c r="J19" s="530"/>
      <c r="K19" s="530"/>
      <c r="L19" s="530"/>
      <c r="M19" s="530"/>
      <c r="N19" s="530"/>
      <c r="O19" s="530"/>
      <c r="P19" s="530"/>
      <c r="Q19" s="530"/>
      <c r="R19" s="530">
        <v>0</v>
      </c>
      <c r="S19" s="530"/>
      <c r="T19" s="155"/>
      <c r="U19" s="155"/>
      <c r="V19" s="138">
        <f t="shared" si="0"/>
        <v>0</v>
      </c>
    </row>
    <row r="20" spans="1:22" s="70" customFormat="1">
      <c r="A20" s="71">
        <v>14</v>
      </c>
      <c r="B20" s="88" t="s">
        <v>154</v>
      </c>
      <c r="C20" s="137"/>
      <c r="D20" s="530">
        <v>0</v>
      </c>
      <c r="E20" s="530"/>
      <c r="F20" s="530"/>
      <c r="G20" s="530"/>
      <c r="H20" s="530"/>
      <c r="I20" s="530"/>
      <c r="J20" s="530"/>
      <c r="K20" s="530"/>
      <c r="L20" s="530"/>
      <c r="M20" s="530"/>
      <c r="N20" s="530"/>
      <c r="O20" s="530"/>
      <c r="P20" s="530"/>
      <c r="Q20" s="530"/>
      <c r="R20" s="530">
        <v>0</v>
      </c>
      <c r="S20" s="530"/>
      <c r="T20" s="155"/>
      <c r="U20" s="155"/>
      <c r="V20" s="138">
        <f t="shared" si="0"/>
        <v>0</v>
      </c>
    </row>
    <row r="21" spans="1:22" ht="13.5" thickBot="1">
      <c r="A21" s="42"/>
      <c r="B21" s="43" t="s">
        <v>66</v>
      </c>
      <c r="C21" s="139">
        <f>SUM(C7:C20)</f>
        <v>0</v>
      </c>
      <c r="D21" s="136">
        <f t="shared" ref="D21:V21" si="1">SUM(D7:D20)</f>
        <v>153397143.09449998</v>
      </c>
      <c r="E21" s="136">
        <f t="shared" si="1"/>
        <v>0</v>
      </c>
      <c r="F21" s="136">
        <f t="shared" si="1"/>
        <v>0</v>
      </c>
      <c r="G21" s="136">
        <f t="shared" si="1"/>
        <v>0</v>
      </c>
      <c r="H21" s="136">
        <f t="shared" si="1"/>
        <v>0</v>
      </c>
      <c r="I21" s="136">
        <f t="shared" si="1"/>
        <v>0</v>
      </c>
      <c r="J21" s="136">
        <f t="shared" si="1"/>
        <v>0</v>
      </c>
      <c r="K21" s="136">
        <f t="shared" si="1"/>
        <v>0</v>
      </c>
      <c r="L21" s="140">
        <f t="shared" si="1"/>
        <v>0</v>
      </c>
      <c r="M21" s="139">
        <f t="shared" si="1"/>
        <v>24398818.193292003</v>
      </c>
      <c r="N21" s="136">
        <f t="shared" si="1"/>
        <v>0</v>
      </c>
      <c r="O21" s="136">
        <f t="shared" si="1"/>
        <v>64355138.256678008</v>
      </c>
      <c r="P21" s="136">
        <f t="shared" si="1"/>
        <v>0</v>
      </c>
      <c r="Q21" s="136">
        <f t="shared" si="1"/>
        <v>0</v>
      </c>
      <c r="R21" s="136">
        <f t="shared" si="1"/>
        <v>153937118.86660001</v>
      </c>
      <c r="S21" s="140">
        <f t="shared" si="1"/>
        <v>0</v>
      </c>
      <c r="T21" s="140">
        <f>SUM(T7:T20)</f>
        <v>0</v>
      </c>
      <c r="U21" s="140">
        <f t="shared" si="1"/>
        <v>0</v>
      </c>
      <c r="V21" s="141">
        <f t="shared" si="1"/>
        <v>396088218.41106999</v>
      </c>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3"/>
  <sheetViews>
    <sheetView zoomScaleNormal="100" workbookViewId="0">
      <pane xSplit="1" ySplit="7" topLeftCell="B8" activePane="bottomRight" state="frozen"/>
      <selection sqref="A1:C1"/>
      <selection pane="topRight" sqref="A1:C1"/>
      <selection pane="bottomLeft" sqref="A1:C1"/>
      <selection pane="bottomRight" activeCell="B8" sqref="B8"/>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0"/>
  </cols>
  <sheetData>
    <row r="1" spans="1:9">
      <c r="A1" s="2" t="s">
        <v>108</v>
      </c>
      <c r="B1" s="190" t="str">
        <f>Info!C2</f>
        <v>სს ”საქართველოს ბანკი”</v>
      </c>
    </row>
    <row r="2" spans="1:9">
      <c r="A2" s="2" t="s">
        <v>109</v>
      </c>
      <c r="B2" s="275">
        <f>'1. key ratios'!B2</f>
        <v>45199</v>
      </c>
    </row>
    <row r="4" spans="1:9" ht="13.5" thickBot="1">
      <c r="A4" s="2" t="s">
        <v>260</v>
      </c>
      <c r="B4" s="158" t="s">
        <v>295</v>
      </c>
    </row>
    <row r="5" spans="1:9">
      <c r="A5" s="40"/>
      <c r="B5" s="68"/>
      <c r="C5" s="73" t="s">
        <v>0</v>
      </c>
      <c r="D5" s="73" t="s">
        <v>1</v>
      </c>
      <c r="E5" s="73" t="s">
        <v>2</v>
      </c>
      <c r="F5" s="73" t="s">
        <v>3</v>
      </c>
      <c r="G5" s="153" t="s">
        <v>4</v>
      </c>
      <c r="H5" s="74" t="s">
        <v>5</v>
      </c>
      <c r="I5" s="20"/>
    </row>
    <row r="6" spans="1:9" ht="15" customHeight="1">
      <c r="A6" s="67"/>
      <c r="B6" s="18"/>
      <c r="C6" s="821" t="s">
        <v>287</v>
      </c>
      <c r="D6" s="825" t="s">
        <v>308</v>
      </c>
      <c r="E6" s="826"/>
      <c r="F6" s="821" t="s">
        <v>314</v>
      </c>
      <c r="G6" s="821" t="s">
        <v>315</v>
      </c>
      <c r="H6" s="823" t="s">
        <v>289</v>
      </c>
      <c r="I6" s="20"/>
    </row>
    <row r="7" spans="1:9" ht="63.75">
      <c r="A7" s="67"/>
      <c r="B7" s="18"/>
      <c r="C7" s="822"/>
      <c r="D7" s="157" t="s">
        <v>290</v>
      </c>
      <c r="E7" s="157" t="s">
        <v>288</v>
      </c>
      <c r="F7" s="822"/>
      <c r="G7" s="822"/>
      <c r="H7" s="824"/>
      <c r="I7" s="20"/>
    </row>
    <row r="8" spans="1:9">
      <c r="A8" s="33">
        <v>1</v>
      </c>
      <c r="B8" s="88" t="s">
        <v>134</v>
      </c>
      <c r="C8" s="142">
        <v>6409360987.4835997</v>
      </c>
      <c r="D8" s="143"/>
      <c r="E8" s="142"/>
      <c r="F8" s="142">
        <v>1852055544.7925</v>
      </c>
      <c r="G8" s="154">
        <v>1852055544.7925</v>
      </c>
      <c r="H8" s="163">
        <f>G8/(C8+E8)</f>
        <v>0.288961028784188</v>
      </c>
    </row>
    <row r="9" spans="1:9" ht="15" customHeight="1">
      <c r="A9" s="33">
        <v>2</v>
      </c>
      <c r="B9" s="88" t="s">
        <v>135</v>
      </c>
      <c r="C9" s="142">
        <v>0</v>
      </c>
      <c r="D9" s="143"/>
      <c r="E9" s="142"/>
      <c r="F9" s="142">
        <v>0</v>
      </c>
      <c r="G9" s="154">
        <v>0</v>
      </c>
      <c r="H9" s="163">
        <v>0</v>
      </c>
    </row>
    <row r="10" spans="1:9">
      <c r="A10" s="33">
        <v>3</v>
      </c>
      <c r="B10" s="88" t="s">
        <v>136</v>
      </c>
      <c r="C10" s="142">
        <v>0</v>
      </c>
      <c r="D10" s="143"/>
      <c r="E10" s="142"/>
      <c r="F10" s="142">
        <v>0</v>
      </c>
      <c r="G10" s="154">
        <v>0</v>
      </c>
      <c r="H10" s="163">
        <v>0</v>
      </c>
    </row>
    <row r="11" spans="1:9">
      <c r="A11" s="33">
        <v>4</v>
      </c>
      <c r="B11" s="88" t="s">
        <v>137</v>
      </c>
      <c r="C11" s="142">
        <v>948943856.53999996</v>
      </c>
      <c r="D11" s="143"/>
      <c r="E11" s="142"/>
      <c r="F11" s="142">
        <v>0</v>
      </c>
      <c r="G11" s="154">
        <v>0</v>
      </c>
      <c r="H11" s="163">
        <f t="shared" ref="H11:H21" si="0">G11/(C11+E11)</f>
        <v>0</v>
      </c>
    </row>
    <row r="12" spans="1:9">
      <c r="A12" s="33">
        <v>5</v>
      </c>
      <c r="B12" s="88" t="s">
        <v>946</v>
      </c>
      <c r="C12" s="142">
        <v>0</v>
      </c>
      <c r="D12" s="143"/>
      <c r="E12" s="142"/>
      <c r="F12" s="142">
        <v>0</v>
      </c>
      <c r="G12" s="154">
        <v>0</v>
      </c>
      <c r="H12" s="163">
        <v>0</v>
      </c>
    </row>
    <row r="13" spans="1:9">
      <c r="A13" s="33">
        <v>6</v>
      </c>
      <c r="B13" s="88" t="s">
        <v>138</v>
      </c>
      <c r="C13" s="142">
        <v>1071255676.9047003</v>
      </c>
      <c r="D13" s="143"/>
      <c r="E13" s="142"/>
      <c r="F13" s="142">
        <v>251436732.9418101</v>
      </c>
      <c r="G13" s="154">
        <v>251436732.9418101</v>
      </c>
      <c r="H13" s="163">
        <f t="shared" si="0"/>
        <v>0.23471215916289431</v>
      </c>
    </row>
    <row r="14" spans="1:9">
      <c r="A14" s="33">
        <v>7</v>
      </c>
      <c r="B14" s="88" t="s">
        <v>71</v>
      </c>
      <c r="C14" s="142">
        <v>7008761586.8785992</v>
      </c>
      <c r="D14" s="143">
        <v>2537721024.6786003</v>
      </c>
      <c r="E14" s="142">
        <v>1025729129.2720406</v>
      </c>
      <c r="F14" s="142">
        <v>8034490716.1506395</v>
      </c>
      <c r="G14" s="154">
        <v>7712207598.3907394</v>
      </c>
      <c r="H14" s="163">
        <f>G14/(C14+E14)</f>
        <v>0.9598875486766002</v>
      </c>
    </row>
    <row r="15" spans="1:9">
      <c r="A15" s="33">
        <v>8</v>
      </c>
      <c r="B15" s="88" t="s">
        <v>72</v>
      </c>
      <c r="C15" s="142">
        <v>6412811979.4624996</v>
      </c>
      <c r="D15" s="143">
        <v>237039051.9262</v>
      </c>
      <c r="E15" s="142">
        <v>118519525.9631</v>
      </c>
      <c r="F15" s="142">
        <v>4898498629.0692005</v>
      </c>
      <c r="G15" s="154">
        <v>4828282375.5462008</v>
      </c>
      <c r="H15" s="163">
        <f t="shared" si="0"/>
        <v>0.73924932022441814</v>
      </c>
    </row>
    <row r="16" spans="1:9">
      <c r="A16" s="33">
        <v>9</v>
      </c>
      <c r="B16" s="88" t="s">
        <v>947</v>
      </c>
      <c r="C16" s="142">
        <v>4394225256.4042997</v>
      </c>
      <c r="D16" s="143"/>
      <c r="E16" s="142"/>
      <c r="F16" s="142">
        <v>1537978839.7415049</v>
      </c>
      <c r="G16" s="154">
        <v>1535934163.3800049</v>
      </c>
      <c r="H16" s="163">
        <f t="shared" si="0"/>
        <v>0.34953469013484911</v>
      </c>
    </row>
    <row r="17" spans="1:8">
      <c r="A17" s="33">
        <v>10</v>
      </c>
      <c r="B17" s="88" t="s">
        <v>67</v>
      </c>
      <c r="C17" s="142">
        <v>203682560.01140001</v>
      </c>
      <c r="D17" s="143"/>
      <c r="E17" s="142"/>
      <c r="F17" s="142">
        <v>191243702.03064999</v>
      </c>
      <c r="G17" s="154">
        <v>190244916.64295799</v>
      </c>
      <c r="H17" s="163">
        <f t="shared" si="0"/>
        <v>0.93402653929875035</v>
      </c>
    </row>
    <row r="18" spans="1:8">
      <c r="A18" s="33">
        <v>11</v>
      </c>
      <c r="B18" s="88" t="s">
        <v>68</v>
      </c>
      <c r="C18" s="142">
        <v>279625920.18699753</v>
      </c>
      <c r="D18" s="143"/>
      <c r="E18" s="142"/>
      <c r="F18" s="142">
        <v>387177483.89834374</v>
      </c>
      <c r="G18" s="154">
        <v>386632098.51936573</v>
      </c>
      <c r="H18" s="163">
        <f t="shared" si="0"/>
        <v>1.3826761777334831</v>
      </c>
    </row>
    <row r="19" spans="1:8">
      <c r="A19" s="33">
        <v>12</v>
      </c>
      <c r="B19" s="88" t="s">
        <v>69</v>
      </c>
      <c r="C19" s="142">
        <v>0</v>
      </c>
      <c r="D19" s="143"/>
      <c r="E19" s="142"/>
      <c r="F19" s="142">
        <v>0</v>
      </c>
      <c r="G19" s="154">
        <v>0</v>
      </c>
      <c r="H19" s="163">
        <v>0</v>
      </c>
    </row>
    <row r="20" spans="1:8">
      <c r="A20" s="33">
        <v>13</v>
      </c>
      <c r="B20" s="88" t="s">
        <v>70</v>
      </c>
      <c r="C20" s="142">
        <v>0</v>
      </c>
      <c r="D20" s="143"/>
      <c r="E20" s="142"/>
      <c r="F20" s="142">
        <v>0</v>
      </c>
      <c r="G20" s="154">
        <v>0</v>
      </c>
      <c r="H20" s="163">
        <v>0</v>
      </c>
    </row>
    <row r="21" spans="1:8">
      <c r="A21" s="33">
        <v>14</v>
      </c>
      <c r="B21" s="88" t="s">
        <v>154</v>
      </c>
      <c r="C21" s="142">
        <v>2302538595.6719699</v>
      </c>
      <c r="D21" s="143"/>
      <c r="E21" s="142"/>
      <c r="F21" s="142">
        <v>1552823387.6915996</v>
      </c>
      <c r="G21" s="154">
        <v>1552823387.6915996</v>
      </c>
      <c r="H21" s="163">
        <f t="shared" si="0"/>
        <v>0.6743962470858933</v>
      </c>
    </row>
    <row r="22" spans="1:8" ht="13.5" thickBot="1">
      <c r="A22" s="69"/>
      <c r="B22" s="75" t="s">
        <v>66</v>
      </c>
      <c r="C22" s="136">
        <f>SUM(C8:C21)</f>
        <v>29031206419.544067</v>
      </c>
      <c r="D22" s="136">
        <f t="shared" ref="D22:G22" si="1">SUM(D8:D21)</f>
        <v>2774760076.6048002</v>
      </c>
      <c r="E22" s="136">
        <f t="shared" si="1"/>
        <v>1144248655.2351406</v>
      </c>
      <c r="F22" s="136">
        <f t="shared" si="1"/>
        <v>18705705036.316246</v>
      </c>
      <c r="G22" s="136">
        <f t="shared" si="1"/>
        <v>18309616817.905178</v>
      </c>
      <c r="H22" s="164">
        <f>G22/(C22+E22)</f>
        <v>0.6067718538968595</v>
      </c>
    </row>
    <row r="23"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40"/>
  <sheetViews>
    <sheetView zoomScaleNormal="100" workbookViewId="0">
      <pane xSplit="2" ySplit="6" topLeftCell="C7" activePane="bottomRight" state="frozen"/>
      <selection sqref="A1:C1"/>
      <selection pane="topRight" sqref="A1:C1"/>
      <selection pane="bottomLeft" sqref="A1:C1"/>
      <selection pane="bottomRight" activeCell="C7" sqref="C7"/>
    </sheetView>
  </sheetViews>
  <sheetFormatPr defaultColWidth="9.140625" defaultRowHeight="12.75"/>
  <cols>
    <col min="1" max="1" width="10.5703125" style="190" bestFit="1" customWidth="1"/>
    <col min="2" max="2" width="59.5703125" style="190" customWidth="1"/>
    <col min="3" max="5" width="13.42578125" style="190" bestFit="1" customWidth="1"/>
    <col min="6" max="10" width="12.7109375" style="190" customWidth="1"/>
    <col min="11" max="11" width="19.5703125" style="190" customWidth="1"/>
    <col min="12" max="16384" width="9.140625" style="190"/>
  </cols>
  <sheetData>
    <row r="1" spans="1:11">
      <c r="A1" s="190" t="s">
        <v>108</v>
      </c>
      <c r="B1" s="190" t="str">
        <f>Info!C2</f>
        <v>სს ”საქართველოს ბანკი”</v>
      </c>
    </row>
    <row r="2" spans="1:11">
      <c r="A2" s="190" t="s">
        <v>109</v>
      </c>
      <c r="B2" s="628">
        <f>'1. key ratios'!B2</f>
        <v>45199</v>
      </c>
      <c r="C2" s="191"/>
      <c r="D2" s="191"/>
    </row>
    <row r="3" spans="1:11">
      <c r="B3" s="191"/>
      <c r="C3" s="191"/>
      <c r="D3" s="191"/>
    </row>
    <row r="4" spans="1:11" ht="13.5" thickBot="1">
      <c r="A4" s="190" t="s">
        <v>351</v>
      </c>
      <c r="B4" s="158" t="s">
        <v>350</v>
      </c>
      <c r="C4" s="191"/>
      <c r="D4" s="191"/>
    </row>
    <row r="5" spans="1:11" ht="30" customHeight="1">
      <c r="A5" s="830"/>
      <c r="B5" s="831"/>
      <c r="C5" s="828" t="s">
        <v>383</v>
      </c>
      <c r="D5" s="828"/>
      <c r="E5" s="828"/>
      <c r="F5" s="828" t="s">
        <v>384</v>
      </c>
      <c r="G5" s="828"/>
      <c r="H5" s="828"/>
      <c r="I5" s="828" t="s">
        <v>385</v>
      </c>
      <c r="J5" s="828"/>
      <c r="K5" s="829"/>
    </row>
    <row r="6" spans="1:11">
      <c r="A6" s="188"/>
      <c r="B6" s="189"/>
      <c r="C6" s="192" t="s">
        <v>26</v>
      </c>
      <c r="D6" s="192" t="s">
        <v>90</v>
      </c>
      <c r="E6" s="192" t="s">
        <v>66</v>
      </c>
      <c r="F6" s="192" t="s">
        <v>26</v>
      </c>
      <c r="G6" s="192" t="s">
        <v>90</v>
      </c>
      <c r="H6" s="192" t="s">
        <v>66</v>
      </c>
      <c r="I6" s="192" t="s">
        <v>26</v>
      </c>
      <c r="J6" s="192" t="s">
        <v>90</v>
      </c>
      <c r="K6" s="194" t="s">
        <v>66</v>
      </c>
    </row>
    <row r="7" spans="1:11">
      <c r="A7" s="195" t="s">
        <v>321</v>
      </c>
      <c r="B7" s="187"/>
      <c r="C7" s="581"/>
      <c r="D7" s="581"/>
      <c r="E7" s="581"/>
      <c r="F7" s="581"/>
      <c r="G7" s="581"/>
      <c r="H7" s="581"/>
      <c r="I7" s="581"/>
      <c r="J7" s="581"/>
      <c r="K7" s="582"/>
    </row>
    <row r="8" spans="1:11">
      <c r="A8" s="186">
        <v>1</v>
      </c>
      <c r="B8" s="171" t="s">
        <v>321</v>
      </c>
      <c r="C8" s="583"/>
      <c r="D8" s="583"/>
      <c r="E8" s="583"/>
      <c r="F8" s="585">
        <v>2594186751.1162276</v>
      </c>
      <c r="G8" s="585">
        <v>4604293214.7341843</v>
      </c>
      <c r="H8" s="585">
        <v>7198479965.8504152</v>
      </c>
      <c r="I8" s="585">
        <v>2565198979.9749241</v>
      </c>
      <c r="J8" s="585">
        <v>3857705747.9887047</v>
      </c>
      <c r="K8" s="586">
        <v>6422904727.9636364</v>
      </c>
    </row>
    <row r="9" spans="1:11">
      <c r="A9" s="195" t="s">
        <v>322</v>
      </c>
      <c r="B9" s="187"/>
      <c r="C9" s="581"/>
      <c r="D9" s="581"/>
      <c r="E9" s="581"/>
      <c r="F9" s="581"/>
      <c r="G9" s="581"/>
      <c r="H9" s="581"/>
      <c r="I9" s="581"/>
      <c r="J9" s="581"/>
      <c r="K9" s="582"/>
    </row>
    <row r="10" spans="1:11">
      <c r="A10" s="196">
        <v>2</v>
      </c>
      <c r="B10" s="172" t="s">
        <v>323</v>
      </c>
      <c r="C10" s="584">
        <v>3515049369.1331115</v>
      </c>
      <c r="D10" s="585">
        <v>6872987963.4044733</v>
      </c>
      <c r="E10" s="585">
        <v>10135915425.600153</v>
      </c>
      <c r="F10" s="585">
        <v>696751703.99301255</v>
      </c>
      <c r="G10" s="585">
        <v>1652854688.0020301</v>
      </c>
      <c r="H10" s="585">
        <v>2300296127.050838</v>
      </c>
      <c r="I10" s="585">
        <v>203819072.83010873</v>
      </c>
      <c r="J10" s="585">
        <v>484359089.31573385</v>
      </c>
      <c r="K10" s="586">
        <v>673960099.43874228</v>
      </c>
    </row>
    <row r="11" spans="1:11">
      <c r="A11" s="196">
        <v>3</v>
      </c>
      <c r="B11" s="172" t="s">
        <v>324</v>
      </c>
      <c r="C11" s="584">
        <v>7651858470.1318455</v>
      </c>
      <c r="D11" s="585">
        <v>9669192305.9789772</v>
      </c>
      <c r="E11" s="585">
        <v>16750587588.386171</v>
      </c>
      <c r="F11" s="585">
        <v>2519463247.0662928</v>
      </c>
      <c r="G11" s="585">
        <v>2959316975.4631729</v>
      </c>
      <c r="H11" s="585">
        <v>5478780222.5294666</v>
      </c>
      <c r="I11" s="585">
        <v>1944420108.2936203</v>
      </c>
      <c r="J11" s="585">
        <v>1624757025.0369201</v>
      </c>
      <c r="K11" s="586">
        <v>3569177133.3305397</v>
      </c>
    </row>
    <row r="12" spans="1:11">
      <c r="A12" s="196">
        <v>4</v>
      </c>
      <c r="B12" s="172" t="s">
        <v>325</v>
      </c>
      <c r="C12" s="584">
        <v>1146263769.4742403</v>
      </c>
      <c r="D12" s="585">
        <v>67901086.956086963</v>
      </c>
      <c r="E12" s="585">
        <v>1094667030.3441315</v>
      </c>
      <c r="F12" s="585">
        <v>0</v>
      </c>
      <c r="G12" s="585">
        <v>0</v>
      </c>
      <c r="H12" s="585">
        <v>0</v>
      </c>
      <c r="I12" s="585">
        <v>0</v>
      </c>
      <c r="J12" s="585">
        <v>0</v>
      </c>
      <c r="K12" s="586">
        <v>0</v>
      </c>
    </row>
    <row r="13" spans="1:11">
      <c r="A13" s="196">
        <v>5</v>
      </c>
      <c r="B13" s="172" t="s">
        <v>326</v>
      </c>
      <c r="C13" s="584">
        <v>1602886694.1818898</v>
      </c>
      <c r="D13" s="585">
        <v>1035745338.8478611</v>
      </c>
      <c r="E13" s="585">
        <v>2511850930.9806194</v>
      </c>
      <c r="F13" s="585">
        <v>236774937.31753251</v>
      </c>
      <c r="G13" s="585">
        <v>170998993.742596</v>
      </c>
      <c r="H13" s="585">
        <v>407773931.06012833</v>
      </c>
      <c r="I13" s="585">
        <v>93569720.945995495</v>
      </c>
      <c r="J13" s="585">
        <v>66228904.466987498</v>
      </c>
      <c r="K13" s="586">
        <v>159798625.41298291</v>
      </c>
    </row>
    <row r="14" spans="1:11">
      <c r="A14" s="196">
        <v>6</v>
      </c>
      <c r="B14" s="172" t="s">
        <v>341</v>
      </c>
      <c r="C14" s="584"/>
      <c r="D14" s="585"/>
      <c r="E14" s="585"/>
      <c r="F14" s="585"/>
      <c r="G14" s="585"/>
      <c r="H14" s="585"/>
      <c r="I14" s="585"/>
      <c r="J14" s="585"/>
      <c r="K14" s="586"/>
    </row>
    <row r="15" spans="1:11">
      <c r="A15" s="196">
        <v>7</v>
      </c>
      <c r="B15" s="172" t="s">
        <v>328</v>
      </c>
      <c r="C15" s="584">
        <v>225664992.41097283</v>
      </c>
      <c r="D15" s="585">
        <v>1310066138.040364</v>
      </c>
      <c r="E15" s="585">
        <v>1527449397.5339074</v>
      </c>
      <c r="F15" s="585">
        <v>163846486.62005979</v>
      </c>
      <c r="G15" s="585">
        <v>1367285954.7761958</v>
      </c>
      <c r="H15" s="585">
        <v>1531132441.3962555</v>
      </c>
      <c r="I15" s="585">
        <v>163846486.62005979</v>
      </c>
      <c r="J15" s="585">
        <v>1367285954.7761958</v>
      </c>
      <c r="K15" s="586">
        <v>1531132441.3962555</v>
      </c>
    </row>
    <row r="16" spans="1:11">
      <c r="A16" s="196">
        <v>8</v>
      </c>
      <c r="B16" s="173" t="s">
        <v>329</v>
      </c>
      <c r="C16" s="584">
        <v>10626673926.198948</v>
      </c>
      <c r="D16" s="585">
        <v>12082904869.823288</v>
      </c>
      <c r="E16" s="585">
        <v>21884554947.244831</v>
      </c>
      <c r="F16" s="585">
        <v>2920084671.0038853</v>
      </c>
      <c r="G16" s="585">
        <v>4497601923.9819651</v>
      </c>
      <c r="H16" s="585">
        <v>7417686594.9858503</v>
      </c>
      <c r="I16" s="585">
        <v>2201836315.8596759</v>
      </c>
      <c r="J16" s="585">
        <v>3058271884.2801037</v>
      </c>
      <c r="K16" s="586">
        <v>5260108200.1397781</v>
      </c>
    </row>
    <row r="17" spans="1:11">
      <c r="A17" s="195" t="s">
        <v>330</v>
      </c>
      <c r="B17" s="187"/>
      <c r="C17" s="581"/>
      <c r="D17" s="581"/>
      <c r="E17" s="581"/>
      <c r="F17" s="581"/>
      <c r="G17" s="581"/>
      <c r="H17" s="581"/>
      <c r="I17" s="581"/>
      <c r="J17" s="581"/>
      <c r="K17" s="582"/>
    </row>
    <row r="18" spans="1:11">
      <c r="A18" s="196">
        <v>9</v>
      </c>
      <c r="B18" s="172" t="s">
        <v>331</v>
      </c>
      <c r="C18" s="584"/>
      <c r="D18" s="585"/>
      <c r="E18" s="585"/>
      <c r="F18" s="585"/>
      <c r="G18" s="585"/>
      <c r="H18" s="585"/>
      <c r="I18" s="585"/>
      <c r="J18" s="585"/>
      <c r="K18" s="586"/>
    </row>
    <row r="19" spans="1:11">
      <c r="A19" s="196">
        <v>10</v>
      </c>
      <c r="B19" s="172" t="s">
        <v>332</v>
      </c>
      <c r="C19" s="584">
        <v>428994776.93779474</v>
      </c>
      <c r="D19" s="585">
        <v>200546885.54488158</v>
      </c>
      <c r="E19" s="585">
        <v>598159817.89032733</v>
      </c>
      <c r="F19" s="585">
        <v>216164154.23926193</v>
      </c>
      <c r="G19" s="585">
        <v>96067612.907032102</v>
      </c>
      <c r="H19" s="585">
        <v>312231767.14629406</v>
      </c>
      <c r="I19" s="585">
        <v>246117637.5213272</v>
      </c>
      <c r="J19" s="585">
        <v>878437547.16449833</v>
      </c>
      <c r="K19" s="586">
        <v>1124555184.6858258</v>
      </c>
    </row>
    <row r="20" spans="1:11">
      <c r="A20" s="196">
        <v>11</v>
      </c>
      <c r="B20" s="172" t="s">
        <v>333</v>
      </c>
      <c r="C20" s="584">
        <v>303194639.57009137</v>
      </c>
      <c r="D20" s="585">
        <v>954919494.77569973</v>
      </c>
      <c r="E20" s="585">
        <v>1237123284.4655743</v>
      </c>
      <c r="F20" s="585">
        <v>259353973.17217171</v>
      </c>
      <c r="G20" s="585">
        <v>986768231.09970629</v>
      </c>
      <c r="H20" s="585">
        <v>1246122204.2718785</v>
      </c>
      <c r="I20" s="585">
        <v>259353973.17217171</v>
      </c>
      <c r="J20" s="585">
        <v>986768231.09970629</v>
      </c>
      <c r="K20" s="586">
        <v>1246122204.2718785</v>
      </c>
    </row>
    <row r="21" spans="1:11" ht="13.5" thickBot="1">
      <c r="A21" s="117">
        <v>12</v>
      </c>
      <c r="B21" s="197" t="s">
        <v>334</v>
      </c>
      <c r="C21" s="702">
        <v>732189416.50788617</v>
      </c>
      <c r="D21" s="703">
        <v>1155466380.3205814</v>
      </c>
      <c r="E21" s="702">
        <v>1835283102.3559017</v>
      </c>
      <c r="F21" s="703">
        <v>475518127.41143364</v>
      </c>
      <c r="G21" s="703">
        <v>1082835844.0067384</v>
      </c>
      <c r="H21" s="703">
        <v>1558353971.4181726</v>
      </c>
      <c r="I21" s="703">
        <v>505471610.69349891</v>
      </c>
      <c r="J21" s="703">
        <v>1865205778.2642045</v>
      </c>
      <c r="K21" s="704">
        <v>2370677388.9577045</v>
      </c>
    </row>
    <row r="22" spans="1:11" ht="38.25" customHeight="1" thickBot="1">
      <c r="A22" s="184"/>
      <c r="B22" s="185"/>
      <c r="C22" s="185"/>
      <c r="D22" s="185"/>
      <c r="E22" s="185"/>
      <c r="F22" s="827" t="s">
        <v>335</v>
      </c>
      <c r="G22" s="828"/>
      <c r="H22" s="828"/>
      <c r="I22" s="827" t="s">
        <v>336</v>
      </c>
      <c r="J22" s="828"/>
      <c r="K22" s="829"/>
    </row>
    <row r="23" spans="1:11">
      <c r="A23" s="177">
        <v>13</v>
      </c>
      <c r="B23" s="174" t="s">
        <v>321</v>
      </c>
      <c r="C23" s="183"/>
      <c r="D23" s="183"/>
      <c r="E23" s="183"/>
      <c r="F23" s="585">
        <f>F8</f>
        <v>2594186751.1162276</v>
      </c>
      <c r="G23" s="585">
        <f t="shared" ref="G23:K23" si="0">G8</f>
        <v>4604293214.7341843</v>
      </c>
      <c r="H23" s="585">
        <f t="shared" si="0"/>
        <v>7198479965.8504152</v>
      </c>
      <c r="I23" s="585">
        <f t="shared" si="0"/>
        <v>2565198979.9749241</v>
      </c>
      <c r="J23" s="585">
        <f t="shared" si="0"/>
        <v>3857705747.9887047</v>
      </c>
      <c r="K23" s="585">
        <f t="shared" si="0"/>
        <v>6422904727.9636364</v>
      </c>
    </row>
    <row r="24" spans="1:11" ht="13.5" thickBot="1">
      <c r="A24" s="178">
        <v>14</v>
      </c>
      <c r="B24" s="175" t="s">
        <v>337</v>
      </c>
      <c r="C24" s="198"/>
      <c r="D24" s="181"/>
      <c r="E24" s="182"/>
      <c r="F24" s="585">
        <f>F16-F21</f>
        <v>2444566543.5924516</v>
      </c>
      <c r="G24" s="585">
        <f t="shared" ref="G24:K24" si="1">G16-G21</f>
        <v>3414766079.9752264</v>
      </c>
      <c r="H24" s="585">
        <f t="shared" si="1"/>
        <v>5859332623.5676775</v>
      </c>
      <c r="I24" s="585">
        <f t="shared" si="1"/>
        <v>1696364705.166177</v>
      </c>
      <c r="J24" s="585">
        <f t="shared" si="1"/>
        <v>1193066106.0158992</v>
      </c>
      <c r="K24" s="585">
        <f t="shared" si="1"/>
        <v>2889430811.1820736</v>
      </c>
    </row>
    <row r="25" spans="1:11" ht="13.5" thickBot="1">
      <c r="A25" s="179">
        <v>15</v>
      </c>
      <c r="B25" s="176" t="s">
        <v>338</v>
      </c>
      <c r="C25" s="180"/>
      <c r="D25" s="180"/>
      <c r="E25" s="180"/>
      <c r="F25" s="587">
        <f>F23/F24</f>
        <v>1.0612052095353883</v>
      </c>
      <c r="G25" s="587">
        <f t="shared" ref="G25:K25" si="2">G23/G24</f>
        <v>1.3483480586663166</v>
      </c>
      <c r="H25" s="587">
        <f t="shared" si="2"/>
        <v>1.2285494660085277</v>
      </c>
      <c r="I25" s="587">
        <f t="shared" si="2"/>
        <v>1.5121742230092174</v>
      </c>
      <c r="J25" s="587">
        <f t="shared" si="2"/>
        <v>3.2334383891526759</v>
      </c>
      <c r="K25" s="587">
        <f t="shared" si="2"/>
        <v>2.2228961853341662</v>
      </c>
    </row>
    <row r="28" spans="1:11" ht="51">
      <c r="B28" s="19" t="s">
        <v>382</v>
      </c>
    </row>
    <row r="31" spans="1:11">
      <c r="F31" s="482"/>
      <c r="G31" s="482"/>
      <c r="H31" s="482"/>
      <c r="I31" s="482"/>
      <c r="J31" s="482"/>
      <c r="K31" s="482"/>
    </row>
    <row r="32" spans="1:11">
      <c r="F32" s="482"/>
      <c r="G32" s="482"/>
      <c r="H32" s="482"/>
      <c r="I32" s="482"/>
      <c r="J32" s="482"/>
      <c r="K32" s="482"/>
    </row>
    <row r="33" spans="6:11">
      <c r="F33" s="482"/>
      <c r="G33" s="482"/>
      <c r="H33" s="482"/>
      <c r="I33" s="482"/>
      <c r="J33" s="482"/>
      <c r="K33" s="482"/>
    </row>
    <row r="34" spans="6:11">
      <c r="F34" s="482"/>
      <c r="G34" s="482"/>
      <c r="H34" s="482"/>
      <c r="I34" s="482"/>
      <c r="J34" s="482"/>
      <c r="K34" s="482"/>
    </row>
    <row r="37" spans="6:11">
      <c r="F37" s="482"/>
      <c r="G37" s="482"/>
      <c r="H37" s="482"/>
      <c r="I37" s="482"/>
      <c r="J37" s="482"/>
      <c r="K37" s="482"/>
    </row>
    <row r="38" spans="6:11">
      <c r="F38" s="482"/>
      <c r="G38" s="482"/>
      <c r="H38" s="482"/>
      <c r="I38" s="482"/>
      <c r="J38" s="482"/>
      <c r="K38" s="482"/>
    </row>
    <row r="39" spans="6:11">
      <c r="F39" s="482"/>
      <c r="G39" s="482"/>
      <c r="H39" s="482"/>
      <c r="I39" s="482"/>
      <c r="J39" s="482"/>
      <c r="K39" s="482"/>
    </row>
    <row r="40" spans="6:11">
      <c r="F40" s="482"/>
      <c r="G40" s="482"/>
      <c r="H40" s="482"/>
      <c r="I40" s="482"/>
      <c r="J40" s="482"/>
      <c r="K40" s="482"/>
    </row>
  </sheetData>
  <mergeCells count="6">
    <mergeCell ref="F22:H22"/>
    <mergeCell ref="I22:K22"/>
    <mergeCell ref="A5:B5"/>
    <mergeCell ref="C5:E5"/>
    <mergeCell ref="F5:H5"/>
    <mergeCell ref="I5:K5"/>
  </mergeCells>
  <pageMargins left="0.7" right="0.7" top="0.75" bottom="0.75" header="0.3" footer="0.3"/>
  <pageSetup paperSize="9" scale="4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zoomScaleNormal="100" workbookViewId="0">
      <pane xSplit="1" ySplit="5" topLeftCell="B6" activePane="bottomRight" state="frozen"/>
      <selection sqref="A1:C1"/>
      <selection pane="topRight" sqref="A1:C1"/>
      <selection pane="bottomLeft" sqref="A1:C1"/>
      <selection pane="bottomRight" activeCell="B6" sqref="B6"/>
    </sheetView>
  </sheetViews>
  <sheetFormatPr defaultColWidth="9.140625" defaultRowHeight="15"/>
  <cols>
    <col min="1" max="1" width="10.5703125" style="30" bestFit="1" customWidth="1"/>
    <col min="2" max="2" width="95" style="30" customWidth="1"/>
    <col min="3" max="3" width="18.7109375" style="30" customWidth="1"/>
    <col min="4" max="4" width="10" style="30" bestFit="1" customWidth="1"/>
    <col min="5" max="5" width="18.28515625" style="30" bestFit="1" customWidth="1"/>
    <col min="6" max="13" width="10.7109375" style="30" customWidth="1"/>
    <col min="14" max="14" width="31" style="30" bestFit="1" customWidth="1"/>
    <col min="15" max="16384" width="9.140625" style="10"/>
  </cols>
  <sheetData>
    <row r="1" spans="1:14">
      <c r="A1" s="5" t="s">
        <v>108</v>
      </c>
      <c r="B1" s="30" t="str">
        <f>Info!C2</f>
        <v>სს ”საქართველოს ბანკი”</v>
      </c>
    </row>
    <row r="2" spans="1:14" ht="14.25" customHeight="1">
      <c r="A2" s="30" t="s">
        <v>109</v>
      </c>
      <c r="B2" s="628">
        <f>'1. key ratios'!B2</f>
        <v>45199</v>
      </c>
    </row>
    <row r="3" spans="1:14" ht="14.25" customHeight="1"/>
    <row r="4" spans="1:14" ht="15.75" thickBot="1">
      <c r="A4" s="2" t="s">
        <v>261</v>
      </c>
      <c r="B4" s="35" t="s">
        <v>74</v>
      </c>
    </row>
    <row r="5" spans="1:14" s="21" customFormat="1" ht="12.75">
      <c r="A5" s="84"/>
      <c r="B5" s="85"/>
      <c r="C5" s="86" t="s">
        <v>0</v>
      </c>
      <c r="D5" s="86" t="s">
        <v>1</v>
      </c>
      <c r="E5" s="86" t="s">
        <v>2</v>
      </c>
      <c r="F5" s="86" t="s">
        <v>3</v>
      </c>
      <c r="G5" s="86" t="s">
        <v>4</v>
      </c>
      <c r="H5" s="86" t="s">
        <v>5</v>
      </c>
      <c r="I5" s="86" t="s">
        <v>145</v>
      </c>
      <c r="J5" s="86" t="s">
        <v>146</v>
      </c>
      <c r="K5" s="86" t="s">
        <v>147</v>
      </c>
      <c r="L5" s="86" t="s">
        <v>148</v>
      </c>
      <c r="M5" s="86" t="s">
        <v>149</v>
      </c>
      <c r="N5" s="87" t="s">
        <v>150</v>
      </c>
    </row>
    <row r="6" spans="1:14" ht="45">
      <c r="A6" s="76"/>
      <c r="B6" s="45"/>
      <c r="C6" s="46" t="s">
        <v>84</v>
      </c>
      <c r="D6" s="47" t="s">
        <v>73</v>
      </c>
      <c r="E6" s="48" t="s">
        <v>83</v>
      </c>
      <c r="F6" s="49">
        <v>0</v>
      </c>
      <c r="G6" s="49">
        <v>0.2</v>
      </c>
      <c r="H6" s="49">
        <v>0.35</v>
      </c>
      <c r="I6" s="49">
        <v>0.5</v>
      </c>
      <c r="J6" s="49">
        <v>0.75</v>
      </c>
      <c r="K6" s="49">
        <v>1</v>
      </c>
      <c r="L6" s="49">
        <v>1.5</v>
      </c>
      <c r="M6" s="49">
        <v>2.5</v>
      </c>
      <c r="N6" s="77" t="s">
        <v>74</v>
      </c>
    </row>
    <row r="7" spans="1:14">
      <c r="A7" s="78">
        <v>1</v>
      </c>
      <c r="B7" s="50" t="s">
        <v>75</v>
      </c>
      <c r="C7" s="144">
        <f>SUM(C8:C13)</f>
        <v>1430579446.3476</v>
      </c>
      <c r="D7" s="45"/>
      <c r="E7" s="147">
        <f t="shared" ref="E7:M7" si="0">SUM(E8:E13)</f>
        <v>29502255.813044999</v>
      </c>
      <c r="F7" s="144">
        <f>SUM(F8:F13)</f>
        <v>0</v>
      </c>
      <c r="G7" s="144">
        <f t="shared" si="0"/>
        <v>21635197.037889998</v>
      </c>
      <c r="H7" s="144">
        <f t="shared" si="0"/>
        <v>0</v>
      </c>
      <c r="I7" s="144">
        <f t="shared" si="0"/>
        <v>3082516.9219379998</v>
      </c>
      <c r="J7" s="144">
        <f t="shared" si="0"/>
        <v>0</v>
      </c>
      <c r="K7" s="144">
        <f t="shared" si="0"/>
        <v>4784541.8532170001</v>
      </c>
      <c r="L7" s="144">
        <f t="shared" si="0"/>
        <v>0</v>
      </c>
      <c r="M7" s="144">
        <f t="shared" si="0"/>
        <v>0</v>
      </c>
      <c r="N7" s="79">
        <f>SUM(N8:N13)</f>
        <v>10652839.721764</v>
      </c>
    </row>
    <row r="8" spans="1:14">
      <c r="A8" s="78">
        <v>1.1000000000000001</v>
      </c>
      <c r="B8" s="51" t="s">
        <v>76</v>
      </c>
      <c r="C8" s="145">
        <v>1409139203.0711999</v>
      </c>
      <c r="D8" s="52">
        <v>0.02</v>
      </c>
      <c r="E8" s="147">
        <f>C8*D8</f>
        <v>28182784.061423998</v>
      </c>
      <c r="F8" s="145">
        <v>0</v>
      </c>
      <c r="G8" s="145">
        <v>21635197.037889998</v>
      </c>
      <c r="H8" s="145">
        <v>0</v>
      </c>
      <c r="I8" s="145">
        <v>3082516.9219379998</v>
      </c>
      <c r="J8" s="145">
        <v>0</v>
      </c>
      <c r="K8" s="145">
        <v>3465070.1015960001</v>
      </c>
      <c r="L8" s="145">
        <v>0</v>
      </c>
      <c r="M8" s="145">
        <v>0</v>
      </c>
      <c r="N8" s="79">
        <f>SUMPRODUCT($F$6:$M$6,F8:M8)</f>
        <v>9333367.9701429997</v>
      </c>
    </row>
    <row r="9" spans="1:14">
      <c r="A9" s="78">
        <v>1.2</v>
      </c>
      <c r="B9" s="51" t="s">
        <v>77</v>
      </c>
      <c r="C9" s="145">
        <v>17334828.6644</v>
      </c>
      <c r="D9" s="52">
        <v>0.05</v>
      </c>
      <c r="E9" s="147">
        <f>C9*D9</f>
        <v>866741.43322000001</v>
      </c>
      <c r="F9" s="145">
        <v>0</v>
      </c>
      <c r="G9" s="145">
        <v>0</v>
      </c>
      <c r="H9" s="145">
        <v>0</v>
      </c>
      <c r="I9" s="145">
        <v>0</v>
      </c>
      <c r="J9" s="145">
        <v>0</v>
      </c>
      <c r="K9" s="145">
        <v>866741.43322000001</v>
      </c>
      <c r="L9" s="145">
        <v>0</v>
      </c>
      <c r="M9" s="145">
        <v>0</v>
      </c>
      <c r="N9" s="79">
        <f t="shared" ref="N9:N12" si="1">SUMPRODUCT($F$6:$M$6,F9:M9)</f>
        <v>866741.43322000001</v>
      </c>
    </row>
    <row r="10" spans="1:14">
      <c r="A10" s="78">
        <v>1.3</v>
      </c>
      <c r="B10" s="51" t="s">
        <v>78</v>
      </c>
      <c r="C10" s="145">
        <v>1301521.0364999999</v>
      </c>
      <c r="D10" s="52">
        <v>0.08</v>
      </c>
      <c r="E10" s="147">
        <f>C10*D10</f>
        <v>104121.68291999999</v>
      </c>
      <c r="F10" s="145">
        <v>0</v>
      </c>
      <c r="G10" s="145">
        <v>0</v>
      </c>
      <c r="H10" s="145">
        <v>0</v>
      </c>
      <c r="I10" s="145">
        <v>0</v>
      </c>
      <c r="J10" s="145">
        <v>0</v>
      </c>
      <c r="K10" s="145">
        <v>104121.68292000001</v>
      </c>
      <c r="L10" s="145">
        <v>0</v>
      </c>
      <c r="M10" s="145">
        <v>0</v>
      </c>
      <c r="N10" s="79">
        <f>SUMPRODUCT($F$6:$M$6,F10:M10)</f>
        <v>104121.68292000001</v>
      </c>
    </row>
    <row r="11" spans="1:14">
      <c r="A11" s="78">
        <v>1.4</v>
      </c>
      <c r="B11" s="51" t="s">
        <v>79</v>
      </c>
      <c r="C11" s="145">
        <v>1464548.8363000001</v>
      </c>
      <c r="D11" s="52">
        <v>0.11</v>
      </c>
      <c r="E11" s="147">
        <f>C11*D11</f>
        <v>161100.37199300001</v>
      </c>
      <c r="F11" s="145">
        <v>0</v>
      </c>
      <c r="G11" s="145">
        <v>0</v>
      </c>
      <c r="H11" s="145">
        <v>0</v>
      </c>
      <c r="I11" s="145">
        <v>0</v>
      </c>
      <c r="J11" s="145">
        <v>0</v>
      </c>
      <c r="K11" s="145">
        <v>161100.37199300001</v>
      </c>
      <c r="L11" s="145">
        <v>0</v>
      </c>
      <c r="M11" s="145">
        <v>0</v>
      </c>
      <c r="N11" s="79">
        <f t="shared" si="1"/>
        <v>161100.37199300001</v>
      </c>
    </row>
    <row r="12" spans="1:14">
      <c r="A12" s="78">
        <v>1.5</v>
      </c>
      <c r="B12" s="51" t="s">
        <v>80</v>
      </c>
      <c r="C12" s="145">
        <v>1339344.7392</v>
      </c>
      <c r="D12" s="52">
        <v>0.14000000000000001</v>
      </c>
      <c r="E12" s="147">
        <f>C12*D12</f>
        <v>187508.263488</v>
      </c>
      <c r="F12" s="145">
        <v>0</v>
      </c>
      <c r="G12" s="145">
        <v>0</v>
      </c>
      <c r="H12" s="145">
        <v>0</v>
      </c>
      <c r="I12" s="145">
        <v>0</v>
      </c>
      <c r="J12" s="145">
        <v>0</v>
      </c>
      <c r="K12" s="145">
        <v>187508.263488</v>
      </c>
      <c r="L12" s="145">
        <v>0</v>
      </c>
      <c r="M12" s="145">
        <v>0</v>
      </c>
      <c r="N12" s="79">
        <f t="shared" si="1"/>
        <v>187508.263488</v>
      </c>
    </row>
    <row r="13" spans="1:14">
      <c r="A13" s="78">
        <v>1.6</v>
      </c>
      <c r="B13" s="53" t="s">
        <v>81</v>
      </c>
      <c r="C13" s="145">
        <v>0</v>
      </c>
      <c r="D13" s="54"/>
      <c r="E13" s="145"/>
      <c r="F13" s="145">
        <v>0</v>
      </c>
      <c r="G13" s="145">
        <v>0</v>
      </c>
      <c r="H13" s="145">
        <v>0</v>
      </c>
      <c r="I13" s="145">
        <v>0</v>
      </c>
      <c r="J13" s="145">
        <v>0</v>
      </c>
      <c r="K13" s="145">
        <v>0</v>
      </c>
      <c r="L13" s="145">
        <v>0</v>
      </c>
      <c r="M13" s="145">
        <v>0</v>
      </c>
      <c r="N13" s="79">
        <f>SUMPRODUCT($F$6:$M$6,F13:M13)</f>
        <v>0</v>
      </c>
    </row>
    <row r="14" spans="1:14">
      <c r="A14" s="78">
        <v>2</v>
      </c>
      <c r="B14" s="55" t="s">
        <v>82</v>
      </c>
      <c r="C14" s="144">
        <f>SUM(C15:C20)</f>
        <v>0</v>
      </c>
      <c r="D14" s="45"/>
      <c r="E14" s="147">
        <f t="shared" ref="E14:M14" si="2">SUM(E15:E20)</f>
        <v>0</v>
      </c>
      <c r="F14" s="145">
        <f t="shared" si="2"/>
        <v>0</v>
      </c>
      <c r="G14" s="145">
        <f t="shared" si="2"/>
        <v>0</v>
      </c>
      <c r="H14" s="145">
        <f t="shared" si="2"/>
        <v>0</v>
      </c>
      <c r="I14" s="145">
        <f t="shared" si="2"/>
        <v>0</v>
      </c>
      <c r="J14" s="145">
        <f t="shared" si="2"/>
        <v>0</v>
      </c>
      <c r="K14" s="145">
        <f t="shared" si="2"/>
        <v>0</v>
      </c>
      <c r="L14" s="145">
        <f t="shared" si="2"/>
        <v>0</v>
      </c>
      <c r="M14" s="145">
        <f t="shared" si="2"/>
        <v>0</v>
      </c>
      <c r="N14" s="79">
        <f>SUM(N15:N20)</f>
        <v>0</v>
      </c>
    </row>
    <row r="15" spans="1:14">
      <c r="A15" s="78">
        <v>2.1</v>
      </c>
      <c r="B15" s="53" t="s">
        <v>76</v>
      </c>
      <c r="C15" s="145"/>
      <c r="D15" s="52">
        <v>5.0000000000000001E-3</v>
      </c>
      <c r="E15" s="147">
        <f>C15*D15</f>
        <v>0</v>
      </c>
      <c r="F15" s="145"/>
      <c r="G15" s="145"/>
      <c r="H15" s="145"/>
      <c r="I15" s="145"/>
      <c r="J15" s="145"/>
      <c r="K15" s="145"/>
      <c r="L15" s="145"/>
      <c r="M15" s="145"/>
      <c r="N15" s="79">
        <f>SUMPRODUCT($F$6:$M$6,F15:M15)</f>
        <v>0</v>
      </c>
    </row>
    <row r="16" spans="1:14">
      <c r="A16" s="78">
        <v>2.2000000000000002</v>
      </c>
      <c r="B16" s="53" t="s">
        <v>77</v>
      </c>
      <c r="C16" s="145"/>
      <c r="D16" s="52">
        <v>0.01</v>
      </c>
      <c r="E16" s="147">
        <f>C16*D16</f>
        <v>0</v>
      </c>
      <c r="F16" s="145"/>
      <c r="G16" s="145"/>
      <c r="H16" s="145"/>
      <c r="I16" s="145"/>
      <c r="J16" s="145"/>
      <c r="K16" s="145"/>
      <c r="L16" s="145"/>
      <c r="M16" s="145"/>
      <c r="N16" s="79">
        <f t="shared" ref="N16:N20" si="3">SUMPRODUCT($F$6:$M$6,F16:M16)</f>
        <v>0</v>
      </c>
    </row>
    <row r="17" spans="1:14">
      <c r="A17" s="78">
        <v>2.2999999999999998</v>
      </c>
      <c r="B17" s="53" t="s">
        <v>78</v>
      </c>
      <c r="C17" s="145"/>
      <c r="D17" s="52">
        <v>0.02</v>
      </c>
      <c r="E17" s="147">
        <f>C17*D17</f>
        <v>0</v>
      </c>
      <c r="F17" s="145"/>
      <c r="G17" s="145"/>
      <c r="H17" s="145"/>
      <c r="I17" s="145"/>
      <c r="J17" s="145"/>
      <c r="K17" s="145"/>
      <c r="L17" s="145"/>
      <c r="M17" s="145"/>
      <c r="N17" s="79">
        <f t="shared" si="3"/>
        <v>0</v>
      </c>
    </row>
    <row r="18" spans="1:14">
      <c r="A18" s="78">
        <v>2.4</v>
      </c>
      <c r="B18" s="53" t="s">
        <v>79</v>
      </c>
      <c r="C18" s="145"/>
      <c r="D18" s="52">
        <v>0.03</v>
      </c>
      <c r="E18" s="147">
        <f>C18*D18</f>
        <v>0</v>
      </c>
      <c r="F18" s="145"/>
      <c r="G18" s="145"/>
      <c r="H18" s="145"/>
      <c r="I18" s="145"/>
      <c r="J18" s="145"/>
      <c r="K18" s="145"/>
      <c r="L18" s="145"/>
      <c r="M18" s="145"/>
      <c r="N18" s="79">
        <f t="shared" si="3"/>
        <v>0</v>
      </c>
    </row>
    <row r="19" spans="1:14">
      <c r="A19" s="78">
        <v>2.5</v>
      </c>
      <c r="B19" s="53" t="s">
        <v>80</v>
      </c>
      <c r="C19" s="145"/>
      <c r="D19" s="52">
        <v>0.04</v>
      </c>
      <c r="E19" s="147">
        <f>C19*D19</f>
        <v>0</v>
      </c>
      <c r="F19" s="145"/>
      <c r="G19" s="145"/>
      <c r="H19" s="145"/>
      <c r="I19" s="145"/>
      <c r="J19" s="145"/>
      <c r="K19" s="145"/>
      <c r="L19" s="145"/>
      <c r="M19" s="145"/>
      <c r="N19" s="79">
        <f t="shared" si="3"/>
        <v>0</v>
      </c>
    </row>
    <row r="20" spans="1:14">
      <c r="A20" s="78">
        <v>2.6</v>
      </c>
      <c r="B20" s="53" t="s">
        <v>81</v>
      </c>
      <c r="C20" s="145"/>
      <c r="D20" s="54"/>
      <c r="E20" s="148"/>
      <c r="F20" s="145"/>
      <c r="G20" s="145"/>
      <c r="H20" s="145"/>
      <c r="I20" s="145"/>
      <c r="J20" s="145"/>
      <c r="K20" s="145"/>
      <c r="L20" s="145"/>
      <c r="M20" s="145"/>
      <c r="N20" s="79">
        <f t="shared" si="3"/>
        <v>0</v>
      </c>
    </row>
    <row r="21" spans="1:14" ht="15.75" thickBot="1">
      <c r="A21" s="80">
        <v>3</v>
      </c>
      <c r="B21" s="81" t="s">
        <v>66</v>
      </c>
      <c r="C21" s="146">
        <f>C14+C7</f>
        <v>1430579446.3476</v>
      </c>
      <c r="D21" s="82"/>
      <c r="E21" s="149">
        <f>E14+E7</f>
        <v>29502255.813044999</v>
      </c>
      <c r="F21" s="150">
        <f>F7+F14</f>
        <v>0</v>
      </c>
      <c r="G21" s="150">
        <f t="shared" ref="G21:L21" si="4">G7+G14</f>
        <v>21635197.037889998</v>
      </c>
      <c r="H21" s="150">
        <f t="shared" si="4"/>
        <v>0</v>
      </c>
      <c r="I21" s="150">
        <f t="shared" si="4"/>
        <v>3082516.9219379998</v>
      </c>
      <c r="J21" s="150">
        <f t="shared" si="4"/>
        <v>0</v>
      </c>
      <c r="K21" s="150">
        <f t="shared" si="4"/>
        <v>4784541.8532170001</v>
      </c>
      <c r="L21" s="150">
        <f t="shared" si="4"/>
        <v>0</v>
      </c>
      <c r="M21" s="150">
        <f>M7+M14</f>
        <v>0</v>
      </c>
      <c r="N21" s="83">
        <f>N14+N7</f>
        <v>10652839.721764</v>
      </c>
    </row>
    <row r="22" spans="1:14">
      <c r="E22" s="151"/>
      <c r="F22" s="151"/>
      <c r="G22" s="151"/>
      <c r="H22" s="151"/>
      <c r="I22" s="151"/>
      <c r="J22" s="151"/>
      <c r="K22" s="151"/>
      <c r="L22" s="151"/>
      <c r="M22" s="151"/>
    </row>
  </sheetData>
  <conditionalFormatting sqref="E8:E12">
    <cfRule type="expression" dxfId="28" priority="2">
      <formula>(C8*D8)&lt;&gt;SUM(#REF!)</formula>
    </cfRule>
  </conditionalFormatting>
  <conditionalFormatting sqref="E20">
    <cfRule type="expression" dxfId="27" priority="3">
      <formula>$E$88&lt;&gt;SUM(#REF!)</formula>
    </cfRule>
  </conditionalFormatting>
  <conditionalFormatting sqref="E15:E19">
    <cfRule type="expression" dxfId="26"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zoomScaleNormal="100" workbookViewId="0"/>
  </sheetViews>
  <sheetFormatPr defaultRowHeight="15"/>
  <cols>
    <col min="1" max="1" width="11.42578125" customWidth="1"/>
    <col min="2" max="2" width="76.85546875" style="4" customWidth="1"/>
    <col min="3" max="3" width="22.85546875" customWidth="1"/>
  </cols>
  <sheetData>
    <row r="1" spans="1:3">
      <c r="A1" s="190" t="s">
        <v>108</v>
      </c>
      <c r="B1" t="str">
        <f>Info!C2</f>
        <v>სს ”საქართველოს ბანკი”</v>
      </c>
    </row>
    <row r="2" spans="1:3">
      <c r="A2" s="190" t="s">
        <v>109</v>
      </c>
      <c r="B2" s="275">
        <f>'1. key ratios'!B2</f>
        <v>45199</v>
      </c>
    </row>
    <row r="3" spans="1:3">
      <c r="A3" s="190"/>
      <c r="B3"/>
    </row>
    <row r="4" spans="1:3">
      <c r="A4" s="190" t="s">
        <v>427</v>
      </c>
      <c r="B4" t="s">
        <v>386</v>
      </c>
    </row>
    <row r="5" spans="1:3">
      <c r="A5" s="233"/>
      <c r="B5" s="233" t="s">
        <v>387</v>
      </c>
      <c r="C5" s="245"/>
    </row>
    <row r="6" spans="1:3">
      <c r="A6" s="234">
        <v>1</v>
      </c>
      <c r="B6" s="246" t="s">
        <v>439</v>
      </c>
      <c r="C6" s="629">
        <v>29031206419.544067</v>
      </c>
    </row>
    <row r="7" spans="1:3">
      <c r="A7" s="234">
        <v>2</v>
      </c>
      <c r="B7" s="246" t="s">
        <v>388</v>
      </c>
      <c r="C7" s="629">
        <v>-219704247.68567026</v>
      </c>
    </row>
    <row r="8" spans="1:3">
      <c r="A8" s="235">
        <v>3</v>
      </c>
      <c r="B8" s="247" t="s">
        <v>389</v>
      </c>
      <c r="C8" s="629">
        <f>C6+C7</f>
        <v>28811502171.858398</v>
      </c>
    </row>
    <row r="9" spans="1:3">
      <c r="A9" s="236"/>
      <c r="B9" s="236" t="s">
        <v>390</v>
      </c>
      <c r="C9" s="630"/>
    </row>
    <row r="10" spans="1:3">
      <c r="A10" s="237">
        <v>4</v>
      </c>
      <c r="B10" s="249" t="s">
        <v>391</v>
      </c>
      <c r="C10" s="631"/>
    </row>
    <row r="11" spans="1:3">
      <c r="A11" s="237">
        <v>5</v>
      </c>
      <c r="B11" s="250" t="s">
        <v>392</v>
      </c>
      <c r="C11" s="631"/>
    </row>
    <row r="12" spans="1:3">
      <c r="A12" s="237" t="s">
        <v>393</v>
      </c>
      <c r="B12" s="246" t="s">
        <v>394</v>
      </c>
      <c r="C12" s="629">
        <v>29502255.813044999</v>
      </c>
    </row>
    <row r="13" spans="1:3">
      <c r="A13" s="238">
        <v>6</v>
      </c>
      <c r="B13" s="251" t="s">
        <v>395</v>
      </c>
      <c r="C13" s="631"/>
    </row>
    <row r="14" spans="1:3">
      <c r="A14" s="238">
        <v>7</v>
      </c>
      <c r="B14" s="252" t="s">
        <v>396</v>
      </c>
      <c r="C14" s="631"/>
    </row>
    <row r="15" spans="1:3">
      <c r="A15" s="239">
        <v>8</v>
      </c>
      <c r="B15" s="246" t="s">
        <v>397</v>
      </c>
      <c r="C15" s="631"/>
    </row>
    <row r="16" spans="1:3" ht="24">
      <c r="A16" s="238">
        <v>9</v>
      </c>
      <c r="B16" s="252" t="s">
        <v>398</v>
      </c>
      <c r="C16" s="631"/>
    </row>
    <row r="17" spans="1:3">
      <c r="A17" s="238">
        <v>10</v>
      </c>
      <c r="B17" s="252" t="s">
        <v>399</v>
      </c>
      <c r="C17" s="631"/>
    </row>
    <row r="18" spans="1:3">
      <c r="A18" s="240">
        <v>11</v>
      </c>
      <c r="B18" s="253" t="s">
        <v>400</v>
      </c>
      <c r="C18" s="629">
        <f>SUM(C10:C17)</f>
        <v>29502255.813044999</v>
      </c>
    </row>
    <row r="19" spans="1:3">
      <c r="A19" s="236"/>
      <c r="B19" s="236" t="s">
        <v>401</v>
      </c>
      <c r="C19" s="630"/>
    </row>
    <row r="20" spans="1:3">
      <c r="A20" s="238">
        <v>12</v>
      </c>
      <c r="B20" s="249" t="s">
        <v>402</v>
      </c>
      <c r="C20" s="631"/>
    </row>
    <row r="21" spans="1:3">
      <c r="A21" s="238">
        <v>13</v>
      </c>
      <c r="B21" s="249" t="s">
        <v>403</v>
      </c>
      <c r="C21" s="631"/>
    </row>
    <row r="22" spans="1:3">
      <c r="A22" s="238">
        <v>14</v>
      </c>
      <c r="B22" s="249" t="s">
        <v>404</v>
      </c>
      <c r="C22" s="631"/>
    </row>
    <row r="23" spans="1:3" ht="24">
      <c r="A23" s="238" t="s">
        <v>405</v>
      </c>
      <c r="B23" s="249" t="s">
        <v>406</v>
      </c>
      <c r="C23" s="631"/>
    </row>
    <row r="24" spans="1:3">
      <c r="A24" s="238">
        <v>15</v>
      </c>
      <c r="B24" s="249" t="s">
        <v>407</v>
      </c>
      <c r="C24" s="631"/>
    </row>
    <row r="25" spans="1:3">
      <c r="A25" s="238" t="s">
        <v>408</v>
      </c>
      <c r="B25" s="246" t="s">
        <v>409</v>
      </c>
      <c r="C25" s="631"/>
    </row>
    <row r="26" spans="1:3">
      <c r="A26" s="240">
        <v>16</v>
      </c>
      <c r="B26" s="253" t="s">
        <v>410</v>
      </c>
      <c r="C26" s="629">
        <f>SUM(C20:C25)</f>
        <v>0</v>
      </c>
    </row>
    <row r="27" spans="1:3">
      <c r="A27" s="236"/>
      <c r="B27" s="236" t="s">
        <v>411</v>
      </c>
      <c r="C27" s="630"/>
    </row>
    <row r="28" spans="1:3">
      <c r="A28" s="237">
        <v>17</v>
      </c>
      <c r="B28" s="246" t="s">
        <v>412</v>
      </c>
      <c r="C28" s="632">
        <v>2774760076.6048002</v>
      </c>
    </row>
    <row r="29" spans="1:3">
      <c r="A29" s="237">
        <v>18</v>
      </c>
      <c r="B29" s="246" t="s">
        <v>413</v>
      </c>
      <c r="C29" s="632">
        <v>-1573845444.6590178</v>
      </c>
    </row>
    <row r="30" spans="1:3">
      <c r="A30" s="240">
        <v>19</v>
      </c>
      <c r="B30" s="253" t="s">
        <v>414</v>
      </c>
      <c r="C30" s="629">
        <f>C28+C29</f>
        <v>1200914631.9457824</v>
      </c>
    </row>
    <row r="31" spans="1:3">
      <c r="A31" s="241"/>
      <c r="B31" s="236" t="s">
        <v>415</v>
      </c>
      <c r="C31" s="630"/>
    </row>
    <row r="32" spans="1:3">
      <c r="A32" s="237" t="s">
        <v>416</v>
      </c>
      <c r="B32" s="249" t="s">
        <v>417</v>
      </c>
      <c r="C32" s="633"/>
    </row>
    <row r="33" spans="1:3">
      <c r="A33" s="237" t="s">
        <v>418</v>
      </c>
      <c r="B33" s="250" t="s">
        <v>419</v>
      </c>
      <c r="C33" s="633"/>
    </row>
    <row r="34" spans="1:3">
      <c r="A34" s="236"/>
      <c r="B34" s="236" t="s">
        <v>420</v>
      </c>
      <c r="C34" s="630"/>
    </row>
    <row r="35" spans="1:3">
      <c r="A35" s="240">
        <v>20</v>
      </c>
      <c r="B35" s="253" t="s">
        <v>86</v>
      </c>
      <c r="C35" s="629">
        <v>4269430014.0982533</v>
      </c>
    </row>
    <row r="36" spans="1:3">
      <c r="A36" s="240">
        <v>21</v>
      </c>
      <c r="B36" s="253" t="s">
        <v>421</v>
      </c>
      <c r="C36" s="629">
        <v>30041919059.617226</v>
      </c>
    </row>
    <row r="37" spans="1:3">
      <c r="A37" s="242"/>
      <c r="B37" s="242" t="s">
        <v>386</v>
      </c>
      <c r="C37" s="634"/>
    </row>
    <row r="38" spans="1:3">
      <c r="A38" s="240">
        <v>22</v>
      </c>
      <c r="B38" s="253" t="s">
        <v>386</v>
      </c>
      <c r="C38" s="635">
        <f>IFERROR(C35/C36,0)</f>
        <v>0.14211575517614924</v>
      </c>
    </row>
    <row r="39" spans="1:3">
      <c r="A39" s="242"/>
      <c r="B39" s="242" t="s">
        <v>422</v>
      </c>
      <c r="C39" s="248"/>
    </row>
    <row r="40" spans="1:3">
      <c r="A40" s="243" t="s">
        <v>423</v>
      </c>
      <c r="B40" s="249" t="s">
        <v>424</v>
      </c>
      <c r="C40" s="254"/>
    </row>
    <row r="41" spans="1:3">
      <c r="A41" s="244" t="s">
        <v>425</v>
      </c>
      <c r="B41" s="250" t="s">
        <v>426</v>
      </c>
      <c r="C41" s="254"/>
    </row>
    <row r="43" spans="1:3">
      <c r="B43" s="263" t="s">
        <v>440</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2"/>
  <sheetViews>
    <sheetView zoomScaleNormal="100" workbookViewId="0">
      <pane xSplit="2" ySplit="6" topLeftCell="C7" activePane="bottomRight" state="frozen"/>
      <selection sqref="A1:C1"/>
      <selection pane="topRight" sqref="A1:C1"/>
      <selection pane="bottomLeft" sqref="A1:C1"/>
      <selection pane="bottomRight" activeCell="C7" sqref="C7"/>
    </sheetView>
  </sheetViews>
  <sheetFormatPr defaultRowHeight="15"/>
  <cols>
    <col min="1" max="1" width="9.85546875" style="190" bestFit="1" customWidth="1"/>
    <col min="2" max="2" width="82.5703125" style="19" customWidth="1"/>
    <col min="3" max="5" width="17.5703125" style="190" customWidth="1"/>
    <col min="6" max="6" width="22" style="190" customWidth="1"/>
    <col min="7" max="7" width="23.140625" style="190" bestFit="1" customWidth="1"/>
    <col min="8" max="8" width="17.7109375" bestFit="1" customWidth="1"/>
  </cols>
  <sheetData>
    <row r="1" spans="1:7">
      <c r="A1" s="190" t="s">
        <v>108</v>
      </c>
      <c r="B1" s="190" t="str">
        <f>Info!C2</f>
        <v>სს ”საქართველოს ბანკი”</v>
      </c>
    </row>
    <row r="2" spans="1:7">
      <c r="A2" s="190" t="s">
        <v>109</v>
      </c>
      <c r="B2" s="275">
        <f>'1. key ratios'!B2</f>
        <v>45199</v>
      </c>
    </row>
    <row r="3" spans="1:7">
      <c r="B3" s="275"/>
    </row>
    <row r="4" spans="1:7" ht="15.75" thickBot="1">
      <c r="A4" s="190" t="s">
        <v>487</v>
      </c>
      <c r="B4" s="276" t="s">
        <v>452</v>
      </c>
    </row>
    <row r="5" spans="1:7" ht="15" customHeight="1">
      <c r="A5" s="277"/>
      <c r="B5" s="278"/>
      <c r="C5" s="832" t="s">
        <v>453</v>
      </c>
      <c r="D5" s="832"/>
      <c r="E5" s="832"/>
      <c r="F5" s="832"/>
      <c r="G5" s="833" t="s">
        <v>454</v>
      </c>
    </row>
    <row r="6" spans="1:7">
      <c r="A6" s="279"/>
      <c r="B6" s="280"/>
      <c r="C6" s="281" t="s">
        <v>455</v>
      </c>
      <c r="D6" s="282" t="s">
        <v>456</v>
      </c>
      <c r="E6" s="282" t="s">
        <v>457</v>
      </c>
      <c r="F6" s="282" t="s">
        <v>458</v>
      </c>
      <c r="G6" s="834"/>
    </row>
    <row r="7" spans="1:7">
      <c r="A7" s="283"/>
      <c r="B7" s="284" t="s">
        <v>459</v>
      </c>
      <c r="C7" s="285"/>
      <c r="D7" s="285"/>
      <c r="E7" s="285"/>
      <c r="F7" s="285"/>
      <c r="G7" s="286"/>
    </row>
    <row r="8" spans="1:7">
      <c r="A8" s="287">
        <v>1</v>
      </c>
      <c r="B8" s="288" t="s">
        <v>460</v>
      </c>
      <c r="C8" s="289">
        <f>SUM(C9:C10)</f>
        <v>4269430014.0982533</v>
      </c>
      <c r="D8" s="289">
        <f>SUM(D9:D10)</f>
        <v>0</v>
      </c>
      <c r="E8" s="289">
        <f>SUM(E9:E10)</f>
        <v>0</v>
      </c>
      <c r="F8" s="289">
        <f>SUM(F9:F10)</f>
        <v>3206105725.322</v>
      </c>
      <c r="G8" s="290">
        <f>SUM(G9:G10)</f>
        <v>7475535739.4202538</v>
      </c>
    </row>
    <row r="9" spans="1:7">
      <c r="A9" s="287">
        <v>2</v>
      </c>
      <c r="B9" s="291" t="s">
        <v>85</v>
      </c>
      <c r="C9" s="289">
        <v>4269430014.0982533</v>
      </c>
      <c r="D9" s="289"/>
      <c r="E9" s="289"/>
      <c r="F9" s="289">
        <v>463747645</v>
      </c>
      <c r="G9" s="290">
        <v>4733177659.0982533</v>
      </c>
    </row>
    <row r="10" spans="1:7">
      <c r="A10" s="287">
        <v>3</v>
      </c>
      <c r="B10" s="291" t="s">
        <v>461</v>
      </c>
      <c r="C10" s="292"/>
      <c r="D10" s="292"/>
      <c r="E10" s="292"/>
      <c r="F10" s="289">
        <v>2742358080.322</v>
      </c>
      <c r="G10" s="290">
        <v>2742358080.322</v>
      </c>
    </row>
    <row r="11" spans="1:7" ht="26.25">
      <c r="A11" s="287">
        <v>4</v>
      </c>
      <c r="B11" s="288" t="s">
        <v>462</v>
      </c>
      <c r="C11" s="289">
        <f t="shared" ref="C11:F11" si="0">SUM(C12:C13)</f>
        <v>5431936709.6252022</v>
      </c>
      <c r="D11" s="289">
        <f t="shared" si="0"/>
        <v>3668030648.0900002</v>
      </c>
      <c r="E11" s="289">
        <f t="shared" si="0"/>
        <v>1527597550.71</v>
      </c>
      <c r="F11" s="289">
        <f t="shared" si="0"/>
        <v>422912663.02000004</v>
      </c>
      <c r="G11" s="290">
        <f>SUM(G12:G13)</f>
        <v>8809764860.237442</v>
      </c>
    </row>
    <row r="12" spans="1:7">
      <c r="A12" s="287">
        <v>5</v>
      </c>
      <c r="B12" s="291" t="s">
        <v>463</v>
      </c>
      <c r="C12" s="289">
        <v>2947399169.5652027</v>
      </c>
      <c r="D12" s="293">
        <v>2819637724.3800001</v>
      </c>
      <c r="E12" s="289">
        <v>1194026462.74</v>
      </c>
      <c r="F12" s="289">
        <v>337883475.47000003</v>
      </c>
      <c r="G12" s="290">
        <v>6933999490.5474424</v>
      </c>
    </row>
    <row r="13" spans="1:7">
      <c r="A13" s="287">
        <v>6</v>
      </c>
      <c r="B13" s="291" t="s">
        <v>464</v>
      </c>
      <c r="C13" s="289">
        <v>2484537540.0599999</v>
      </c>
      <c r="D13" s="293">
        <v>848392923.71000004</v>
      </c>
      <c r="E13" s="289">
        <v>333571087.97000003</v>
      </c>
      <c r="F13" s="289">
        <v>85029187.549999997</v>
      </c>
      <c r="G13" s="290">
        <v>1875765369.6899986</v>
      </c>
    </row>
    <row r="14" spans="1:7">
      <c r="A14" s="287">
        <v>7</v>
      </c>
      <c r="B14" s="288" t="s">
        <v>465</v>
      </c>
      <c r="C14" s="289">
        <f t="shared" ref="C14:F14" si="1">SUM(C15:C16)</f>
        <v>6740627841.3757</v>
      </c>
      <c r="D14" s="289">
        <f t="shared" si="1"/>
        <v>2491300652.7459998</v>
      </c>
      <c r="E14" s="289">
        <f t="shared" si="1"/>
        <v>252724361.30000001</v>
      </c>
      <c r="F14" s="289">
        <f t="shared" si="1"/>
        <v>7950025.71</v>
      </c>
      <c r="G14" s="290">
        <f>SUM(G15:G16)</f>
        <v>3461210488.2032499</v>
      </c>
    </row>
    <row r="15" spans="1:7" ht="51.75">
      <c r="A15" s="287">
        <v>8</v>
      </c>
      <c r="B15" s="291" t="s">
        <v>466</v>
      </c>
      <c r="C15" s="289">
        <v>6246053274.5764999</v>
      </c>
      <c r="D15" s="293">
        <v>417555834.31999969</v>
      </c>
      <c r="E15" s="289">
        <v>86412200.120000005</v>
      </c>
      <c r="F15" s="289">
        <v>7550025.71</v>
      </c>
      <c r="G15" s="290">
        <v>3378054407.6132498</v>
      </c>
    </row>
    <row r="16" spans="1:7" ht="26.25">
      <c r="A16" s="287">
        <v>9</v>
      </c>
      <c r="B16" s="291" t="s">
        <v>467</v>
      </c>
      <c r="C16" s="289">
        <v>494574566.79919994</v>
      </c>
      <c r="D16" s="293">
        <v>2073744818.4260001</v>
      </c>
      <c r="E16" s="289">
        <v>166312161.18000001</v>
      </c>
      <c r="F16" s="289">
        <v>400000</v>
      </c>
      <c r="G16" s="290">
        <v>83156080.590000004</v>
      </c>
    </row>
    <row r="17" spans="1:8">
      <c r="A17" s="287">
        <v>10</v>
      </c>
      <c r="B17" s="288" t="s">
        <v>468</v>
      </c>
      <c r="C17" s="289"/>
      <c r="D17" s="293"/>
      <c r="E17" s="289"/>
      <c r="F17" s="289"/>
      <c r="G17" s="290"/>
    </row>
    <row r="18" spans="1:8">
      <c r="A18" s="287">
        <v>11</v>
      </c>
      <c r="B18" s="288" t="s">
        <v>89</v>
      </c>
      <c r="C18" s="289">
        <f>SUM(C19:C20)</f>
        <v>0</v>
      </c>
      <c r="D18" s="293">
        <f t="shared" ref="D18:G18" si="2">SUM(D19:D20)</f>
        <v>785163565.8938446</v>
      </c>
      <c r="E18" s="289">
        <f t="shared" si="2"/>
        <v>152197.97</v>
      </c>
      <c r="F18" s="289">
        <f t="shared" si="2"/>
        <v>1335662.78</v>
      </c>
      <c r="G18" s="290">
        <f t="shared" si="2"/>
        <v>0</v>
      </c>
    </row>
    <row r="19" spans="1:8">
      <c r="A19" s="287">
        <v>12</v>
      </c>
      <c r="B19" s="291" t="s">
        <v>469</v>
      </c>
      <c r="C19" s="292"/>
      <c r="D19" s="293">
        <v>25586882.18</v>
      </c>
      <c r="E19" s="289">
        <v>152197.97</v>
      </c>
      <c r="F19" s="289">
        <v>1335662.78</v>
      </c>
      <c r="G19" s="290">
        <v>0</v>
      </c>
    </row>
    <row r="20" spans="1:8" ht="26.25">
      <c r="A20" s="287">
        <v>13</v>
      </c>
      <c r="B20" s="291" t="s">
        <v>470</v>
      </c>
      <c r="C20" s="289"/>
      <c r="D20" s="289">
        <v>759576683.71384466</v>
      </c>
      <c r="E20" s="289">
        <v>0</v>
      </c>
      <c r="F20" s="289">
        <v>0</v>
      </c>
      <c r="G20" s="290">
        <v>0</v>
      </c>
    </row>
    <row r="21" spans="1:8">
      <c r="A21" s="294">
        <v>14</v>
      </c>
      <c r="B21" s="295" t="s">
        <v>471</v>
      </c>
      <c r="C21" s="296">
        <f>SUM(C8,C11,C14,C17,C18)</f>
        <v>16441994565.099155</v>
      </c>
      <c r="D21" s="296">
        <f t="shared" ref="D21:F21" si="3">SUM(D8,D11,D14,D17,D18)</f>
        <v>6944494866.729845</v>
      </c>
      <c r="E21" s="296">
        <f t="shared" si="3"/>
        <v>1780474109.98</v>
      </c>
      <c r="F21" s="296">
        <f t="shared" si="3"/>
        <v>3638304076.8320003</v>
      </c>
      <c r="G21" s="296">
        <f>SUM(G8,G11,G14,G17,G18)</f>
        <v>19746511087.860947</v>
      </c>
      <c r="H21" s="588"/>
    </row>
    <row r="22" spans="1:8">
      <c r="A22" s="297"/>
      <c r="B22" s="311" t="s">
        <v>472</v>
      </c>
      <c r="C22" s="298"/>
      <c r="D22" s="299"/>
      <c r="E22" s="298"/>
      <c r="F22" s="298"/>
      <c r="G22" s="300"/>
    </row>
    <row r="23" spans="1:8">
      <c r="A23" s="287">
        <v>15</v>
      </c>
      <c r="B23" s="288" t="s">
        <v>321</v>
      </c>
      <c r="C23" s="301">
        <v>4274355816.6964016</v>
      </c>
      <c r="D23" s="302">
        <v>5418364519.3850002</v>
      </c>
      <c r="E23" s="301"/>
      <c r="F23" s="301"/>
      <c r="G23" s="290">
        <v>318033853.20747006</v>
      </c>
      <c r="H23" s="588"/>
    </row>
    <row r="24" spans="1:8">
      <c r="A24" s="287">
        <v>16</v>
      </c>
      <c r="B24" s="288" t="s">
        <v>473</v>
      </c>
      <c r="C24" s="289">
        <f>SUM(C25:C27,C29,C31)</f>
        <v>0</v>
      </c>
      <c r="D24" s="293">
        <f>SUM(D25:D27,D29,D31)</f>
        <v>2806471605.9222946</v>
      </c>
      <c r="E24" s="289">
        <f t="shared" ref="E24:G24" si="4">SUM(E25:E27,E29,E31)</f>
        <v>2084576018.988368</v>
      </c>
      <c r="F24" s="289">
        <f t="shared" si="4"/>
        <v>11326559360.150997</v>
      </c>
      <c r="G24" s="290">
        <f t="shared" si="4"/>
        <v>11457937875.807171</v>
      </c>
    </row>
    <row r="25" spans="1:8" ht="26.25">
      <c r="A25" s="287">
        <v>17</v>
      </c>
      <c r="B25" s="291" t="s">
        <v>474</v>
      </c>
      <c r="C25" s="289">
        <v>0</v>
      </c>
      <c r="D25" s="293"/>
      <c r="E25" s="289"/>
      <c r="F25" s="289"/>
      <c r="G25" s="290"/>
    </row>
    <row r="26" spans="1:8" ht="26.25">
      <c r="A26" s="287">
        <v>18</v>
      </c>
      <c r="B26" s="291" t="s">
        <v>475</v>
      </c>
      <c r="C26" s="289">
        <v>0</v>
      </c>
      <c r="D26" s="293">
        <v>15468313.68</v>
      </c>
      <c r="E26" s="289">
        <v>72415172.179999992</v>
      </c>
      <c r="F26" s="289">
        <v>29671889.400000002</v>
      </c>
      <c r="G26" s="290">
        <v>68199722.541999996</v>
      </c>
    </row>
    <row r="27" spans="1:8">
      <c r="A27" s="287">
        <v>19</v>
      </c>
      <c r="B27" s="291" t="s">
        <v>476</v>
      </c>
      <c r="C27" s="289">
        <v>0</v>
      </c>
      <c r="D27" s="293">
        <v>2388286661.193738</v>
      </c>
      <c r="E27" s="289">
        <v>1720125068.2416341</v>
      </c>
      <c r="F27" s="289">
        <v>6806192443.1442451</v>
      </c>
      <c r="G27" s="290">
        <v>7816786324.5244179</v>
      </c>
    </row>
    <row r="28" spans="1:8">
      <c r="A28" s="287">
        <v>20</v>
      </c>
      <c r="B28" s="303" t="s">
        <v>477</v>
      </c>
      <c r="C28" s="289"/>
      <c r="D28" s="293"/>
      <c r="E28" s="289"/>
      <c r="F28" s="289"/>
      <c r="G28" s="290"/>
    </row>
    <row r="29" spans="1:8">
      <c r="A29" s="287">
        <v>21</v>
      </c>
      <c r="B29" s="291" t="s">
        <v>478</v>
      </c>
      <c r="C29" s="289">
        <v>0</v>
      </c>
      <c r="D29" s="293">
        <v>339348003.14855659</v>
      </c>
      <c r="E29" s="289">
        <v>286066990.2573337</v>
      </c>
      <c r="F29" s="289">
        <v>4241969892.8301535</v>
      </c>
      <c r="G29" s="290">
        <v>3326866756.075942</v>
      </c>
    </row>
    <row r="30" spans="1:8">
      <c r="A30" s="287">
        <v>22</v>
      </c>
      <c r="B30" s="303" t="s">
        <v>477</v>
      </c>
      <c r="C30" s="289"/>
      <c r="D30" s="293">
        <v>235846006.5664182</v>
      </c>
      <c r="E30" s="289">
        <v>204531249.04684141</v>
      </c>
      <c r="F30" s="289">
        <v>2859857710.0018654</v>
      </c>
      <c r="G30" s="290">
        <v>2079096139.3078451</v>
      </c>
    </row>
    <row r="31" spans="1:8" ht="26.25">
      <c r="A31" s="287">
        <v>23</v>
      </c>
      <c r="B31" s="291" t="s">
        <v>479</v>
      </c>
      <c r="C31" s="289"/>
      <c r="D31" s="293">
        <v>63368627.899999999</v>
      </c>
      <c r="E31" s="289">
        <v>5968788.3093999997</v>
      </c>
      <c r="F31" s="289">
        <v>248725134.7766</v>
      </c>
      <c r="G31" s="290">
        <v>246085072.66481</v>
      </c>
    </row>
    <row r="32" spans="1:8">
      <c r="A32" s="287">
        <v>24</v>
      </c>
      <c r="B32" s="288" t="s">
        <v>480</v>
      </c>
      <c r="C32" s="289"/>
      <c r="D32" s="293"/>
      <c r="E32" s="289"/>
      <c r="F32" s="289"/>
      <c r="G32" s="290"/>
    </row>
    <row r="33" spans="1:8">
      <c r="A33" s="287">
        <v>25</v>
      </c>
      <c r="B33" s="288" t="s">
        <v>99</v>
      </c>
      <c r="C33" s="289">
        <f>SUM(C34:C35)</f>
        <v>1015885052.1955999</v>
      </c>
      <c r="D33" s="289">
        <f>SUM(D34:D35)</f>
        <v>799322662.98225522</v>
      </c>
      <c r="E33" s="289">
        <f>SUM(E34:E35)</f>
        <v>142008727.58421719</v>
      </c>
      <c r="F33" s="289">
        <f>SUM(F34:F35)</f>
        <v>957691819.68649077</v>
      </c>
      <c r="G33" s="290">
        <f>SUM(G34:G35)</f>
        <v>2652519629.9612231</v>
      </c>
    </row>
    <row r="34" spans="1:8">
      <c r="A34" s="287">
        <v>26</v>
      </c>
      <c r="B34" s="291" t="s">
        <v>481</v>
      </c>
      <c r="C34" s="292"/>
      <c r="D34" s="293">
        <v>47712316.088000007</v>
      </c>
      <c r="E34" s="289">
        <v>1255803.0679999997</v>
      </c>
      <c r="F34" s="289">
        <v>24788.284000000003</v>
      </c>
      <c r="G34" s="290">
        <v>48992907.440000005</v>
      </c>
    </row>
    <row r="35" spans="1:8">
      <c r="A35" s="287">
        <v>27</v>
      </c>
      <c r="B35" s="291" t="s">
        <v>482</v>
      </c>
      <c r="C35" s="289">
        <v>1015885052.1955999</v>
      </c>
      <c r="D35" s="293">
        <v>751610346.89425516</v>
      </c>
      <c r="E35" s="289">
        <v>140752924.5162172</v>
      </c>
      <c r="F35" s="289">
        <v>957667031.40249074</v>
      </c>
      <c r="G35" s="290">
        <v>2603526722.5212231</v>
      </c>
    </row>
    <row r="36" spans="1:8">
      <c r="A36" s="287">
        <v>28</v>
      </c>
      <c r="B36" s="288" t="s">
        <v>483</v>
      </c>
      <c r="C36" s="289">
        <v>848146596.65020001</v>
      </c>
      <c r="D36" s="293">
        <v>654067474.05659986</v>
      </c>
      <c r="E36" s="289">
        <v>309550663.22900003</v>
      </c>
      <c r="F36" s="289">
        <v>780432426.18949997</v>
      </c>
      <c r="G36" s="290">
        <v>255834007.48949498</v>
      </c>
    </row>
    <row r="37" spans="1:8">
      <c r="A37" s="294">
        <v>29</v>
      </c>
      <c r="B37" s="295" t="s">
        <v>484</v>
      </c>
      <c r="C37" s="296">
        <f>SUM(C23:C24,C32:C33,C36)</f>
        <v>6138387465.542201</v>
      </c>
      <c r="D37" s="296">
        <f>SUM(D23:D24,D32:D33,D36)</f>
        <v>9678226262.3461514</v>
      </c>
      <c r="E37" s="296">
        <f>SUM(E23:E24,E32:E33,E36)</f>
        <v>2536135409.8015852</v>
      </c>
      <c r="F37" s="296">
        <f>SUM(F23:F24,F32:F33,F36)</f>
        <v>13064683606.026989</v>
      </c>
      <c r="G37" s="296">
        <f>SUM(G23:G24,G32:G33,G36)</f>
        <v>14684325366.465359</v>
      </c>
      <c r="H37" s="588"/>
    </row>
    <row r="38" spans="1:8">
      <c r="A38" s="283"/>
      <c r="B38" s="304"/>
      <c r="C38" s="305"/>
      <c r="D38" s="305"/>
      <c r="E38" s="305"/>
      <c r="F38" s="305"/>
      <c r="G38" s="306"/>
    </row>
    <row r="39" spans="1:8" ht="15.75" thickBot="1">
      <c r="A39" s="307">
        <v>30</v>
      </c>
      <c r="B39" s="308" t="s">
        <v>452</v>
      </c>
      <c r="C39" s="198"/>
      <c r="D39" s="181"/>
      <c r="E39" s="181"/>
      <c r="F39" s="309"/>
      <c r="G39" s="310">
        <f>IFERROR(G21/G37,0)</f>
        <v>1.3447339659849895</v>
      </c>
      <c r="H39" s="588"/>
    </row>
    <row r="41" spans="1:8">
      <c r="G41" s="685">
        <f>G39-'1. key ratios'!C48</f>
        <v>0</v>
      </c>
    </row>
    <row r="42" spans="1:8" ht="39">
      <c r="B42" s="19" t="s">
        <v>485</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J51"/>
  <sheetViews>
    <sheetView zoomScaleNormal="100" workbookViewId="0">
      <pane xSplit="1" ySplit="5" topLeftCell="B6" activePane="bottomRight" state="frozen"/>
      <selection sqref="A1:C1"/>
      <selection pane="topRight" sqref="A1:C1"/>
      <selection pane="bottomLeft" sqref="A1:C1"/>
      <selection pane="bottomRight" activeCell="B6" sqref="B6"/>
    </sheetView>
  </sheetViews>
  <sheetFormatPr defaultRowHeight="30.75" customHeight="1"/>
  <cols>
    <col min="1" max="1" width="9.5703125" style="15" bestFit="1" customWidth="1"/>
    <col min="2" max="2" width="88.42578125" style="12" customWidth="1"/>
    <col min="3" max="3" width="14.7109375" style="12" customWidth="1"/>
    <col min="4" max="4" width="17.7109375" style="190" customWidth="1"/>
    <col min="5" max="5" width="18.140625" style="190" customWidth="1"/>
    <col min="6" max="6" width="19.7109375" style="190" customWidth="1"/>
    <col min="7" max="7" width="17.5703125" style="190" customWidth="1"/>
    <col min="8" max="8" width="21.85546875" customWidth="1"/>
    <col min="9" max="9" width="17.7109375" style="190" customWidth="1"/>
    <col min="10" max="10" width="18.140625" style="190" customWidth="1"/>
  </cols>
  <sheetData>
    <row r="1" spans="1:10" ht="15.75">
      <c r="A1" s="13" t="s">
        <v>108</v>
      </c>
      <c r="B1" s="262" t="str">
        <f>Info!C2</f>
        <v>სს ”საქართველოს ბანკი”</v>
      </c>
      <c r="C1" s="23"/>
      <c r="D1" s="14"/>
      <c r="E1" s="14"/>
      <c r="F1" s="14"/>
      <c r="G1" s="14"/>
      <c r="H1" s="1"/>
      <c r="I1" s="14"/>
      <c r="J1" s="14"/>
    </row>
    <row r="2" spans="1:10" ht="15.75">
      <c r="A2" s="13" t="s">
        <v>109</v>
      </c>
      <c r="B2" s="628">
        <v>45199</v>
      </c>
      <c r="C2" s="23"/>
      <c r="D2" s="14"/>
      <c r="E2" s="14"/>
      <c r="F2" s="14"/>
      <c r="G2" s="14"/>
      <c r="H2" s="1"/>
      <c r="I2" s="14"/>
      <c r="J2" s="14"/>
    </row>
    <row r="3" spans="1:10" ht="16.5" thickBot="1">
      <c r="A3" s="13"/>
      <c r="C3" s="23"/>
      <c r="D3" s="14"/>
      <c r="E3" s="14"/>
      <c r="F3" s="14"/>
      <c r="G3" s="14"/>
      <c r="H3" s="1"/>
      <c r="I3" s="14"/>
      <c r="J3" s="14"/>
    </row>
    <row r="4" spans="1:10" ht="16.5" thickBot="1">
      <c r="A4" s="31" t="s">
        <v>251</v>
      </c>
      <c r="B4" s="111" t="s">
        <v>139</v>
      </c>
      <c r="C4" s="23"/>
      <c r="D4" s="23"/>
      <c r="E4" s="23"/>
      <c r="F4" s="23"/>
      <c r="G4" s="23"/>
      <c r="H4" s="1"/>
      <c r="I4" s="508" t="s">
        <v>934</v>
      </c>
      <c r="J4" s="509"/>
    </row>
    <row r="5" spans="1:10" ht="15">
      <c r="A5" s="167" t="s">
        <v>25</v>
      </c>
      <c r="B5" s="168"/>
      <c r="C5" s="273" t="str">
        <f>INT((MONTH($B$2))/3)&amp;"Q"&amp;"-"&amp;YEAR($B$2)</f>
        <v>3Q-2023</v>
      </c>
      <c r="D5" s="273" t="str">
        <f>IF(INT(MONTH($B$2))=3, "4"&amp;"Q"&amp;"-"&amp;YEAR($B$2)-1, IF(INT(MONTH($B$2))=6, "1"&amp;"Q"&amp;"-"&amp;YEAR($B$2), IF(INT(MONTH($B$2))=9, "2"&amp;"Q"&amp;"-"&amp;YEAR($B$2),IF(INT(MONTH($B$2))=12, "3"&amp;"Q"&amp;"-"&amp;YEAR($B$2), 0))))</f>
        <v>2Q-2023</v>
      </c>
      <c r="E5" s="273" t="str">
        <f>IF(INT(MONTH($B$2))=3, "3"&amp;"Q"&amp;"-"&amp;YEAR($B$2)-1, IF(INT(MONTH($B$2))=6, "4"&amp;"Q"&amp;"-"&amp;YEAR($B$2)-1, IF(INT(MONTH($B$2))=9, "1"&amp;"Q"&amp;"-"&amp;YEAR($B$2),IF(INT(MONTH($B$2))=12, "2"&amp;"Q"&amp;"-"&amp;YEAR($B$2), 0))))</f>
        <v>1Q-2023</v>
      </c>
      <c r="F5" s="273" t="str">
        <f>IF(INT(MONTH($B$2))=3, "2"&amp;"Q"&amp;"-"&amp;YEAR($B$2)-1, IF(INT(MONTH($B$2))=6, "3"&amp;"Q"&amp;"-"&amp;YEAR($B$2)-1, IF(INT(MONTH($B$2))=9, "4"&amp;"Q"&amp;"-"&amp;YEAR($B$2)-1,IF(INT(MONTH($B$2))=12, "1"&amp;"Q"&amp;"-"&amp;YEAR($B$2), 0))))</f>
        <v>4Q-2022</v>
      </c>
      <c r="G5" s="274" t="str">
        <f>IF(INT(MONTH($B$2))=3, "1"&amp;"Q"&amp;"-"&amp;YEAR($B$2)-1, IF(INT(MONTH($B$2))=6, "2"&amp;"Q"&amp;"-"&amp;YEAR($B$2)-1, IF(INT(MONTH($B$2))=9, "3"&amp;"Q"&amp;"-"&amp;YEAR($B$2)-1,IF(INT(MONTH($B$2))=12, "4"&amp;"Q"&amp;"-"&amp;YEAR($B$2)-1, 0))))</f>
        <v>3Q-2022</v>
      </c>
      <c r="I5" s="273" t="s">
        <v>1008</v>
      </c>
      <c r="J5" s="273" t="s">
        <v>1009</v>
      </c>
    </row>
    <row r="6" spans="1:10" ht="15">
      <c r="A6" s="723"/>
      <c r="B6" s="724" t="s">
        <v>106</v>
      </c>
      <c r="C6" s="169"/>
      <c r="D6" s="169"/>
      <c r="E6" s="169"/>
      <c r="F6" s="169"/>
      <c r="G6" s="170"/>
      <c r="I6" s="169"/>
      <c r="J6" s="169"/>
    </row>
    <row r="7" spans="1:10" ht="15">
      <c r="A7" s="723"/>
      <c r="B7" s="725" t="s">
        <v>110</v>
      </c>
      <c r="C7" s="169"/>
      <c r="D7" s="169"/>
      <c r="E7" s="169"/>
      <c r="F7" s="169"/>
      <c r="G7" s="170"/>
      <c r="I7" s="169"/>
      <c r="J7" s="169"/>
    </row>
    <row r="8" spans="1:10" ht="15">
      <c r="A8" s="726">
        <v>1</v>
      </c>
      <c r="B8" s="727" t="s">
        <v>22</v>
      </c>
      <c r="C8" s="502">
        <v>3867685014.0982533</v>
      </c>
      <c r="D8" s="502">
        <v>3757669543.8987885</v>
      </c>
      <c r="E8" s="502">
        <v>3819677641.2357626</v>
      </c>
      <c r="F8" s="502">
        <v>3557672511.5713964</v>
      </c>
      <c r="G8" s="502">
        <v>3446489628.4953346</v>
      </c>
      <c r="I8" s="502">
        <v>2982748457.1136999</v>
      </c>
      <c r="J8" s="502">
        <v>2982748457.1136999</v>
      </c>
    </row>
    <row r="9" spans="1:10" ht="15">
      <c r="A9" s="726">
        <v>2</v>
      </c>
      <c r="B9" s="727" t="s">
        <v>86</v>
      </c>
      <c r="C9" s="502">
        <v>4269430014.0982533</v>
      </c>
      <c r="D9" s="502">
        <v>4150324543.8987885</v>
      </c>
      <c r="E9" s="502">
        <v>4203737641.2357626</v>
      </c>
      <c r="F9" s="502">
        <v>3962972511.5713964</v>
      </c>
      <c r="G9" s="502">
        <v>3871769628.4953346</v>
      </c>
      <c r="I9" s="502">
        <v>3388048457.1136999</v>
      </c>
      <c r="J9" s="502">
        <v>3388048457.1136999</v>
      </c>
    </row>
    <row r="10" spans="1:10" ht="15">
      <c r="A10" s="726">
        <v>3</v>
      </c>
      <c r="B10" s="727" t="s">
        <v>85</v>
      </c>
      <c r="C10" s="502">
        <v>4733177659.0982533</v>
      </c>
      <c r="D10" s="502">
        <v>4535126443.8987885</v>
      </c>
      <c r="E10" s="502">
        <v>4580116441.2357626</v>
      </c>
      <c r="F10" s="502">
        <v>4360166511.5713959</v>
      </c>
      <c r="G10" s="502">
        <v>4288544028.4953346</v>
      </c>
      <c r="I10" s="502">
        <v>4006280547.7389746</v>
      </c>
      <c r="J10" s="502">
        <v>4006280547.7389746</v>
      </c>
    </row>
    <row r="11" spans="1:10" ht="15">
      <c r="A11" s="726">
        <v>4</v>
      </c>
      <c r="B11" s="727" t="s">
        <v>444</v>
      </c>
      <c r="C11" s="502">
        <v>3065433713.2246437</v>
      </c>
      <c r="D11" s="502">
        <v>2940685916.6694717</v>
      </c>
      <c r="E11" s="502">
        <v>2855134659.7230096</v>
      </c>
      <c r="F11" s="502">
        <v>2914110647.4147873</v>
      </c>
      <c r="G11" s="502">
        <v>2721215891.1107802</v>
      </c>
      <c r="I11" s="502">
        <v>2353590996.5320168</v>
      </c>
      <c r="J11" s="502">
        <v>2353590996.5320168</v>
      </c>
    </row>
    <row r="12" spans="1:10" ht="15">
      <c r="A12" s="726">
        <v>5</v>
      </c>
      <c r="B12" s="727" t="s">
        <v>445</v>
      </c>
      <c r="C12" s="502">
        <v>3529285843.6501536</v>
      </c>
      <c r="D12" s="502">
        <v>3389368477.255054</v>
      </c>
      <c r="E12" s="502">
        <v>3290269862.0242205</v>
      </c>
      <c r="F12" s="502">
        <v>3358592822.0696516</v>
      </c>
      <c r="G12" s="502">
        <v>3153413560.9406104</v>
      </c>
      <c r="I12" s="502">
        <v>2801374929.8888588</v>
      </c>
      <c r="J12" s="502">
        <v>2801374929.8888588</v>
      </c>
    </row>
    <row r="13" spans="1:10" ht="15">
      <c r="A13" s="726">
        <v>6</v>
      </c>
      <c r="B13" s="727" t="s">
        <v>446</v>
      </c>
      <c r="C13" s="502">
        <v>4145112699.3201041</v>
      </c>
      <c r="D13" s="502">
        <v>3985030826.5030212</v>
      </c>
      <c r="E13" s="502">
        <v>3867981827.7161779</v>
      </c>
      <c r="F13" s="502">
        <v>4045687486.3451557</v>
      </c>
      <c r="G13" s="502">
        <v>3821246948.731493</v>
      </c>
      <c r="I13" s="502">
        <v>3494089019.8147717</v>
      </c>
      <c r="J13" s="502">
        <v>3494089019.8147717</v>
      </c>
    </row>
    <row r="14" spans="1:10" ht="15">
      <c r="A14" s="723"/>
      <c r="B14" s="724" t="s">
        <v>448</v>
      </c>
      <c r="C14" s="169"/>
      <c r="D14" s="169"/>
      <c r="E14" s="169"/>
      <c r="F14" s="169"/>
      <c r="G14" s="169"/>
      <c r="I14" s="169"/>
      <c r="J14" s="169"/>
    </row>
    <row r="15" spans="1:10" ht="25.5">
      <c r="A15" s="726">
        <v>7</v>
      </c>
      <c r="B15" s="727" t="s">
        <v>447</v>
      </c>
      <c r="C15" s="503">
        <v>20881399418.256905</v>
      </c>
      <c r="D15" s="503">
        <v>20104124214.365334</v>
      </c>
      <c r="E15" s="503">
        <v>19629458123.386345</v>
      </c>
      <c r="F15" s="503">
        <v>20067386138.757961</v>
      </c>
      <c r="G15" s="503">
        <v>19487517345.256264</v>
      </c>
      <c r="I15" s="503">
        <v>20279423868.18718</v>
      </c>
      <c r="J15" s="503">
        <v>20279423868.18718</v>
      </c>
    </row>
    <row r="16" spans="1:10" ht="15">
      <c r="A16" s="723"/>
      <c r="B16" s="724" t="s">
        <v>451</v>
      </c>
      <c r="C16" s="169"/>
      <c r="D16" s="169"/>
      <c r="E16" s="169"/>
      <c r="F16" s="169"/>
      <c r="G16" s="169"/>
      <c r="I16" s="169"/>
      <c r="J16" s="169"/>
    </row>
    <row r="17" spans="1:10" s="3" customFormat="1" ht="15">
      <c r="A17" s="726"/>
      <c r="B17" s="725" t="s">
        <v>434</v>
      </c>
      <c r="C17" s="169"/>
      <c r="D17" s="169"/>
      <c r="E17" s="169"/>
      <c r="F17" s="169"/>
      <c r="G17" s="169"/>
      <c r="I17" s="169"/>
      <c r="J17" s="169"/>
    </row>
    <row r="18" spans="1:10" ht="15">
      <c r="A18" s="728">
        <v>8</v>
      </c>
      <c r="B18" s="729" t="s">
        <v>442</v>
      </c>
      <c r="C18" s="504">
        <v>0.1852215427054511</v>
      </c>
      <c r="D18" s="504">
        <v>0.18691038235894694</v>
      </c>
      <c r="E18" s="504">
        <v>0.19458905168070004</v>
      </c>
      <c r="F18" s="504">
        <v>0.17728629363941631</v>
      </c>
      <c r="G18" s="504">
        <v>0.17685626996166826</v>
      </c>
      <c r="I18" s="504">
        <v>0.14708250473490073</v>
      </c>
      <c r="J18" s="504">
        <v>0.14708250473490073</v>
      </c>
    </row>
    <row r="19" spans="1:10" ht="15">
      <c r="A19" s="728">
        <v>9</v>
      </c>
      <c r="B19" s="729" t="s">
        <v>441</v>
      </c>
      <c r="C19" s="505">
        <v>0.20446091416485382</v>
      </c>
      <c r="D19" s="505">
        <v>0.20644144950781732</v>
      </c>
      <c r="E19" s="505">
        <v>0.21415454338128012</v>
      </c>
      <c r="F19" s="505">
        <v>0.1974832439147293</v>
      </c>
      <c r="G19" s="505">
        <v>0.19867947055030166</v>
      </c>
      <c r="I19" s="505">
        <v>0.16706827960870294</v>
      </c>
      <c r="J19" s="505">
        <v>0.16706827960870294</v>
      </c>
    </row>
    <row r="20" spans="1:10" ht="15">
      <c r="A20" s="728">
        <v>10</v>
      </c>
      <c r="B20" s="729" t="s">
        <v>443</v>
      </c>
      <c r="C20" s="504">
        <v>0.22666956195282431</v>
      </c>
      <c r="D20" s="504">
        <v>0.22558189531371028</v>
      </c>
      <c r="E20" s="504">
        <v>0.23332872524784862</v>
      </c>
      <c r="F20" s="504">
        <v>0.21727625518453603</v>
      </c>
      <c r="G20" s="504">
        <v>0.22006620712716238</v>
      </c>
      <c r="I20" s="504">
        <v>0.19755396276438225</v>
      </c>
      <c r="J20" s="504">
        <v>0.19755396276438225</v>
      </c>
    </row>
    <row r="21" spans="1:10" ht="15">
      <c r="A21" s="728">
        <v>11</v>
      </c>
      <c r="B21" s="727" t="s">
        <v>444</v>
      </c>
      <c r="C21" s="504">
        <v>0.14680212048166136</v>
      </c>
      <c r="D21" s="504">
        <v>0.14627276897584102</v>
      </c>
      <c r="E21" s="504">
        <v>0.14545152707610559</v>
      </c>
      <c r="F21" s="504">
        <v>0.14521625423784024</v>
      </c>
      <c r="G21" s="504">
        <v>0.13963892079732723</v>
      </c>
      <c r="I21" s="504">
        <v>0.1160580799449708</v>
      </c>
      <c r="J21" s="504">
        <v>0.1160580799449708</v>
      </c>
    </row>
    <row r="22" spans="1:10" ht="15">
      <c r="A22" s="728">
        <v>12</v>
      </c>
      <c r="B22" s="727" t="s">
        <v>445</v>
      </c>
      <c r="C22" s="504">
        <v>0.16901577202553048</v>
      </c>
      <c r="D22" s="504">
        <v>0.16859070512672183</v>
      </c>
      <c r="E22" s="504">
        <v>0.16761898577853379</v>
      </c>
      <c r="F22" s="504">
        <v>0.16736573457281997</v>
      </c>
      <c r="G22" s="504">
        <v>0.16181710092015533</v>
      </c>
      <c r="I22" s="504">
        <v>0.13813878284202358</v>
      </c>
      <c r="J22" s="504">
        <v>0.13813878284202358</v>
      </c>
    </row>
    <row r="23" spans="1:10" ht="15">
      <c r="A23" s="728">
        <v>13</v>
      </c>
      <c r="B23" s="727" t="s">
        <v>446</v>
      </c>
      <c r="C23" s="504">
        <v>0.19850741879377937</v>
      </c>
      <c r="D23" s="504">
        <v>0.19821956848314393</v>
      </c>
      <c r="E23" s="504">
        <v>0.1970498524922551</v>
      </c>
      <c r="F23" s="504">
        <v>0.20160510483880872</v>
      </c>
      <c r="G23" s="504">
        <v>0.19608690430039194</v>
      </c>
      <c r="I23" s="504">
        <v>0.17229725274868549</v>
      </c>
      <c r="J23" s="504">
        <v>0.17229725274868549</v>
      </c>
    </row>
    <row r="24" spans="1:10" ht="15">
      <c r="A24" s="723"/>
      <c r="B24" s="724" t="s">
        <v>6</v>
      </c>
      <c r="C24" s="169"/>
      <c r="D24" s="169"/>
      <c r="E24" s="169"/>
      <c r="F24" s="169"/>
      <c r="G24" s="169"/>
      <c r="I24" s="169"/>
      <c r="J24" s="169"/>
    </row>
    <row r="25" spans="1:10" ht="15">
      <c r="A25" s="730">
        <v>14</v>
      </c>
      <c r="B25" s="731" t="s">
        <v>7</v>
      </c>
      <c r="C25" s="506">
        <v>9.5621622798280084E-2</v>
      </c>
      <c r="D25" s="506">
        <v>9.542477006575549E-2</v>
      </c>
      <c r="E25" s="506">
        <v>9.2768633717890223E-2</v>
      </c>
      <c r="F25" s="506">
        <v>8.8114790879296287E-2</v>
      </c>
      <c r="G25" s="506">
        <v>8.7680168716091453E-2</v>
      </c>
      <c r="I25" s="506">
        <v>8.8767534418935784E-2</v>
      </c>
      <c r="J25" s="506">
        <v>8.8767534418935784E-2</v>
      </c>
    </row>
    <row r="26" spans="1:10" ht="15">
      <c r="A26" s="730">
        <v>15</v>
      </c>
      <c r="B26" s="731" t="s">
        <v>8</v>
      </c>
      <c r="C26" s="506">
        <v>3.9800840818655869E-2</v>
      </c>
      <c r="D26" s="506">
        <v>3.9707953374135393E-2</v>
      </c>
      <c r="E26" s="506">
        <v>3.861247605381958E-2</v>
      </c>
      <c r="F26" s="506">
        <v>4.1973210181174024E-2</v>
      </c>
      <c r="G26" s="506">
        <v>4.2657799545441015E-2</v>
      </c>
      <c r="I26" s="506">
        <v>4.2714003128115741E-2</v>
      </c>
      <c r="J26" s="506">
        <v>4.2714003128115741E-2</v>
      </c>
    </row>
    <row r="27" spans="1:10" ht="15">
      <c r="A27" s="728">
        <v>16</v>
      </c>
      <c r="B27" s="727" t="s">
        <v>9</v>
      </c>
      <c r="C27" s="504">
        <v>6.2371009903326544E-2</v>
      </c>
      <c r="D27" s="504">
        <v>6.3631443990687792E-2</v>
      </c>
      <c r="E27" s="504">
        <v>5.7088555461420276E-2</v>
      </c>
      <c r="F27" s="504">
        <v>5.2087845896672279E-2</v>
      </c>
      <c r="G27" s="504">
        <v>5.0243739736473385E-2</v>
      </c>
      <c r="I27" s="504">
        <v>4.9921691511836966E-2</v>
      </c>
      <c r="J27" s="504">
        <v>4.9921691511836966E-2</v>
      </c>
    </row>
    <row r="28" spans="1:10" ht="15">
      <c r="A28" s="730">
        <v>17</v>
      </c>
      <c r="B28" s="731" t="s">
        <v>140</v>
      </c>
      <c r="C28" s="506">
        <v>5.5820781979624222E-2</v>
      </c>
      <c r="D28" s="506">
        <v>5.571681669162009E-2</v>
      </c>
      <c r="E28" s="506">
        <v>5.4156157664070642E-2</v>
      </c>
      <c r="F28" s="506">
        <v>4.614158069812227E-2</v>
      </c>
      <c r="G28" s="506">
        <v>4.5022369170650431E-2</v>
      </c>
      <c r="I28" s="506">
        <v>4.605353129082005E-2</v>
      </c>
      <c r="J28" s="506">
        <v>4.605353129082005E-2</v>
      </c>
    </row>
    <row r="29" spans="1:10" ht="15">
      <c r="A29" s="730">
        <v>18</v>
      </c>
      <c r="B29" s="731" t="s">
        <v>10</v>
      </c>
      <c r="C29" s="506">
        <v>4.8575042235387556E-2</v>
      </c>
      <c r="D29" s="506">
        <v>4.9556593938525649E-2</v>
      </c>
      <c r="E29" s="506">
        <v>4.2890222353269288E-2</v>
      </c>
      <c r="F29" s="506">
        <v>3.9388602337700328E-2</v>
      </c>
      <c r="G29" s="506">
        <v>4.0543324273692713E-2</v>
      </c>
      <c r="I29" s="506">
        <v>3.5783648087918236E-2</v>
      </c>
      <c r="J29" s="506">
        <v>3.5783648087918236E-2</v>
      </c>
    </row>
    <row r="30" spans="1:10" ht="15">
      <c r="A30" s="730">
        <v>19</v>
      </c>
      <c r="B30" s="731" t="s">
        <v>11</v>
      </c>
      <c r="C30" s="506">
        <v>0.33319876429370743</v>
      </c>
      <c r="D30" s="506">
        <v>0.3363102400231765</v>
      </c>
      <c r="E30" s="506">
        <v>0.28951508462138309</v>
      </c>
      <c r="F30" s="506">
        <v>0.28544320613548568</v>
      </c>
      <c r="G30" s="506">
        <v>0.29442621296971527</v>
      </c>
      <c r="I30" s="506">
        <v>0.3099131705906864</v>
      </c>
      <c r="J30" s="506">
        <v>0.3099131705906864</v>
      </c>
    </row>
    <row r="31" spans="1:10" ht="15">
      <c r="A31" s="723"/>
      <c r="B31" s="724" t="s">
        <v>12</v>
      </c>
      <c r="C31" s="169"/>
      <c r="D31" s="169"/>
      <c r="E31" s="169"/>
      <c r="F31" s="169"/>
      <c r="G31" s="169"/>
      <c r="I31" s="169"/>
      <c r="J31" s="169"/>
    </row>
    <row r="32" spans="1:10" ht="15">
      <c r="A32" s="730">
        <v>20</v>
      </c>
      <c r="B32" s="731" t="s">
        <v>13</v>
      </c>
      <c r="C32" s="506">
        <v>2.9089580205901949E-2</v>
      </c>
      <c r="D32" s="506">
        <v>2.8564705143315616E-2</v>
      </c>
      <c r="E32" s="506">
        <v>2.9565552885403388E-2</v>
      </c>
      <c r="F32" s="506">
        <v>3.4341868541323976E-2</v>
      </c>
      <c r="G32" s="506">
        <v>3.5571119016606062E-2</v>
      </c>
      <c r="I32" s="506">
        <v>4.160824196181083E-2</v>
      </c>
      <c r="J32" s="506">
        <v>4.160824196181083E-2</v>
      </c>
    </row>
    <row r="33" spans="1:10" ht="15">
      <c r="A33" s="730">
        <v>21</v>
      </c>
      <c r="B33" s="731" t="s">
        <v>955</v>
      </c>
      <c r="C33" s="506">
        <v>1.6470366676108669E-2</v>
      </c>
      <c r="D33" s="506">
        <v>1.6378397881122254E-2</v>
      </c>
      <c r="E33" s="506">
        <v>1.7318520868615354E-2</v>
      </c>
      <c r="F33" s="506">
        <v>1.8249052034021183E-2</v>
      </c>
      <c r="G33" s="506">
        <v>2.1762402888897973E-2</v>
      </c>
      <c r="I33" s="506">
        <v>3.8135547399584725E-2</v>
      </c>
      <c r="J33" s="506">
        <v>3.8135547399584725E-2</v>
      </c>
    </row>
    <row r="34" spans="1:10" ht="15">
      <c r="A34" s="730">
        <v>22</v>
      </c>
      <c r="B34" s="731" t="s">
        <v>14</v>
      </c>
      <c r="C34" s="506">
        <v>0.43565972197540165</v>
      </c>
      <c r="D34" s="679">
        <v>0.44148960193291531</v>
      </c>
      <c r="E34" s="679">
        <v>0.44381708047734547</v>
      </c>
      <c r="F34" s="679">
        <v>0.4539183591186205</v>
      </c>
      <c r="G34" s="679">
        <v>0.45409414557386008</v>
      </c>
      <c r="I34" s="679">
        <v>0.45452891981612425</v>
      </c>
      <c r="J34" s="679">
        <v>0.45452891981612425</v>
      </c>
    </row>
    <row r="35" spans="1:10" ht="15">
      <c r="A35" s="730">
        <v>23</v>
      </c>
      <c r="B35" s="731" t="s">
        <v>15</v>
      </c>
      <c r="C35" s="506">
        <v>0.4630507727380872</v>
      </c>
      <c r="D35" s="679">
        <v>0.47051533695238551</v>
      </c>
      <c r="E35" s="679">
        <v>0.48443837898142</v>
      </c>
      <c r="F35" s="679">
        <v>0.50365280888491037</v>
      </c>
      <c r="G35" s="679">
        <v>0.49128173894090266</v>
      </c>
      <c r="I35" s="679">
        <v>0.50488933534922864</v>
      </c>
      <c r="J35" s="679">
        <v>0.50488933534922864</v>
      </c>
    </row>
    <row r="36" spans="1:10" ht="15">
      <c r="A36" s="730">
        <v>24</v>
      </c>
      <c r="B36" s="731" t="s">
        <v>16</v>
      </c>
      <c r="C36" s="506">
        <v>0.11379827273917548</v>
      </c>
      <c r="D36" s="679">
        <v>7.8812286782515159E-2</v>
      </c>
      <c r="E36" s="679">
        <v>8.0734668738815935E-3</v>
      </c>
      <c r="F36" s="679">
        <v>5.8608812799010784E-2</v>
      </c>
      <c r="G36" s="679">
        <v>1.7869017785920243E-2</v>
      </c>
      <c r="I36" s="506">
        <v>6.0565284854615729E-2</v>
      </c>
      <c r="J36" s="506">
        <v>6.0565284854615729E-2</v>
      </c>
    </row>
    <row r="37" spans="1:10" ht="15">
      <c r="A37" s="723"/>
      <c r="B37" s="724" t="s">
        <v>17</v>
      </c>
      <c r="C37" s="169"/>
      <c r="D37" s="169"/>
      <c r="E37" s="169"/>
      <c r="F37" s="169"/>
      <c r="G37" s="169"/>
      <c r="I37" s="169"/>
      <c r="J37" s="169"/>
    </row>
    <row r="38" spans="1:10" ht="15">
      <c r="A38" s="730">
        <v>25</v>
      </c>
      <c r="B38" s="731" t="s">
        <v>18</v>
      </c>
      <c r="C38" s="506">
        <v>0.26793038643016054</v>
      </c>
      <c r="D38" s="506">
        <v>0.22827240674996019</v>
      </c>
      <c r="E38" s="506">
        <v>0.24676003258559462</v>
      </c>
      <c r="F38" s="506">
        <v>0.22100453014507843</v>
      </c>
      <c r="G38" s="732">
        <v>0.25407867579901061</v>
      </c>
      <c r="I38" s="506">
        <v>0.22531195922271671</v>
      </c>
      <c r="J38" s="506">
        <v>0.22531195922271671</v>
      </c>
    </row>
    <row r="39" spans="1:10" ht="15">
      <c r="A39" s="730">
        <v>26</v>
      </c>
      <c r="B39" s="731" t="s">
        <v>19</v>
      </c>
      <c r="C39" s="506">
        <v>0.5232191096151273</v>
      </c>
      <c r="D39" s="680">
        <v>0.53343425724843652</v>
      </c>
      <c r="E39" s="680">
        <v>0.55011265662741282</v>
      </c>
      <c r="F39" s="680">
        <v>0.55655054270938875</v>
      </c>
      <c r="G39" s="680">
        <v>0.55854953743888169</v>
      </c>
      <c r="I39" s="680">
        <v>0.56278921149536698</v>
      </c>
      <c r="J39" s="680">
        <v>0.56278921149536698</v>
      </c>
    </row>
    <row r="40" spans="1:10" ht="15">
      <c r="A40" s="730">
        <v>27</v>
      </c>
      <c r="B40" s="731" t="s">
        <v>20</v>
      </c>
      <c r="C40" s="680">
        <v>0.40880755484973363</v>
      </c>
      <c r="D40" s="680">
        <v>0.40433456515363331</v>
      </c>
      <c r="E40" s="680">
        <v>0.38906478334319772</v>
      </c>
      <c r="F40" s="680">
        <v>0.38096756107627328</v>
      </c>
      <c r="G40" s="680">
        <v>0.36621481930388761</v>
      </c>
      <c r="I40" s="506">
        <v>0.38921943366681128</v>
      </c>
      <c r="J40" s="506">
        <v>0.38921943366681128</v>
      </c>
    </row>
    <row r="41" spans="1:10" ht="15">
      <c r="A41" s="733"/>
      <c r="B41" s="724" t="s">
        <v>355</v>
      </c>
      <c r="C41" s="169"/>
      <c r="D41" s="169"/>
      <c r="E41" s="169"/>
      <c r="F41" s="169"/>
      <c r="G41" s="169"/>
      <c r="I41" s="169"/>
      <c r="J41" s="169"/>
    </row>
    <row r="42" spans="1:10" ht="15">
      <c r="A42" s="730">
        <v>28</v>
      </c>
      <c r="B42" s="734" t="s">
        <v>339</v>
      </c>
      <c r="C42" s="681">
        <v>7198479965.8504152</v>
      </c>
      <c r="D42" s="681">
        <v>6701507805.3842936</v>
      </c>
      <c r="E42" s="681">
        <v>6952177514.1958275</v>
      </c>
      <c r="F42" s="681"/>
      <c r="G42" s="681"/>
      <c r="I42" s="681">
        <v>6988272509.9606028</v>
      </c>
      <c r="J42" s="681">
        <v>6988272509.9606028</v>
      </c>
    </row>
    <row r="43" spans="1:10" ht="15">
      <c r="A43" s="730">
        <v>29</v>
      </c>
      <c r="B43" s="731" t="s">
        <v>340</v>
      </c>
      <c r="C43" s="681">
        <v>5859332623.5676775</v>
      </c>
      <c r="D43" s="681">
        <v>5592369356.7278357</v>
      </c>
      <c r="E43" s="682">
        <v>5391049989.3087015</v>
      </c>
      <c r="F43" s="682"/>
      <c r="G43" s="682"/>
      <c r="I43" s="682">
        <v>5540173711.2260056</v>
      </c>
      <c r="J43" s="682">
        <v>5540173711.2260056</v>
      </c>
    </row>
    <row r="44" spans="1:10" ht="15">
      <c r="A44" s="735">
        <v>30</v>
      </c>
      <c r="B44" s="736" t="s">
        <v>338</v>
      </c>
      <c r="C44" s="737">
        <v>1.2285494660085277</v>
      </c>
      <c r="D44" s="737">
        <v>1.1983306856014655</v>
      </c>
      <c r="E44" s="680">
        <v>1.2895776384902917</v>
      </c>
      <c r="F44" s="681"/>
      <c r="G44" s="681"/>
      <c r="I44" s="680">
        <v>1.2613814790320252</v>
      </c>
      <c r="J44" s="680">
        <v>1.2613814790320252</v>
      </c>
    </row>
    <row r="45" spans="1:10" ht="15">
      <c r="A45" s="735"/>
      <c r="B45" s="724" t="s">
        <v>452</v>
      </c>
      <c r="C45" s="169"/>
      <c r="D45" s="169"/>
      <c r="E45" s="169"/>
      <c r="F45" s="169"/>
      <c r="G45" s="169"/>
      <c r="I45" s="169"/>
      <c r="J45" s="169"/>
    </row>
    <row r="46" spans="1:10" ht="15">
      <c r="A46" s="735">
        <v>31</v>
      </c>
      <c r="B46" s="736" t="s">
        <v>459</v>
      </c>
      <c r="C46" s="502">
        <v>19746511087.860947</v>
      </c>
      <c r="D46" s="502">
        <v>17926162385.25201</v>
      </c>
      <c r="E46" s="502">
        <v>17292859996.864712</v>
      </c>
      <c r="F46" s="502">
        <v>17279930786.49155</v>
      </c>
      <c r="G46" s="502">
        <v>17279930786.49155</v>
      </c>
      <c r="I46" s="502">
        <v>16753276419.491652</v>
      </c>
      <c r="J46" s="502">
        <v>16753276419.491652</v>
      </c>
    </row>
    <row r="47" spans="1:10" ht="15">
      <c r="A47" s="735">
        <v>32</v>
      </c>
      <c r="B47" s="736" t="s">
        <v>472</v>
      </c>
      <c r="C47" s="502">
        <v>14684325366.465359</v>
      </c>
      <c r="D47" s="502">
        <v>13978780620.87665</v>
      </c>
      <c r="E47" s="502">
        <v>13287959775.311371</v>
      </c>
      <c r="F47" s="502">
        <v>13224505886.799133</v>
      </c>
      <c r="G47" s="502">
        <v>13224505886.799133</v>
      </c>
      <c r="I47" s="502">
        <v>12699282366.869549</v>
      </c>
      <c r="J47" s="502">
        <v>12699282366.869549</v>
      </c>
    </row>
    <row r="48" spans="1:10" ht="15.75" thickBot="1">
      <c r="A48" s="738">
        <v>33</v>
      </c>
      <c r="B48" s="739" t="s">
        <v>486</v>
      </c>
      <c r="C48" s="740">
        <v>1.3447339659849895</v>
      </c>
      <c r="D48" s="740">
        <v>1.2823838410111488</v>
      </c>
      <c r="E48" s="740">
        <v>1.3013931626278945</v>
      </c>
      <c r="F48" s="740">
        <v>1.3066598430524798</v>
      </c>
      <c r="G48" s="740">
        <v>1.3066598430524798</v>
      </c>
      <c r="I48" s="740">
        <v>1.319230168721844</v>
      </c>
      <c r="J48" s="740">
        <v>1.319230168721844</v>
      </c>
    </row>
    <row r="49" spans="1:2" ht="15.75">
      <c r="A49" s="16"/>
    </row>
    <row r="50" spans="1:2" ht="39.75">
      <c r="B50" s="19" t="s">
        <v>942</v>
      </c>
    </row>
    <row r="51" spans="1:2" ht="65.25">
      <c r="B51" s="202" t="s">
        <v>354</v>
      </c>
    </row>
  </sheetData>
  <pageMargins left="0.7" right="0.7" top="0.75" bottom="0.75" header="0.3" footer="0.3"/>
  <pageSetup paperSize="9" scale="3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zoomScaleNormal="100" workbookViewId="0"/>
  </sheetViews>
  <sheetFormatPr defaultColWidth="9.140625" defaultRowHeight="12.75"/>
  <cols>
    <col min="1" max="1" width="11.85546875" style="316" bestFit="1" customWidth="1"/>
    <col min="2" max="2" width="105.140625" style="316" bestFit="1" customWidth="1"/>
    <col min="3" max="3" width="19.42578125" style="510" bestFit="1" customWidth="1"/>
    <col min="4" max="4" width="22.42578125" style="510" bestFit="1" customWidth="1"/>
    <col min="5" max="6" width="19.42578125" style="510" bestFit="1" customWidth="1"/>
    <col min="7" max="7" width="36" style="510" bestFit="1" customWidth="1"/>
    <col min="8" max="8" width="20.7109375" style="510" customWidth="1"/>
    <col min="9" max="9" width="17" style="510" bestFit="1" customWidth="1"/>
    <col min="10" max="10" width="9.140625" style="316"/>
    <col min="11" max="11" width="18.42578125" style="316" customWidth="1"/>
    <col min="12" max="16384" width="9.140625" style="316"/>
  </cols>
  <sheetData>
    <row r="1" spans="1:11" ht="13.5">
      <c r="A1" s="315" t="s">
        <v>108</v>
      </c>
      <c r="B1" s="262" t="str">
        <f>Info!C2</f>
        <v>სს ”საქართველოს ბანკი”</v>
      </c>
    </row>
    <row r="2" spans="1:11">
      <c r="A2" s="317" t="s">
        <v>109</v>
      </c>
      <c r="B2" s="319">
        <f>'1. key ratios'!B2</f>
        <v>45199</v>
      </c>
    </row>
    <row r="3" spans="1:11">
      <c r="A3" s="318" t="s">
        <v>492</v>
      </c>
    </row>
    <row r="5" spans="1:11">
      <c r="A5" s="835" t="s">
        <v>493</v>
      </c>
      <c r="B5" s="836"/>
      <c r="C5" s="841" t="s">
        <v>494</v>
      </c>
      <c r="D5" s="842"/>
      <c r="E5" s="842"/>
      <c r="F5" s="842"/>
      <c r="G5" s="842"/>
      <c r="H5" s="843"/>
    </row>
    <row r="6" spans="1:11">
      <c r="A6" s="837"/>
      <c r="B6" s="838"/>
      <c r="C6" s="844"/>
      <c r="D6" s="845"/>
      <c r="E6" s="845"/>
      <c r="F6" s="845"/>
      <c r="G6" s="845"/>
      <c r="H6" s="846"/>
    </row>
    <row r="7" spans="1:11">
      <c r="A7" s="839"/>
      <c r="B7" s="840"/>
      <c r="C7" s="511" t="s">
        <v>495</v>
      </c>
      <c r="D7" s="511" t="s">
        <v>496</v>
      </c>
      <c r="E7" s="511" t="s">
        <v>497</v>
      </c>
      <c r="F7" s="511" t="s">
        <v>498</v>
      </c>
      <c r="G7" s="512" t="s">
        <v>678</v>
      </c>
      <c r="H7" s="511" t="s">
        <v>66</v>
      </c>
    </row>
    <row r="8" spans="1:11" ht="15">
      <c r="A8" s="344">
        <v>1</v>
      </c>
      <c r="B8" s="343" t="s">
        <v>134</v>
      </c>
      <c r="C8" s="513">
        <v>2541080989.4400001</v>
      </c>
      <c r="D8" s="513">
        <v>2211427340.2479997</v>
      </c>
      <c r="E8" s="513">
        <v>1248050951.1414998</v>
      </c>
      <c r="F8" s="513">
        <v>408801706.6541</v>
      </c>
      <c r="G8" s="513">
        <v>0</v>
      </c>
      <c r="H8" s="756">
        <f t="shared" ref="H8:H20" si="0">SUM(C8:G8)</f>
        <v>6409360987.4835997</v>
      </c>
    </row>
    <row r="9" spans="1:11" ht="15">
      <c r="A9" s="344">
        <v>2</v>
      </c>
      <c r="B9" s="343" t="s">
        <v>135</v>
      </c>
      <c r="C9" s="513">
        <v>0</v>
      </c>
      <c r="D9" s="513"/>
      <c r="E9" s="513"/>
      <c r="F9" s="513"/>
      <c r="G9" s="513">
        <v>0</v>
      </c>
      <c r="H9" s="756">
        <f t="shared" si="0"/>
        <v>0</v>
      </c>
    </row>
    <row r="10" spans="1:11" ht="15">
      <c r="A10" s="344">
        <v>3</v>
      </c>
      <c r="B10" s="343" t="s">
        <v>136</v>
      </c>
      <c r="C10" s="513"/>
      <c r="D10" s="513"/>
      <c r="E10" s="513"/>
      <c r="F10" s="513"/>
      <c r="G10" s="513"/>
      <c r="H10" s="756">
        <f t="shared" si="0"/>
        <v>0</v>
      </c>
    </row>
    <row r="11" spans="1:11" ht="15">
      <c r="A11" s="344">
        <v>4</v>
      </c>
      <c r="B11" s="343" t="s">
        <v>137</v>
      </c>
      <c r="C11" s="513"/>
      <c r="D11" s="513">
        <v>38807969.299999997</v>
      </c>
      <c r="E11" s="513">
        <v>910135887.24000013</v>
      </c>
      <c r="F11" s="513">
        <v>0</v>
      </c>
      <c r="G11" s="513"/>
      <c r="H11" s="756">
        <f t="shared" si="0"/>
        <v>948943856.54000008</v>
      </c>
    </row>
    <row r="12" spans="1:11" ht="15">
      <c r="A12" s="344">
        <v>5</v>
      </c>
      <c r="B12" s="343" t="s">
        <v>946</v>
      </c>
      <c r="C12" s="513"/>
      <c r="D12" s="513"/>
      <c r="E12" s="513"/>
      <c r="F12" s="513"/>
      <c r="G12" s="513"/>
      <c r="H12" s="756">
        <f t="shared" si="0"/>
        <v>0</v>
      </c>
    </row>
    <row r="13" spans="1:11" ht="15">
      <c r="A13" s="344">
        <v>6</v>
      </c>
      <c r="B13" s="343" t="s">
        <v>138</v>
      </c>
      <c r="C13" s="513">
        <v>809615104.62440014</v>
      </c>
      <c r="D13" s="513">
        <v>236661455.92330015</v>
      </c>
      <c r="E13" s="513">
        <v>24979116.357000001</v>
      </c>
      <c r="F13" s="513"/>
      <c r="G13" s="513">
        <v>0</v>
      </c>
      <c r="H13" s="756">
        <f t="shared" si="0"/>
        <v>1071255676.9047003</v>
      </c>
    </row>
    <row r="14" spans="1:11" ht="15">
      <c r="A14" s="344">
        <v>7</v>
      </c>
      <c r="B14" s="343" t="s">
        <v>71</v>
      </c>
      <c r="C14" s="513">
        <v>0</v>
      </c>
      <c r="D14" s="513">
        <v>1791656903.0725245</v>
      </c>
      <c r="E14" s="513">
        <v>2375349480.2201481</v>
      </c>
      <c r="F14" s="513">
        <v>2877744709.1491222</v>
      </c>
      <c r="G14" s="513">
        <v>63873399.505567998</v>
      </c>
      <c r="H14" s="756">
        <f t="shared" si="0"/>
        <v>7108624491.9473629</v>
      </c>
      <c r="K14" s="510"/>
    </row>
    <row r="15" spans="1:11" ht="15">
      <c r="A15" s="344">
        <v>8</v>
      </c>
      <c r="B15" s="345" t="s">
        <v>72</v>
      </c>
      <c r="C15" s="513">
        <v>0</v>
      </c>
      <c r="D15" s="513">
        <v>728037579.6060797</v>
      </c>
      <c r="E15" s="513">
        <v>3228486799.2504959</v>
      </c>
      <c r="F15" s="513">
        <v>2503990585.591466</v>
      </c>
      <c r="G15" s="513">
        <v>26747382.025150709</v>
      </c>
      <c r="H15" s="756">
        <f t="shared" si="0"/>
        <v>6487262346.4731922</v>
      </c>
    </row>
    <row r="16" spans="1:11" ht="15">
      <c r="A16" s="344">
        <v>9</v>
      </c>
      <c r="B16" s="343" t="s">
        <v>947</v>
      </c>
      <c r="C16" s="513"/>
      <c r="D16" s="513">
        <v>110733736.27997623</v>
      </c>
      <c r="E16" s="513">
        <v>1073695001.202176</v>
      </c>
      <c r="F16" s="513">
        <v>3235024491.9648876</v>
      </c>
      <c r="G16" s="513">
        <v>4141314.8892522501</v>
      </c>
      <c r="H16" s="756">
        <f t="shared" si="0"/>
        <v>4423594544.3362923</v>
      </c>
    </row>
    <row r="17" spans="1:8" ht="15">
      <c r="A17" s="344">
        <v>10</v>
      </c>
      <c r="B17" s="347" t="s">
        <v>513</v>
      </c>
      <c r="C17" s="513"/>
      <c r="D17" s="513">
        <v>14349596.293276001</v>
      </c>
      <c r="E17" s="513">
        <v>48681134.664970018</v>
      </c>
      <c r="F17" s="513">
        <v>71463244.684965298</v>
      </c>
      <c r="G17" s="513">
        <v>69188584.368236959</v>
      </c>
      <c r="H17" s="756">
        <f t="shared" si="0"/>
        <v>203682560.01144826</v>
      </c>
    </row>
    <row r="18" spans="1:8" ht="15">
      <c r="A18" s="344">
        <v>11</v>
      </c>
      <c r="B18" s="343" t="s">
        <v>68</v>
      </c>
      <c r="C18" s="513"/>
      <c r="D18" s="513">
        <v>1206758.0391056919</v>
      </c>
      <c r="E18" s="513">
        <v>40437227.389979899</v>
      </c>
      <c r="F18" s="513">
        <v>192514459.12279773</v>
      </c>
      <c r="G18" s="513">
        <v>45467475.635097504</v>
      </c>
      <c r="H18" s="756">
        <f t="shared" si="0"/>
        <v>279625920.18698084</v>
      </c>
    </row>
    <row r="19" spans="1:8" ht="15">
      <c r="A19" s="344">
        <v>12</v>
      </c>
      <c r="B19" s="343" t="s">
        <v>69</v>
      </c>
      <c r="C19" s="513"/>
      <c r="D19" s="513"/>
      <c r="E19" s="513"/>
      <c r="F19" s="513"/>
      <c r="G19" s="513"/>
      <c r="H19" s="756">
        <f t="shared" si="0"/>
        <v>0</v>
      </c>
    </row>
    <row r="20" spans="1:8" ht="15">
      <c r="A20" s="346">
        <v>13</v>
      </c>
      <c r="B20" s="345" t="s">
        <v>70</v>
      </c>
      <c r="C20" s="513"/>
      <c r="D20" s="513"/>
      <c r="E20" s="513"/>
      <c r="F20" s="513"/>
      <c r="G20" s="513"/>
      <c r="H20" s="756">
        <f t="shared" si="0"/>
        <v>0</v>
      </c>
    </row>
    <row r="21" spans="1:8" ht="15">
      <c r="A21" s="344">
        <v>14</v>
      </c>
      <c r="B21" s="343" t="s">
        <v>499</v>
      </c>
      <c r="C21" s="513">
        <v>790475911.34200001</v>
      </c>
      <c r="D21" s="513">
        <v>464347074.58159947</v>
      </c>
      <c r="E21" s="513"/>
      <c r="F21" s="513"/>
      <c r="G21" s="513">
        <v>865365189.85000014</v>
      </c>
      <c r="H21" s="756">
        <f>SUM(C21:G21)</f>
        <v>2120188175.7735996</v>
      </c>
    </row>
    <row r="22" spans="1:8">
      <c r="A22" s="342">
        <v>15</v>
      </c>
      <c r="B22" s="341" t="s">
        <v>66</v>
      </c>
      <c r="C22" s="756">
        <f>SUM(C18:C21)+SUM(C8:C16)</f>
        <v>4141172005.4064002</v>
      </c>
      <c r="D22" s="756">
        <f t="shared" ref="D22:H22" si="1">SUM(D18:D21)+SUM(D8:D16)</f>
        <v>5582878817.0505857</v>
      </c>
      <c r="E22" s="756">
        <f t="shared" si="1"/>
        <v>8901134462.8013</v>
      </c>
      <c r="F22" s="756">
        <f t="shared" si="1"/>
        <v>9218075952.4823723</v>
      </c>
      <c r="G22" s="756">
        <f t="shared" si="1"/>
        <v>1005594761.9050686</v>
      </c>
      <c r="H22" s="756">
        <f t="shared" si="1"/>
        <v>28848855999.645725</v>
      </c>
    </row>
    <row r="23" spans="1:8">
      <c r="C23" s="514"/>
      <c r="D23" s="514"/>
      <c r="E23" s="514"/>
      <c r="F23" s="514"/>
      <c r="G23" s="514"/>
      <c r="H23" s="514"/>
    </row>
    <row r="24" spans="1:8">
      <c r="C24" s="514"/>
      <c r="D24" s="514"/>
      <c r="E24" s="514"/>
      <c r="F24" s="514"/>
      <c r="G24" s="514"/>
      <c r="H24" s="514"/>
    </row>
    <row r="26" spans="1:8" ht="38.25">
      <c r="B26" s="336" t="s">
        <v>677</v>
      </c>
    </row>
  </sheetData>
  <mergeCells count="2">
    <mergeCell ref="A5:B7"/>
    <mergeCell ref="C5:H6"/>
  </mergeCells>
  <conditionalFormatting sqref="A5">
    <cfRule type="duplicateValues" dxfId="25" priority="1"/>
    <cfRule type="duplicateValues" dxfId="24" priority="2"/>
  </conditionalFormatting>
  <conditionalFormatting sqref="A5">
    <cfRule type="duplicateValues" dxfId="23"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topLeftCell="B7" zoomScale="70" zoomScaleNormal="70" workbookViewId="0">
      <selection activeCell="G22" sqref="G22"/>
    </sheetView>
  </sheetViews>
  <sheetFormatPr defaultColWidth="9.140625" defaultRowHeight="12.75"/>
  <cols>
    <col min="1" max="1" width="11.85546875" style="320" bestFit="1" customWidth="1"/>
    <col min="2" max="2" width="86.85546875" style="316" customWidth="1"/>
    <col min="3" max="4" width="31.5703125" style="316" customWidth="1"/>
    <col min="5" max="5" width="16.42578125" style="322" bestFit="1" customWidth="1"/>
    <col min="6" max="6" width="14.28515625" style="322" bestFit="1" customWidth="1"/>
    <col min="7" max="7" width="20" style="316" bestFit="1" customWidth="1"/>
    <col min="8" max="8" width="25.140625" style="316" bestFit="1" customWidth="1"/>
    <col min="9" max="9" width="15.28515625" style="316" bestFit="1" customWidth="1"/>
    <col min="10" max="16384" width="9.140625" style="316"/>
  </cols>
  <sheetData>
    <row r="1" spans="1:8" ht="13.5">
      <c r="A1" s="315" t="s">
        <v>108</v>
      </c>
      <c r="B1" s="262" t="str">
        <f>Info!C2</f>
        <v>სს ”საქართველოს ბანკი”</v>
      </c>
      <c r="C1" s="360"/>
      <c r="D1" s="360"/>
      <c r="E1" s="360"/>
      <c r="F1" s="360"/>
      <c r="G1" s="360"/>
      <c r="H1" s="360"/>
    </row>
    <row r="2" spans="1:8">
      <c r="A2" s="317" t="s">
        <v>109</v>
      </c>
      <c r="B2" s="319">
        <f>'1. key ratios'!B2</f>
        <v>45199</v>
      </c>
      <c r="C2" s="360"/>
      <c r="D2" s="360"/>
      <c r="E2" s="360"/>
      <c r="F2" s="360"/>
      <c r="G2" s="360"/>
      <c r="H2" s="360"/>
    </row>
    <row r="3" spans="1:8">
      <c r="A3" s="318" t="s">
        <v>500</v>
      </c>
      <c r="B3" s="360"/>
      <c r="C3" s="360"/>
      <c r="D3" s="360"/>
      <c r="E3" s="360"/>
      <c r="F3" s="360"/>
      <c r="G3" s="360"/>
      <c r="H3" s="360"/>
    </row>
    <row r="4" spans="1:8">
      <c r="A4" s="361"/>
      <c r="B4" s="360"/>
      <c r="C4" s="359" t="s">
        <v>501</v>
      </c>
      <c r="D4" s="359" t="s">
        <v>502</v>
      </c>
      <c r="E4" s="359" t="s">
        <v>503</v>
      </c>
      <c r="F4" s="359" t="s">
        <v>504</v>
      </c>
      <c r="G4" s="359" t="s">
        <v>505</v>
      </c>
      <c r="H4" s="359" t="s">
        <v>506</v>
      </c>
    </row>
    <row r="5" spans="1:8" ht="33.950000000000003" customHeight="1">
      <c r="A5" s="835" t="s">
        <v>866</v>
      </c>
      <c r="B5" s="836"/>
      <c r="C5" s="849" t="s">
        <v>595</v>
      </c>
      <c r="D5" s="849"/>
      <c r="E5" s="849" t="s">
        <v>865</v>
      </c>
      <c r="F5" s="847" t="s">
        <v>864</v>
      </c>
      <c r="G5" s="847" t="s">
        <v>510</v>
      </c>
      <c r="H5" s="357" t="s">
        <v>863</v>
      </c>
    </row>
    <row r="6" spans="1:8" ht="25.5">
      <c r="A6" s="839"/>
      <c r="B6" s="840"/>
      <c r="C6" s="358" t="s">
        <v>511</v>
      </c>
      <c r="D6" s="358" t="s">
        <v>512</v>
      </c>
      <c r="E6" s="849"/>
      <c r="F6" s="848"/>
      <c r="G6" s="848"/>
      <c r="H6" s="357" t="s">
        <v>862</v>
      </c>
    </row>
    <row r="7" spans="1:8" ht="15">
      <c r="A7" s="355">
        <v>1</v>
      </c>
      <c r="B7" s="343" t="s">
        <v>134</v>
      </c>
      <c r="C7" s="513"/>
      <c r="D7" s="513">
        <v>6413599704.5436001</v>
      </c>
      <c r="E7" s="513">
        <v>4238717.0600000005</v>
      </c>
      <c r="F7" s="350"/>
      <c r="G7" s="513"/>
      <c r="H7" s="348">
        <f t="shared" ref="H7:H20" si="0">C7+D7-E7-F7</f>
        <v>6409360987.4835997</v>
      </c>
    </row>
    <row r="8" spans="1:8" ht="14.45" customHeight="1">
      <c r="A8" s="355">
        <v>2</v>
      </c>
      <c r="B8" s="343" t="s">
        <v>135</v>
      </c>
      <c r="C8" s="513"/>
      <c r="D8" s="513"/>
      <c r="E8" s="513"/>
      <c r="F8" s="350"/>
      <c r="G8" s="513"/>
      <c r="H8" s="348">
        <f t="shared" si="0"/>
        <v>0</v>
      </c>
    </row>
    <row r="9" spans="1:8" ht="15">
      <c r="A9" s="355">
        <v>3</v>
      </c>
      <c r="B9" s="343" t="s">
        <v>136</v>
      </c>
      <c r="C9" s="513"/>
      <c r="D9" s="513"/>
      <c r="E9" s="513"/>
      <c r="F9" s="350"/>
      <c r="G9" s="513"/>
      <c r="H9" s="348">
        <f t="shared" si="0"/>
        <v>0</v>
      </c>
    </row>
    <row r="10" spans="1:8" ht="15">
      <c r="A10" s="355">
        <v>4</v>
      </c>
      <c r="B10" s="343" t="s">
        <v>137</v>
      </c>
      <c r="C10" s="513"/>
      <c r="D10" s="513">
        <v>948943856.54000008</v>
      </c>
      <c r="E10" s="513">
        <v>0</v>
      </c>
      <c r="F10" s="350"/>
      <c r="G10" s="513"/>
      <c r="H10" s="348">
        <f t="shared" si="0"/>
        <v>948943856.54000008</v>
      </c>
    </row>
    <row r="11" spans="1:8" ht="15">
      <c r="A11" s="355">
        <v>5</v>
      </c>
      <c r="B11" s="343" t="s">
        <v>946</v>
      </c>
      <c r="C11" s="513"/>
      <c r="D11" s="513"/>
      <c r="E11" s="513"/>
      <c r="F11" s="350"/>
      <c r="G11" s="513"/>
      <c r="H11" s="348">
        <f t="shared" si="0"/>
        <v>0</v>
      </c>
    </row>
    <row r="12" spans="1:8" ht="15">
      <c r="A12" s="355">
        <v>6</v>
      </c>
      <c r="B12" s="343" t="s">
        <v>138</v>
      </c>
      <c r="C12" s="513"/>
      <c r="D12" s="513">
        <f>' 17. Residual Maturity'!H13+E12</f>
        <v>1071416023.6547003</v>
      </c>
      <c r="E12" s="513">
        <v>160346.75</v>
      </c>
      <c r="F12" s="350"/>
      <c r="G12" s="513"/>
      <c r="H12" s="348">
        <f t="shared" si="0"/>
        <v>1071255676.9047003</v>
      </c>
    </row>
    <row r="13" spans="1:8" ht="15">
      <c r="A13" s="355">
        <v>7</v>
      </c>
      <c r="B13" s="343" t="s">
        <v>71</v>
      </c>
      <c r="C13" s="513">
        <v>188512465.68270001</v>
      </c>
      <c r="D13" s="513">
        <v>7021616927.2577906</v>
      </c>
      <c r="E13" s="513">
        <v>101504901.00322811</v>
      </c>
      <c r="F13" s="350"/>
      <c r="G13" s="513">
        <v>394214.05</v>
      </c>
      <c r="H13" s="348">
        <f t="shared" si="0"/>
        <v>7108624491.9372625</v>
      </c>
    </row>
    <row r="14" spans="1:8" ht="15">
      <c r="A14" s="355">
        <v>8</v>
      </c>
      <c r="B14" s="345" t="s">
        <v>72</v>
      </c>
      <c r="C14" s="513">
        <v>268830110.43000001</v>
      </c>
      <c r="D14" s="513">
        <v>6398755170.29</v>
      </c>
      <c r="E14" s="513">
        <v>180322934.24600571</v>
      </c>
      <c r="F14" s="350"/>
      <c r="G14" s="513">
        <v>30848267.789999995</v>
      </c>
      <c r="H14" s="348">
        <f t="shared" si="0"/>
        <v>6487262346.4739943</v>
      </c>
    </row>
    <row r="15" spans="1:8" ht="15">
      <c r="A15" s="355">
        <v>9</v>
      </c>
      <c r="B15" s="343" t="s">
        <v>947</v>
      </c>
      <c r="C15" s="513">
        <v>98948847.469999999</v>
      </c>
      <c r="D15" s="513">
        <v>4348963949.5799999</v>
      </c>
      <c r="E15" s="513">
        <v>24318252.708714243</v>
      </c>
      <c r="F15" s="350"/>
      <c r="G15" s="513">
        <v>992916.08</v>
      </c>
      <c r="H15" s="348">
        <f t="shared" si="0"/>
        <v>4423594544.3412857</v>
      </c>
    </row>
    <row r="16" spans="1:8" ht="15">
      <c r="A16" s="355">
        <v>10</v>
      </c>
      <c r="B16" s="347" t="s">
        <v>513</v>
      </c>
      <c r="C16" s="513">
        <v>301243879.44999999</v>
      </c>
      <c r="D16" s="513">
        <v>1145412.5900000001</v>
      </c>
      <c r="E16" s="513">
        <v>98706732.031751752</v>
      </c>
      <c r="F16" s="350"/>
      <c r="G16" s="513">
        <f>(SUM(G13:G15)+G17)</f>
        <v>32607884.999999993</v>
      </c>
      <c r="H16" s="348">
        <f t="shared" si="0"/>
        <v>203682560.00824821</v>
      </c>
    </row>
    <row r="17" spans="1:9" ht="15">
      <c r="A17" s="355">
        <v>11</v>
      </c>
      <c r="B17" s="343" t="s">
        <v>68</v>
      </c>
      <c r="C17" s="513">
        <v>2265846.1800000002</v>
      </c>
      <c r="D17" s="513">
        <v>279923105.21509749</v>
      </c>
      <c r="E17" s="513">
        <v>2563031.2245169729</v>
      </c>
      <c r="F17" s="350"/>
      <c r="G17" s="513">
        <v>372487.08</v>
      </c>
      <c r="H17" s="348">
        <f t="shared" si="0"/>
        <v>279625920.17058051</v>
      </c>
    </row>
    <row r="18" spans="1:9" ht="15">
      <c r="A18" s="355">
        <v>12</v>
      </c>
      <c r="B18" s="343" t="s">
        <v>69</v>
      </c>
      <c r="C18" s="513"/>
      <c r="D18" s="513"/>
      <c r="E18" s="513"/>
      <c r="F18" s="350"/>
      <c r="G18" s="513"/>
      <c r="H18" s="348">
        <f t="shared" si="0"/>
        <v>0</v>
      </c>
    </row>
    <row r="19" spans="1:9" ht="15">
      <c r="A19" s="356">
        <v>13</v>
      </c>
      <c r="B19" s="345" t="s">
        <v>70</v>
      </c>
      <c r="C19" s="513"/>
      <c r="D19" s="513"/>
      <c r="E19" s="513"/>
      <c r="F19" s="350"/>
      <c r="G19" s="513"/>
      <c r="H19" s="348">
        <f t="shared" si="0"/>
        <v>0</v>
      </c>
    </row>
    <row r="20" spans="1:9" ht="15">
      <c r="A20" s="355">
        <v>14</v>
      </c>
      <c r="B20" s="343" t="s">
        <v>499</v>
      </c>
      <c r="C20" s="513">
        <v>14602856.461721003</v>
      </c>
      <c r="D20" s="513">
        <v>2304131244.4446049</v>
      </c>
      <c r="E20" s="513">
        <v>16195505.234355923</v>
      </c>
      <c r="F20" s="350"/>
      <c r="G20" s="513">
        <f>'19. Assets by Risk Sectors'!G33</f>
        <v>386104.99000000011</v>
      </c>
      <c r="H20" s="348">
        <f t="shared" si="0"/>
        <v>2302538595.6719699</v>
      </c>
    </row>
    <row r="21" spans="1:9" s="321" customFormat="1">
      <c r="A21" s="354">
        <v>15</v>
      </c>
      <c r="B21" s="353" t="s">
        <v>66</v>
      </c>
      <c r="C21" s="515">
        <f>SUM(C7:C15)+SUM(C17:C20)</f>
        <v>573160126.22442102</v>
      </c>
      <c r="D21" s="353">
        <f t="shared" ref="D21:H21" si="1">SUM(D7:D15)+SUM(D17:D20)</f>
        <v>28787349981.525791</v>
      </c>
      <c r="E21" s="515">
        <f>SUM(E7:E15)+SUM(E17:E20)</f>
        <v>329303688.22682101</v>
      </c>
      <c r="F21" s="353">
        <f t="shared" si="1"/>
        <v>0</v>
      </c>
      <c r="G21" s="515">
        <f>SUM(G7:G15)+SUM(G17:G20)</f>
        <v>32993989.989999995</v>
      </c>
      <c r="H21" s="348">
        <f t="shared" si="1"/>
        <v>29031206419.523392</v>
      </c>
      <c r="I21" s="771"/>
    </row>
    <row r="22" spans="1:9">
      <c r="A22" s="352">
        <v>16</v>
      </c>
      <c r="B22" s="351" t="s">
        <v>514</v>
      </c>
      <c r="C22" s="517">
        <v>554861271.0201</v>
      </c>
      <c r="D22" s="516">
        <v>17898591554.002296</v>
      </c>
      <c r="E22" s="518">
        <v>307553438.22239995</v>
      </c>
      <c r="F22" s="350"/>
      <c r="G22" s="517">
        <v>32607884.999999996</v>
      </c>
      <c r="H22" s="348">
        <f>C22+D22-E22-F22</f>
        <v>18145899386.799995</v>
      </c>
      <c r="I22" s="772"/>
    </row>
    <row r="23" spans="1:9">
      <c r="A23" s="352">
        <v>17</v>
      </c>
      <c r="B23" s="351" t="s">
        <v>515</v>
      </c>
      <c r="C23" s="349">
        <v>0</v>
      </c>
      <c r="D23" s="516">
        <v>5008182004.3228989</v>
      </c>
      <c r="E23" s="518">
        <v>4056594.05</v>
      </c>
      <c r="F23" s="350"/>
      <c r="G23" s="349"/>
      <c r="H23" s="348">
        <f>C23+D23-E23-F23</f>
        <v>5004125410.2728987</v>
      </c>
    </row>
    <row r="24" spans="1:9">
      <c r="C24" s="514"/>
      <c r="D24" s="514"/>
      <c r="E24" s="514"/>
      <c r="F24" s="514"/>
      <c r="G24" s="514"/>
      <c r="H24" s="514"/>
    </row>
    <row r="25" spans="1:9">
      <c r="C25" s="514"/>
      <c r="D25" s="514"/>
      <c r="E25" s="514"/>
      <c r="F25" s="514"/>
      <c r="G25" s="514"/>
      <c r="H25" s="514"/>
    </row>
    <row r="26" spans="1:9" ht="42.6" customHeight="1">
      <c r="B26" s="336" t="s">
        <v>677</v>
      </c>
      <c r="C26" s="514"/>
      <c r="D26" s="514"/>
      <c r="E26" s="514"/>
      <c r="F26" s="514"/>
      <c r="G26" s="514"/>
      <c r="H26" s="514"/>
    </row>
    <row r="27" spans="1:9">
      <c r="C27" s="514"/>
      <c r="D27" s="514"/>
      <c r="E27" s="514"/>
      <c r="F27" s="514"/>
      <c r="G27" s="514"/>
      <c r="H27" s="514"/>
    </row>
    <row r="28" spans="1:9">
      <c r="C28" s="514"/>
      <c r="D28" s="514"/>
      <c r="E28" s="514"/>
      <c r="F28" s="514"/>
      <c r="G28" s="514"/>
      <c r="H28" s="514"/>
      <c r="I28" s="514"/>
    </row>
    <row r="29" spans="1:9">
      <c r="C29" s="514"/>
      <c r="D29" s="514"/>
      <c r="E29" s="514"/>
      <c r="F29" s="514"/>
      <c r="G29" s="514"/>
      <c r="H29" s="514"/>
      <c r="I29" s="514"/>
    </row>
    <row r="30" spans="1:9">
      <c r="B30" s="316" t="s">
        <v>1004</v>
      </c>
      <c r="C30" s="514"/>
      <c r="D30" s="514"/>
      <c r="E30" s="514"/>
      <c r="F30" s="514"/>
      <c r="G30" s="514"/>
      <c r="H30" s="514"/>
      <c r="I30" s="514"/>
    </row>
    <row r="31" spans="1:9">
      <c r="B31" s="316" t="s">
        <v>1011</v>
      </c>
      <c r="C31" s="514"/>
      <c r="D31" s="514"/>
      <c r="E31" s="514"/>
      <c r="F31" s="514"/>
      <c r="G31" s="514"/>
      <c r="H31" s="514"/>
      <c r="I31" s="514"/>
    </row>
    <row r="32" spans="1:9">
      <c r="C32" s="514"/>
      <c r="D32" s="514"/>
      <c r="E32" s="514"/>
      <c r="F32" s="514"/>
      <c r="G32" s="514"/>
      <c r="H32" s="514"/>
      <c r="I32" s="514"/>
    </row>
    <row r="33" spans="3:9">
      <c r="C33" s="514"/>
      <c r="D33" s="514"/>
      <c r="E33" s="514"/>
      <c r="F33" s="514"/>
      <c r="G33" s="514"/>
      <c r="H33" s="514"/>
      <c r="I33" s="514"/>
    </row>
    <row r="34" spans="3:9">
      <c r="C34" s="514"/>
      <c r="D34" s="514"/>
      <c r="E34" s="514"/>
      <c r="F34" s="514"/>
      <c r="G34" s="514"/>
      <c r="H34" s="514"/>
      <c r="I34" s="514"/>
    </row>
    <row r="35" spans="3:9">
      <c r="C35" s="514"/>
      <c r="D35" s="514"/>
      <c r="E35" s="514"/>
      <c r="F35" s="514"/>
      <c r="G35" s="514"/>
      <c r="H35" s="514"/>
      <c r="I35" s="514"/>
    </row>
    <row r="36" spans="3:9">
      <c r="C36" s="514"/>
      <c r="D36" s="514"/>
      <c r="E36" s="514"/>
      <c r="F36" s="514"/>
      <c r="G36" s="514"/>
      <c r="H36" s="514"/>
      <c r="I36" s="514"/>
    </row>
    <row r="37" spans="3:9">
      <c r="C37" s="514"/>
      <c r="D37" s="514"/>
      <c r="E37" s="514"/>
      <c r="F37" s="514"/>
      <c r="G37" s="514"/>
      <c r="H37" s="514"/>
      <c r="I37" s="514"/>
    </row>
    <row r="38" spans="3:9">
      <c r="C38" s="514"/>
      <c r="D38" s="514"/>
      <c r="E38" s="514"/>
      <c r="F38" s="514"/>
      <c r="G38" s="514"/>
      <c r="H38" s="514"/>
      <c r="I38" s="514"/>
    </row>
    <row r="39" spans="3:9">
      <c r="C39" s="514"/>
      <c r="D39" s="514"/>
      <c r="E39" s="514"/>
      <c r="F39" s="514"/>
      <c r="G39" s="514"/>
      <c r="H39" s="514"/>
      <c r="I39" s="514"/>
    </row>
    <row r="40" spans="3:9">
      <c r="C40" s="514"/>
      <c r="D40" s="514"/>
      <c r="E40" s="514"/>
      <c r="F40" s="514"/>
      <c r="G40" s="514"/>
      <c r="H40" s="514"/>
      <c r="I40" s="514"/>
    </row>
    <row r="41" spans="3:9">
      <c r="C41" s="514"/>
      <c r="D41" s="514"/>
      <c r="E41" s="514"/>
      <c r="F41" s="514"/>
      <c r="G41" s="514"/>
      <c r="H41" s="514"/>
      <c r="I41" s="514"/>
    </row>
    <row r="42" spans="3:9">
      <c r="C42" s="514"/>
      <c r="D42" s="514"/>
      <c r="E42" s="514"/>
      <c r="F42" s="514"/>
      <c r="G42" s="514"/>
      <c r="H42" s="514"/>
      <c r="I42" s="514"/>
    </row>
    <row r="43" spans="3:9">
      <c r="C43" s="514"/>
      <c r="D43" s="514"/>
      <c r="E43" s="514"/>
      <c r="F43" s="514"/>
      <c r="G43" s="514"/>
      <c r="H43" s="514"/>
      <c r="I43" s="514"/>
    </row>
    <row r="44" spans="3:9">
      <c r="C44" s="514"/>
      <c r="D44" s="514"/>
      <c r="E44" s="514"/>
      <c r="F44" s="514"/>
      <c r="G44" s="514"/>
      <c r="H44" s="514"/>
      <c r="I44" s="514"/>
    </row>
    <row r="45" spans="3:9">
      <c r="C45" s="514"/>
      <c r="D45" s="514"/>
      <c r="E45" s="514"/>
      <c r="F45" s="514"/>
      <c r="G45" s="514"/>
      <c r="H45" s="514"/>
      <c r="I45" s="514"/>
    </row>
    <row r="46" spans="3:9">
      <c r="C46" s="514"/>
      <c r="D46" s="514"/>
      <c r="E46" s="514"/>
      <c r="F46" s="514"/>
      <c r="G46" s="514"/>
      <c r="H46" s="514"/>
      <c r="I46" s="514"/>
    </row>
    <row r="47" spans="3:9">
      <c r="C47" s="514"/>
      <c r="D47" s="514"/>
      <c r="E47" s="514"/>
      <c r="F47" s="514"/>
      <c r="G47" s="514"/>
      <c r="H47" s="514"/>
      <c r="I47" s="514"/>
    </row>
    <row r="48" spans="3:9">
      <c r="C48" s="514"/>
      <c r="D48" s="514"/>
      <c r="E48" s="514"/>
      <c r="F48" s="514"/>
      <c r="G48" s="514"/>
      <c r="H48" s="514"/>
      <c r="I48" s="514"/>
    </row>
    <row r="49" spans="3:9">
      <c r="C49" s="514"/>
      <c r="D49" s="514"/>
      <c r="E49" s="514"/>
      <c r="F49" s="514"/>
      <c r="G49" s="514"/>
      <c r="H49" s="514"/>
      <c r="I49" s="514"/>
    </row>
    <row r="50" spans="3:9">
      <c r="C50" s="514"/>
      <c r="D50" s="514"/>
      <c r="E50" s="514"/>
      <c r="F50" s="514"/>
      <c r="G50" s="514"/>
      <c r="H50" s="514"/>
      <c r="I50" s="514"/>
    </row>
    <row r="51" spans="3:9">
      <c r="C51" s="514"/>
      <c r="D51" s="514"/>
      <c r="E51" s="514"/>
      <c r="F51" s="514"/>
      <c r="G51" s="514"/>
      <c r="H51" s="514"/>
      <c r="I51" s="514"/>
    </row>
    <row r="52" spans="3:9">
      <c r="C52" s="514"/>
      <c r="D52" s="514"/>
      <c r="E52" s="514"/>
      <c r="F52" s="514"/>
      <c r="G52" s="514"/>
      <c r="H52" s="514"/>
      <c r="I52" s="514"/>
    </row>
    <row r="53" spans="3:9">
      <c r="C53" s="514"/>
      <c r="D53" s="514"/>
      <c r="E53" s="514"/>
      <c r="F53" s="514"/>
      <c r="G53" s="514"/>
      <c r="H53" s="514"/>
      <c r="I53" s="514"/>
    </row>
    <row r="54" spans="3:9">
      <c r="C54" s="514"/>
      <c r="D54" s="514"/>
      <c r="E54" s="514"/>
      <c r="F54" s="514"/>
      <c r="G54" s="514"/>
      <c r="H54" s="514"/>
      <c r="I54" s="514"/>
    </row>
    <row r="55" spans="3:9">
      <c r="C55" s="514"/>
      <c r="D55" s="514"/>
      <c r="E55" s="514"/>
      <c r="F55" s="514"/>
      <c r="G55" s="514"/>
      <c r="H55" s="514"/>
      <c r="I55" s="514"/>
    </row>
    <row r="56" spans="3:9">
      <c r="C56" s="514"/>
      <c r="D56" s="514"/>
      <c r="E56" s="514"/>
      <c r="F56" s="514"/>
      <c r="G56" s="514"/>
      <c r="H56" s="514"/>
      <c r="I56" s="514"/>
    </row>
    <row r="57" spans="3:9">
      <c r="C57" s="514"/>
      <c r="D57" s="514"/>
      <c r="E57" s="514"/>
      <c r="F57" s="514"/>
      <c r="G57" s="514"/>
      <c r="H57" s="514"/>
      <c r="I57" s="514"/>
    </row>
  </sheetData>
  <mergeCells count="5">
    <mergeCell ref="G5:G6"/>
    <mergeCell ref="A5:B6"/>
    <mergeCell ref="C5:D5"/>
    <mergeCell ref="E5:E6"/>
    <mergeCell ref="F5:F6"/>
  </mergeCells>
  <conditionalFormatting sqref="A5">
    <cfRule type="duplicateValues" dxfId="22" priority="1"/>
    <cfRule type="duplicateValues" dxfId="21" priority="2"/>
  </conditionalFormatting>
  <conditionalFormatting sqref="A5">
    <cfRule type="duplicateValues" dxfId="20"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topLeftCell="A25" zoomScaleNormal="100" workbookViewId="0">
      <selection activeCell="C50" sqref="C50"/>
    </sheetView>
  </sheetViews>
  <sheetFormatPr defaultColWidth="9.140625" defaultRowHeight="12.75"/>
  <cols>
    <col min="1" max="1" width="11" style="316" bestFit="1" customWidth="1"/>
    <col min="2" max="2" width="93.42578125" style="316" customWidth="1"/>
    <col min="3" max="4" width="35" style="316" customWidth="1"/>
    <col min="5" max="7" width="22" style="316" customWidth="1"/>
    <col min="8" max="8" width="42.28515625" style="316" bestFit="1" customWidth="1"/>
    <col min="9" max="9" width="15.28515625" style="316" customWidth="1"/>
    <col min="10" max="10" width="17.85546875" style="316" customWidth="1"/>
    <col min="11" max="16384" width="9.140625" style="316"/>
  </cols>
  <sheetData>
    <row r="1" spans="1:10" ht="13.5">
      <c r="A1" s="315" t="s">
        <v>108</v>
      </c>
      <c r="B1" s="262" t="str">
        <f>Info!C2</f>
        <v>სს ”საქართველოს ბანკი”</v>
      </c>
      <c r="C1" s="360"/>
      <c r="D1" s="360"/>
      <c r="E1" s="360"/>
      <c r="F1" s="360"/>
      <c r="G1" s="360"/>
      <c r="H1" s="360"/>
    </row>
    <row r="2" spans="1:10">
      <c r="A2" s="317" t="s">
        <v>109</v>
      </c>
      <c r="B2" s="319">
        <f>'1. key ratios'!B2</f>
        <v>45199</v>
      </c>
      <c r="C2" s="360"/>
      <c r="D2" s="360"/>
      <c r="E2" s="360"/>
      <c r="F2" s="360"/>
      <c r="G2" s="360"/>
      <c r="H2" s="360"/>
    </row>
    <row r="3" spans="1:10">
      <c r="A3" s="318" t="s">
        <v>516</v>
      </c>
      <c r="B3" s="360"/>
      <c r="C3" s="360"/>
      <c r="D3" s="360"/>
      <c r="E3" s="360"/>
      <c r="F3" s="360"/>
      <c r="G3" s="360"/>
      <c r="H3" s="360"/>
    </row>
    <row r="4" spans="1:10">
      <c r="A4" s="360"/>
      <c r="B4" s="360"/>
      <c r="C4" s="359" t="s">
        <v>501</v>
      </c>
      <c r="D4" s="359" t="s">
        <v>502</v>
      </c>
      <c r="E4" s="359" t="s">
        <v>503</v>
      </c>
      <c r="F4" s="359" t="s">
        <v>504</v>
      </c>
      <c r="G4" s="359" t="s">
        <v>505</v>
      </c>
      <c r="H4" s="359" t="s">
        <v>506</v>
      </c>
    </row>
    <row r="5" spans="1:10" ht="41.45" customHeight="1">
      <c r="A5" s="835" t="s">
        <v>868</v>
      </c>
      <c r="B5" s="836"/>
      <c r="C5" s="850" t="s">
        <v>595</v>
      </c>
      <c r="D5" s="851"/>
      <c r="E5" s="847" t="s">
        <v>865</v>
      </c>
      <c r="F5" s="847" t="s">
        <v>864</v>
      </c>
      <c r="G5" s="847" t="s">
        <v>510</v>
      </c>
      <c r="H5" s="357" t="s">
        <v>863</v>
      </c>
    </row>
    <row r="6" spans="1:10" ht="25.5">
      <c r="A6" s="839"/>
      <c r="B6" s="840"/>
      <c r="C6" s="358" t="s">
        <v>511</v>
      </c>
      <c r="D6" s="358" t="s">
        <v>512</v>
      </c>
      <c r="E6" s="848"/>
      <c r="F6" s="848"/>
      <c r="G6" s="848"/>
      <c r="H6" s="357" t="s">
        <v>862</v>
      </c>
    </row>
    <row r="7" spans="1:10">
      <c r="A7" s="349">
        <v>1</v>
      </c>
      <c r="B7" s="364" t="s">
        <v>517</v>
      </c>
      <c r="C7" s="516">
        <v>14389075.187700003</v>
      </c>
      <c r="D7" s="516">
        <v>7142915219.1120996</v>
      </c>
      <c r="E7" s="516">
        <v>14396496.094881002</v>
      </c>
      <c r="F7" s="516">
        <v>0</v>
      </c>
      <c r="G7" s="516">
        <v>0</v>
      </c>
      <c r="H7" s="348">
        <f t="shared" ref="H7:H34" si="0">C7+D7-E7-F7</f>
        <v>7142907798.2049189</v>
      </c>
      <c r="J7" s="772"/>
    </row>
    <row r="8" spans="1:10">
      <c r="A8" s="349">
        <v>2</v>
      </c>
      <c r="B8" s="364" t="s">
        <v>518</v>
      </c>
      <c r="C8" s="516">
        <v>9263259.6115000024</v>
      </c>
      <c r="D8" s="516">
        <v>2923069054.3525705</v>
      </c>
      <c r="E8" s="516">
        <v>6409272.2490539998</v>
      </c>
      <c r="F8" s="516">
        <v>0</v>
      </c>
      <c r="G8" s="516">
        <v>0</v>
      </c>
      <c r="H8" s="348">
        <f t="shared" si="0"/>
        <v>2925923041.7150164</v>
      </c>
      <c r="J8" s="772"/>
    </row>
    <row r="9" spans="1:10">
      <c r="A9" s="349">
        <v>3</v>
      </c>
      <c r="B9" s="364" t="s">
        <v>867</v>
      </c>
      <c r="C9" s="516">
        <v>5073608.9000000004</v>
      </c>
      <c r="D9" s="516">
        <v>16253243.810000001</v>
      </c>
      <c r="E9" s="516">
        <v>4776760.2300000004</v>
      </c>
      <c r="F9" s="516">
        <v>0</v>
      </c>
      <c r="G9" s="516">
        <v>0</v>
      </c>
      <c r="H9" s="348">
        <f t="shared" si="0"/>
        <v>16550092.48</v>
      </c>
      <c r="J9" s="772"/>
    </row>
    <row r="10" spans="1:10">
      <c r="A10" s="349">
        <v>4</v>
      </c>
      <c r="B10" s="364" t="s">
        <v>519</v>
      </c>
      <c r="C10" s="516">
        <v>35799272.754699998</v>
      </c>
      <c r="D10" s="516">
        <v>767619519.76179993</v>
      </c>
      <c r="E10" s="516">
        <v>18964733.296480004</v>
      </c>
      <c r="F10" s="516">
        <v>0</v>
      </c>
      <c r="G10" s="516">
        <v>0</v>
      </c>
      <c r="H10" s="348">
        <f t="shared" si="0"/>
        <v>784454059.22001982</v>
      </c>
      <c r="J10" s="772"/>
    </row>
    <row r="11" spans="1:10">
      <c r="A11" s="349">
        <v>5</v>
      </c>
      <c r="B11" s="364" t="s">
        <v>520</v>
      </c>
      <c r="C11" s="516">
        <v>26122667.063000005</v>
      </c>
      <c r="D11" s="516">
        <v>1066383066.1906002</v>
      </c>
      <c r="E11" s="516">
        <v>7556656.4555870015</v>
      </c>
      <c r="F11" s="516">
        <v>0</v>
      </c>
      <c r="G11" s="516">
        <v>60663.55</v>
      </c>
      <c r="H11" s="348">
        <f t="shared" si="0"/>
        <v>1084949076.7980132</v>
      </c>
      <c r="J11" s="772"/>
    </row>
    <row r="12" spans="1:10">
      <c r="A12" s="349">
        <v>6</v>
      </c>
      <c r="B12" s="364" t="s">
        <v>521</v>
      </c>
      <c r="C12" s="516">
        <v>21772821.561800003</v>
      </c>
      <c r="D12" s="516">
        <v>704280436.19290006</v>
      </c>
      <c r="E12" s="516">
        <v>14176416.795362003</v>
      </c>
      <c r="F12" s="516">
        <v>0</v>
      </c>
      <c r="G12" s="516">
        <v>273037.41000000015</v>
      </c>
      <c r="H12" s="348">
        <f t="shared" si="0"/>
        <v>711876840.95933807</v>
      </c>
      <c r="J12" s="772"/>
    </row>
    <row r="13" spans="1:10">
      <c r="A13" s="349">
        <v>7</v>
      </c>
      <c r="B13" s="364" t="s">
        <v>522</v>
      </c>
      <c r="C13" s="516">
        <v>24669930.379500005</v>
      </c>
      <c r="D13" s="516">
        <v>609269903.01909995</v>
      </c>
      <c r="E13" s="516">
        <v>12770630.949181002</v>
      </c>
      <c r="F13" s="516">
        <v>0</v>
      </c>
      <c r="G13" s="516">
        <v>38564.73000000001</v>
      </c>
      <c r="H13" s="348">
        <f t="shared" si="0"/>
        <v>621169202.44941902</v>
      </c>
      <c r="J13" s="772"/>
    </row>
    <row r="14" spans="1:10">
      <c r="A14" s="349">
        <v>8</v>
      </c>
      <c r="B14" s="364" t="s">
        <v>523</v>
      </c>
      <c r="C14" s="516">
        <v>15410052.618900003</v>
      </c>
      <c r="D14" s="516">
        <v>763985369.10599995</v>
      </c>
      <c r="E14" s="516">
        <v>9298564.4755749982</v>
      </c>
      <c r="F14" s="516">
        <v>0</v>
      </c>
      <c r="G14" s="516">
        <v>216863.16469999962</v>
      </c>
      <c r="H14" s="348">
        <f t="shared" si="0"/>
        <v>770096857.24932504</v>
      </c>
      <c r="J14" s="772"/>
    </row>
    <row r="15" spans="1:10">
      <c r="A15" s="349">
        <v>9</v>
      </c>
      <c r="B15" s="364" t="s">
        <v>524</v>
      </c>
      <c r="C15" s="516">
        <v>7017753.2907000007</v>
      </c>
      <c r="D15" s="516">
        <v>820247926.89509988</v>
      </c>
      <c r="E15" s="516">
        <v>16932624.126966994</v>
      </c>
      <c r="F15" s="516">
        <v>0</v>
      </c>
      <c r="G15" s="516">
        <v>10551.680000000022</v>
      </c>
      <c r="H15" s="348">
        <f t="shared" si="0"/>
        <v>810333056.05883288</v>
      </c>
      <c r="J15" s="772"/>
    </row>
    <row r="16" spans="1:10">
      <c r="A16" s="349">
        <v>10</v>
      </c>
      <c r="B16" s="364" t="s">
        <v>525</v>
      </c>
      <c r="C16" s="516">
        <v>10072179.045999998</v>
      </c>
      <c r="D16" s="516">
        <v>386955856.40220004</v>
      </c>
      <c r="E16" s="516">
        <v>5810442.1856719991</v>
      </c>
      <c r="F16" s="516">
        <v>0</v>
      </c>
      <c r="G16" s="516">
        <v>29166.22000000003</v>
      </c>
      <c r="H16" s="348">
        <f t="shared" si="0"/>
        <v>391217593.26252806</v>
      </c>
      <c r="J16" s="772"/>
    </row>
    <row r="17" spans="1:10">
      <c r="A17" s="349">
        <v>11</v>
      </c>
      <c r="B17" s="364" t="s">
        <v>526</v>
      </c>
      <c r="C17" s="516">
        <v>3319868.3473999999</v>
      </c>
      <c r="D17" s="516">
        <v>287453524.90319997</v>
      </c>
      <c r="E17" s="516">
        <v>2835535.9884120007</v>
      </c>
      <c r="F17" s="516">
        <v>0</v>
      </c>
      <c r="G17" s="516">
        <v>93317.469999999972</v>
      </c>
      <c r="H17" s="348">
        <f t="shared" si="0"/>
        <v>287937857.26218796</v>
      </c>
      <c r="J17" s="772"/>
    </row>
    <row r="18" spans="1:10">
      <c r="A18" s="349">
        <v>12</v>
      </c>
      <c r="B18" s="364" t="s">
        <v>527</v>
      </c>
      <c r="C18" s="516">
        <v>19520061.805000003</v>
      </c>
      <c r="D18" s="516">
        <v>741999261.37840009</v>
      </c>
      <c r="E18" s="516">
        <v>8025067.6901319996</v>
      </c>
      <c r="F18" s="516">
        <v>0</v>
      </c>
      <c r="G18" s="516">
        <v>657141.64960000012</v>
      </c>
      <c r="H18" s="348">
        <f t="shared" si="0"/>
        <v>753494255.49326801</v>
      </c>
      <c r="J18" s="772"/>
    </row>
    <row r="19" spans="1:10">
      <c r="A19" s="349">
        <v>13</v>
      </c>
      <c r="B19" s="364" t="s">
        <v>528</v>
      </c>
      <c r="C19" s="516">
        <v>4592432.7961000009</v>
      </c>
      <c r="D19" s="516">
        <v>187380458.90040001</v>
      </c>
      <c r="E19" s="516">
        <v>4406252.5241700001</v>
      </c>
      <c r="F19" s="516">
        <v>0</v>
      </c>
      <c r="G19" s="516">
        <v>104370.41999999998</v>
      </c>
      <c r="H19" s="348">
        <f t="shared" si="0"/>
        <v>187566639.17232999</v>
      </c>
      <c r="J19" s="772"/>
    </row>
    <row r="20" spans="1:10">
      <c r="A20" s="349">
        <v>14</v>
      </c>
      <c r="B20" s="364" t="s">
        <v>529</v>
      </c>
      <c r="C20" s="516">
        <v>36171550.32190001</v>
      </c>
      <c r="D20" s="516">
        <v>1109460478.8200998</v>
      </c>
      <c r="E20" s="516">
        <v>15925155.809217</v>
      </c>
      <c r="F20" s="516">
        <v>0</v>
      </c>
      <c r="G20" s="516">
        <v>18762.959999999992</v>
      </c>
      <c r="H20" s="348">
        <f t="shared" si="0"/>
        <v>1129706873.3327827</v>
      </c>
      <c r="J20" s="772"/>
    </row>
    <row r="21" spans="1:10">
      <c r="A21" s="349">
        <v>15</v>
      </c>
      <c r="B21" s="364" t="s">
        <v>530</v>
      </c>
      <c r="C21" s="516">
        <v>8232557.5341999996</v>
      </c>
      <c r="D21" s="516">
        <v>266279953.0609999</v>
      </c>
      <c r="E21" s="516">
        <v>3966239.5710170004</v>
      </c>
      <c r="F21" s="516">
        <v>0</v>
      </c>
      <c r="G21" s="516">
        <v>12715.820000000007</v>
      </c>
      <c r="H21" s="348">
        <f t="shared" si="0"/>
        <v>270546271.02418286</v>
      </c>
      <c r="J21" s="772"/>
    </row>
    <row r="22" spans="1:10">
      <c r="A22" s="349">
        <v>16</v>
      </c>
      <c r="B22" s="364" t="s">
        <v>531</v>
      </c>
      <c r="C22" s="516">
        <v>65146033.505399987</v>
      </c>
      <c r="D22" s="516">
        <v>571220231.44309986</v>
      </c>
      <c r="E22" s="516">
        <v>14599282.433948999</v>
      </c>
      <c r="F22" s="516">
        <v>0</v>
      </c>
      <c r="G22" s="516">
        <v>16004.720000000001</v>
      </c>
      <c r="H22" s="348">
        <f t="shared" si="0"/>
        <v>621766982.51455081</v>
      </c>
      <c r="J22" s="772"/>
    </row>
    <row r="23" spans="1:10">
      <c r="A23" s="349">
        <v>17</v>
      </c>
      <c r="B23" s="364" t="s">
        <v>532</v>
      </c>
      <c r="C23" s="516">
        <v>4887690.9441</v>
      </c>
      <c r="D23" s="516">
        <v>166366224.12560007</v>
      </c>
      <c r="E23" s="516">
        <v>3449606.5929339998</v>
      </c>
      <c r="F23" s="516">
        <v>0</v>
      </c>
      <c r="G23" s="516">
        <v>0</v>
      </c>
      <c r="H23" s="348">
        <f t="shared" si="0"/>
        <v>167804308.47676605</v>
      </c>
      <c r="J23" s="772"/>
    </row>
    <row r="24" spans="1:10">
      <c r="A24" s="349">
        <v>18</v>
      </c>
      <c r="B24" s="364" t="s">
        <v>533</v>
      </c>
      <c r="C24" s="516">
        <v>3965010.3424</v>
      </c>
      <c r="D24" s="516">
        <v>674921684.13979995</v>
      </c>
      <c r="E24" s="516">
        <v>4861829.6078469995</v>
      </c>
      <c r="F24" s="516">
        <v>0</v>
      </c>
      <c r="G24" s="516">
        <v>338852.79749999999</v>
      </c>
      <c r="H24" s="348">
        <f t="shared" si="0"/>
        <v>674024864.87435293</v>
      </c>
      <c r="J24" s="772"/>
    </row>
    <row r="25" spans="1:10">
      <c r="A25" s="349">
        <v>19</v>
      </c>
      <c r="B25" s="364" t="s">
        <v>534</v>
      </c>
      <c r="C25" s="516">
        <v>757801.64779999992</v>
      </c>
      <c r="D25" s="516">
        <v>156285583.36079997</v>
      </c>
      <c r="E25" s="516">
        <v>661680.75</v>
      </c>
      <c r="F25" s="516">
        <v>0</v>
      </c>
      <c r="G25" s="516">
        <v>81610.450000000012</v>
      </c>
      <c r="H25" s="348">
        <f t="shared" si="0"/>
        <v>156381704.25859997</v>
      </c>
      <c r="J25" s="772"/>
    </row>
    <row r="26" spans="1:10">
      <c r="A26" s="349">
        <v>20</v>
      </c>
      <c r="B26" s="364" t="s">
        <v>535</v>
      </c>
      <c r="C26" s="516">
        <v>17461279.095699996</v>
      </c>
      <c r="D26" s="516">
        <v>598176504.61430001</v>
      </c>
      <c r="E26" s="516">
        <v>11887010.408492999</v>
      </c>
      <c r="F26" s="516">
        <v>0</v>
      </c>
      <c r="G26" s="516">
        <v>0</v>
      </c>
      <c r="H26" s="348">
        <f t="shared" si="0"/>
        <v>603750773.301507</v>
      </c>
      <c r="J26" s="772"/>
    </row>
    <row r="27" spans="1:10">
      <c r="A27" s="349">
        <v>21</v>
      </c>
      <c r="B27" s="364" t="s">
        <v>536</v>
      </c>
      <c r="C27" s="516">
        <v>730233.85549999995</v>
      </c>
      <c r="D27" s="516">
        <v>104478872.44969998</v>
      </c>
      <c r="E27" s="516">
        <v>948506.67515899998</v>
      </c>
      <c r="F27" s="516">
        <v>0</v>
      </c>
      <c r="G27" s="516">
        <v>338920.86</v>
      </c>
      <c r="H27" s="348">
        <f t="shared" si="0"/>
        <v>104260599.63004097</v>
      </c>
      <c r="J27" s="772"/>
    </row>
    <row r="28" spans="1:10">
      <c r="A28" s="349">
        <v>22</v>
      </c>
      <c r="B28" s="364" t="s">
        <v>537</v>
      </c>
      <c r="C28" s="516">
        <v>4405571.4485999998</v>
      </c>
      <c r="D28" s="516">
        <v>302051052.30860007</v>
      </c>
      <c r="E28" s="516">
        <v>2952786.5687459996</v>
      </c>
      <c r="F28" s="516">
        <v>0</v>
      </c>
      <c r="G28" s="516">
        <v>0</v>
      </c>
      <c r="H28" s="348">
        <f t="shared" si="0"/>
        <v>303503837.18845409</v>
      </c>
      <c r="J28" s="772"/>
    </row>
    <row r="29" spans="1:10">
      <c r="A29" s="349">
        <v>23</v>
      </c>
      <c r="B29" s="364" t="s">
        <v>538</v>
      </c>
      <c r="C29" s="516">
        <v>61227452.397099987</v>
      </c>
      <c r="D29" s="516">
        <v>2900878422.4208002</v>
      </c>
      <c r="E29" s="516">
        <v>39018790.286852002</v>
      </c>
      <c r="F29" s="516">
        <v>0</v>
      </c>
      <c r="G29" s="516">
        <v>1076633.3199999998</v>
      </c>
      <c r="H29" s="348">
        <f t="shared" si="0"/>
        <v>2923087084.5310483</v>
      </c>
      <c r="J29" s="772"/>
    </row>
    <row r="30" spans="1:10">
      <c r="A30" s="349">
        <v>24</v>
      </c>
      <c r="B30" s="364" t="s">
        <v>539</v>
      </c>
      <c r="C30" s="516">
        <v>33528253.763</v>
      </c>
      <c r="D30" s="516">
        <v>1065895023.1648002</v>
      </c>
      <c r="E30" s="516">
        <v>17831918.647812001</v>
      </c>
      <c r="F30" s="516">
        <v>0</v>
      </c>
      <c r="G30" s="516">
        <v>2405362.5500000007</v>
      </c>
      <c r="H30" s="348">
        <f t="shared" si="0"/>
        <v>1081591358.2799883</v>
      </c>
      <c r="J30" s="772"/>
    </row>
    <row r="31" spans="1:10">
      <c r="A31" s="349">
        <v>25</v>
      </c>
      <c r="B31" s="364" t="s">
        <v>540</v>
      </c>
      <c r="C31" s="516">
        <v>115865492.68720001</v>
      </c>
      <c r="D31" s="516">
        <v>2163725566.2925234</v>
      </c>
      <c r="E31" s="516">
        <v>63979380.055336982</v>
      </c>
      <c r="F31" s="516">
        <v>0</v>
      </c>
      <c r="G31" s="516">
        <v>26835345.228199944</v>
      </c>
      <c r="H31" s="348">
        <f t="shared" si="0"/>
        <v>2215611678.9243865</v>
      </c>
      <c r="J31" s="772"/>
    </row>
    <row r="32" spans="1:10">
      <c r="A32" s="349">
        <v>26</v>
      </c>
      <c r="B32" s="364" t="s">
        <v>541</v>
      </c>
      <c r="C32" s="516">
        <v>5459360.1149000004</v>
      </c>
      <c r="D32" s="516">
        <v>51725029.521699995</v>
      </c>
      <c r="E32" s="516">
        <v>5680478.4935640004</v>
      </c>
      <c r="F32" s="516">
        <v>0</v>
      </c>
      <c r="G32" s="516">
        <v>0</v>
      </c>
      <c r="H32" s="348">
        <f t="shared" si="0"/>
        <v>51503911.143035993</v>
      </c>
      <c r="J32" s="772"/>
    </row>
    <row r="33" spans="1:10">
      <c r="A33" s="349">
        <v>27</v>
      </c>
      <c r="B33" s="350" t="s">
        <v>99</v>
      </c>
      <c r="C33" s="516">
        <v>18298855.204321042</v>
      </c>
      <c r="D33" s="516">
        <v>2238072515.7992716</v>
      </c>
      <c r="E33" s="516">
        <v>17181569.264421001</v>
      </c>
      <c r="F33" s="516">
        <v>0</v>
      </c>
      <c r="G33" s="516">
        <v>386104.99000000011</v>
      </c>
      <c r="H33" s="348">
        <f t="shared" si="0"/>
        <v>2239189801.7391715</v>
      </c>
      <c r="J33" s="772"/>
    </row>
    <row r="34" spans="1:10" s="510" customFormat="1">
      <c r="A34" s="516">
        <v>28</v>
      </c>
      <c r="B34" s="532" t="s">
        <v>66</v>
      </c>
      <c r="C34" s="533">
        <f>SUM(C7:C33)</f>
        <v>573160126.22442102</v>
      </c>
      <c r="D34" s="533">
        <f>SUM(D7:D33)</f>
        <v>28787349981.546467</v>
      </c>
      <c r="E34" s="533">
        <f>SUM(E7:E33)</f>
        <v>329303688.22682101</v>
      </c>
      <c r="F34" s="533">
        <f>SUM(F7:F33)</f>
        <v>0</v>
      </c>
      <c r="G34" s="533">
        <f>SUM(G7:G33)</f>
        <v>32993989.989999942</v>
      </c>
      <c r="H34" s="534">
        <f t="shared" si="0"/>
        <v>29031206419.544067</v>
      </c>
    </row>
    <row r="35" spans="1:10">
      <c r="A35" s="323"/>
      <c r="B35" s="323"/>
      <c r="C35" s="323"/>
      <c r="D35" s="323"/>
      <c r="E35" s="323"/>
      <c r="F35" s="323"/>
      <c r="G35" s="535"/>
      <c r="H35" s="323"/>
    </row>
    <row r="36" spans="1:10">
      <c r="A36" s="323"/>
      <c r="B36" s="324"/>
      <c r="C36" s="535"/>
      <c r="D36" s="535"/>
      <c r="E36" s="535"/>
      <c r="F36" s="323"/>
      <c r="G36" s="535"/>
      <c r="H36" s="535"/>
    </row>
  </sheetData>
  <mergeCells count="5">
    <mergeCell ref="G5:G6"/>
    <mergeCell ref="A5:B6"/>
    <mergeCell ref="C5:D5"/>
    <mergeCell ref="E5:E6"/>
    <mergeCell ref="F5:F6"/>
  </mergeCells>
  <conditionalFormatting sqref="A5">
    <cfRule type="duplicateValues" dxfId="19" priority="1"/>
    <cfRule type="duplicateValues" dxfId="18" priority="2"/>
  </conditionalFormatting>
  <conditionalFormatting sqref="A5">
    <cfRule type="duplicateValues" dxfId="17"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topLeftCell="A7" zoomScaleNormal="100" workbookViewId="0"/>
  </sheetViews>
  <sheetFormatPr defaultColWidth="9.140625" defaultRowHeight="12.75"/>
  <cols>
    <col min="1" max="1" width="11.85546875" style="316" bestFit="1" customWidth="1"/>
    <col min="2" max="2" width="108" style="316" bestFit="1" customWidth="1"/>
    <col min="3" max="3" width="35.5703125" style="316" customWidth="1"/>
    <col min="4" max="4" width="38.42578125" style="322" customWidth="1"/>
    <col min="5" max="16384" width="9.140625" style="316"/>
  </cols>
  <sheetData>
    <row r="1" spans="1:8" ht="13.5">
      <c r="A1" s="315" t="s">
        <v>108</v>
      </c>
      <c r="B1" s="262" t="str">
        <f>Info!C2</f>
        <v>სს ”საქართველოს ბანკი”</v>
      </c>
      <c r="D1" s="316"/>
    </row>
    <row r="2" spans="1:8">
      <c r="A2" s="317" t="s">
        <v>109</v>
      </c>
      <c r="B2" s="319">
        <f>'1. key ratios'!B2</f>
        <v>45199</v>
      </c>
      <c r="D2" s="316"/>
    </row>
    <row r="3" spans="1:8">
      <c r="A3" s="318" t="s">
        <v>542</v>
      </c>
      <c r="D3" s="316"/>
    </row>
    <row r="5" spans="1:8">
      <c r="A5" s="852" t="s">
        <v>879</v>
      </c>
      <c r="B5" s="852"/>
      <c r="C5" s="372" t="s">
        <v>561</v>
      </c>
      <c r="D5" s="372" t="s">
        <v>878</v>
      </c>
    </row>
    <row r="6" spans="1:8">
      <c r="A6" s="371">
        <v>1</v>
      </c>
      <c r="B6" s="365" t="s">
        <v>877</v>
      </c>
      <c r="C6" s="643">
        <v>296212130.77999991</v>
      </c>
      <c r="D6" s="643">
        <v>3548131.1400000006</v>
      </c>
      <c r="G6" s="690"/>
      <c r="H6" s="690"/>
    </row>
    <row r="7" spans="1:8">
      <c r="A7" s="368">
        <v>2</v>
      </c>
      <c r="B7" s="365" t="s">
        <v>876</v>
      </c>
      <c r="C7" s="643">
        <v>172190743.55865896</v>
      </c>
      <c r="D7" s="643">
        <v>691007.77</v>
      </c>
      <c r="G7" s="690"/>
      <c r="H7" s="690"/>
    </row>
    <row r="8" spans="1:8">
      <c r="A8" s="370">
        <v>2.1</v>
      </c>
      <c r="B8" s="369" t="s">
        <v>875</v>
      </c>
      <c r="C8" s="643">
        <v>50369036</v>
      </c>
      <c r="D8" s="643">
        <v>358111.72000000015</v>
      </c>
      <c r="G8" s="690"/>
      <c r="H8" s="690"/>
    </row>
    <row r="9" spans="1:8">
      <c r="A9" s="370">
        <v>2.2000000000000002</v>
      </c>
      <c r="B9" s="369" t="s">
        <v>874</v>
      </c>
      <c r="C9" s="643">
        <v>121821707.55865896</v>
      </c>
      <c r="D9" s="643">
        <v>332896.04999999981</v>
      </c>
      <c r="G9" s="690"/>
      <c r="H9" s="690"/>
    </row>
    <row r="10" spans="1:8">
      <c r="A10" s="371">
        <v>3</v>
      </c>
      <c r="B10" s="365" t="s">
        <v>873</v>
      </c>
      <c r="C10" s="643">
        <v>161961995.92672747</v>
      </c>
      <c r="D10" s="643">
        <v>184755.5699999989</v>
      </c>
      <c r="G10" s="690"/>
      <c r="H10" s="690"/>
    </row>
    <row r="11" spans="1:8">
      <c r="A11" s="370">
        <v>3.1</v>
      </c>
      <c r="B11" s="369" t="s">
        <v>543</v>
      </c>
      <c r="C11" s="643">
        <v>32607885</v>
      </c>
      <c r="D11" s="643">
        <v>0</v>
      </c>
      <c r="G11" s="690"/>
      <c r="H11" s="690"/>
    </row>
    <row r="12" spans="1:8">
      <c r="A12" s="370">
        <v>3.2</v>
      </c>
      <c r="B12" s="369" t="s">
        <v>872</v>
      </c>
      <c r="C12" s="643">
        <v>57814917.92672734</v>
      </c>
      <c r="D12" s="643">
        <v>0</v>
      </c>
      <c r="G12" s="690"/>
      <c r="H12" s="690"/>
    </row>
    <row r="13" spans="1:8">
      <c r="A13" s="370">
        <v>3.3</v>
      </c>
      <c r="B13" s="369" t="s">
        <v>871</v>
      </c>
      <c r="C13" s="643">
        <v>71539193.000000119</v>
      </c>
      <c r="D13" s="643">
        <v>184755.5699999989</v>
      </c>
      <c r="G13" s="690"/>
      <c r="H13" s="690"/>
    </row>
    <row r="14" spans="1:8">
      <c r="A14" s="368">
        <v>4</v>
      </c>
      <c r="B14" s="367" t="s">
        <v>870</v>
      </c>
      <c r="C14" s="643">
        <v>1112558.3880683701</v>
      </c>
      <c r="D14" s="643">
        <v>2210.7100000001956</v>
      </c>
      <c r="G14" s="690"/>
      <c r="H14" s="690"/>
    </row>
    <row r="15" spans="1:8">
      <c r="A15" s="366">
        <v>5</v>
      </c>
      <c r="B15" s="365" t="s">
        <v>869</v>
      </c>
      <c r="C15" s="644">
        <f>C6+C7-C10+C14</f>
        <v>307553436.79999977</v>
      </c>
      <c r="D15" s="644">
        <f>D6+D7-D10+D14</f>
        <v>4056594.0500000017</v>
      </c>
      <c r="G15" s="690"/>
      <c r="H15" s="690"/>
    </row>
    <row r="17" spans="4:4">
      <c r="D17" s="691"/>
    </row>
  </sheetData>
  <mergeCells count="1">
    <mergeCell ref="A5:B5"/>
  </mergeCells>
  <pageMargins left="0.7" right="0.7" top="0.75" bottom="0.75" header="0.3" footer="0.3"/>
  <pageSetup orientation="portrait" horizontalDpi="4294967292"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8"/>
  <sheetViews>
    <sheetView showGridLines="0" zoomScale="85" zoomScaleNormal="85" workbookViewId="0"/>
  </sheetViews>
  <sheetFormatPr defaultColWidth="9.140625" defaultRowHeight="12.75"/>
  <cols>
    <col min="1" max="1" width="11.85546875" style="360" bestFit="1" customWidth="1"/>
    <col min="2" max="2" width="128.85546875" style="360" bestFit="1" customWidth="1"/>
    <col min="3" max="3" width="37" style="360" customWidth="1"/>
    <col min="4" max="4" width="50.5703125" style="360" customWidth="1"/>
    <col min="5" max="5" width="17.85546875" style="360" bestFit="1" customWidth="1"/>
    <col min="6" max="16384" width="9.140625" style="360"/>
  </cols>
  <sheetData>
    <row r="1" spans="1:4" ht="13.5">
      <c r="A1" s="315" t="s">
        <v>108</v>
      </c>
      <c r="B1" s="262" t="str">
        <f>Info!C2</f>
        <v>სს ”საქართველოს ბანკი”</v>
      </c>
    </row>
    <row r="2" spans="1:4">
      <c r="A2" s="317" t="s">
        <v>109</v>
      </c>
      <c r="B2" s="319">
        <f>'1. key ratios'!B2</f>
        <v>45199</v>
      </c>
    </row>
    <row r="3" spans="1:4">
      <c r="A3" s="318" t="s">
        <v>544</v>
      </c>
    </row>
    <row r="4" spans="1:4">
      <c r="A4" s="318"/>
    </row>
    <row r="5" spans="1:4" ht="15" customHeight="1">
      <c r="A5" s="853" t="s">
        <v>545</v>
      </c>
      <c r="B5" s="854"/>
      <c r="C5" s="857" t="s">
        <v>546</v>
      </c>
      <c r="D5" s="857" t="s">
        <v>547</v>
      </c>
    </row>
    <row r="6" spans="1:4">
      <c r="A6" s="855"/>
      <c r="B6" s="856"/>
      <c r="C6" s="857"/>
      <c r="D6" s="857"/>
    </row>
    <row r="7" spans="1:4" ht="15">
      <c r="A7" s="363">
        <v>1</v>
      </c>
      <c r="B7" s="353" t="s">
        <v>548</v>
      </c>
      <c r="C7" s="522">
        <v>527669515.91009992</v>
      </c>
      <c r="D7" s="373"/>
    </row>
    <row r="8" spans="1:4" ht="15">
      <c r="A8" s="350">
        <v>2</v>
      </c>
      <c r="B8" s="350" t="s">
        <v>549</v>
      </c>
      <c r="C8" s="522">
        <v>120897473.26000001</v>
      </c>
      <c r="D8" s="373"/>
    </row>
    <row r="9" spans="1:4" ht="15">
      <c r="A9" s="350">
        <v>3</v>
      </c>
      <c r="B9" s="376" t="s">
        <v>550</v>
      </c>
      <c r="C9" s="522">
        <v>3668594.22</v>
      </c>
      <c r="D9" s="373"/>
    </row>
    <row r="10" spans="1:4" ht="15">
      <c r="A10" s="350">
        <v>4</v>
      </c>
      <c r="B10" s="350" t="s">
        <v>551</v>
      </c>
      <c r="C10" s="522">
        <f>SUM(C11:C17)</f>
        <v>97374312.370000094</v>
      </c>
      <c r="D10" s="373"/>
    </row>
    <row r="11" spans="1:4" ht="15">
      <c r="A11" s="350">
        <v>5</v>
      </c>
      <c r="B11" s="375" t="s">
        <v>880</v>
      </c>
      <c r="C11" s="522">
        <v>28494297.12040009</v>
      </c>
      <c r="D11" s="373"/>
    </row>
    <row r="12" spans="1:4" ht="15">
      <c r="A12" s="350">
        <v>6</v>
      </c>
      <c r="B12" s="375" t="s">
        <v>552</v>
      </c>
      <c r="C12" s="522">
        <v>32800183.2267</v>
      </c>
      <c r="D12" s="373"/>
    </row>
    <row r="13" spans="1:4" ht="15">
      <c r="A13" s="350">
        <v>7</v>
      </c>
      <c r="B13" s="375" t="s">
        <v>555</v>
      </c>
      <c r="C13" s="522">
        <v>23743602.914799999</v>
      </c>
      <c r="D13" s="373"/>
    </row>
    <row r="14" spans="1:4" ht="15">
      <c r="A14" s="350">
        <v>8</v>
      </c>
      <c r="B14" s="375" t="s">
        <v>553</v>
      </c>
      <c r="C14" s="522">
        <v>11836872.268100001</v>
      </c>
      <c r="D14" s="350"/>
    </row>
    <row r="15" spans="1:4" ht="15">
      <c r="A15" s="350">
        <v>9</v>
      </c>
      <c r="B15" s="375" t="s">
        <v>554</v>
      </c>
      <c r="C15" s="522">
        <v>0</v>
      </c>
      <c r="D15" s="350"/>
    </row>
    <row r="16" spans="1:4" ht="15">
      <c r="A16" s="350">
        <v>10</v>
      </c>
      <c r="B16" s="375" t="s">
        <v>556</v>
      </c>
      <c r="C16" s="522">
        <v>0</v>
      </c>
      <c r="D16" s="350"/>
    </row>
    <row r="17" spans="1:5" ht="26.25">
      <c r="A17" s="350">
        <v>11</v>
      </c>
      <c r="B17" s="375" t="s">
        <v>557</v>
      </c>
      <c r="C17" s="522">
        <v>499356.84</v>
      </c>
      <c r="D17" s="373"/>
    </row>
    <row r="18" spans="1:5" ht="15">
      <c r="A18" s="363">
        <v>12</v>
      </c>
      <c r="B18" s="374" t="s">
        <v>558</v>
      </c>
      <c r="C18" s="522">
        <f>C7+C8-C10+C9</f>
        <v>554861271.02009988</v>
      </c>
      <c r="D18" s="373"/>
    </row>
    <row r="19" spans="1:5">
      <c r="C19" s="524"/>
      <c r="D19" s="523"/>
      <c r="E19" s="708"/>
    </row>
    <row r="20" spans="1:5">
      <c r="C20" s="523"/>
    </row>
    <row r="21" spans="1:5">
      <c r="B21" s="315"/>
      <c r="C21" s="523"/>
    </row>
    <row r="22" spans="1:5">
      <c r="B22" s="317"/>
      <c r="D22" s="523"/>
    </row>
    <row r="23" spans="1:5">
      <c r="B23" s="318"/>
      <c r="C23" s="523"/>
    </row>
    <row r="24" spans="1:5">
      <c r="C24" s="523"/>
    </row>
    <row r="25" spans="1:5">
      <c r="C25" s="523"/>
    </row>
    <row r="27" spans="1:5">
      <c r="D27" s="523"/>
    </row>
    <row r="28" spans="1:5">
      <c r="D28" s="523"/>
    </row>
  </sheetData>
  <mergeCells count="3">
    <mergeCell ref="A5:B6"/>
    <mergeCell ref="C5:C6"/>
    <mergeCell ref="D5:D6"/>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showGridLines="0" tabSelected="1" zoomScaleNormal="100" workbookViewId="0"/>
  </sheetViews>
  <sheetFormatPr defaultColWidth="9.140625" defaultRowHeight="12.75"/>
  <cols>
    <col min="1" max="1" width="11.85546875" style="360" bestFit="1" customWidth="1"/>
    <col min="2" max="2" width="63.85546875" style="360" customWidth="1"/>
    <col min="3" max="3" width="19.42578125" style="523" bestFit="1" customWidth="1"/>
    <col min="4" max="4" width="22.28515625" style="523" customWidth="1"/>
    <col min="5" max="18" width="22.28515625" style="360" customWidth="1"/>
    <col min="19" max="19" width="23.28515625" style="360" bestFit="1" customWidth="1"/>
    <col min="20" max="26" width="22.28515625" style="360" customWidth="1"/>
    <col min="27" max="27" width="23.28515625" style="360" bestFit="1" customWidth="1"/>
    <col min="28" max="28" width="20" style="360" customWidth="1"/>
    <col min="29" max="29" width="12.28515625" style="360" bestFit="1" customWidth="1"/>
    <col min="30" max="30" width="13.140625" style="360" bestFit="1" customWidth="1"/>
    <col min="31" max="16384" width="9.140625" style="360"/>
  </cols>
  <sheetData>
    <row r="1" spans="1:30" ht="13.5">
      <c r="A1" s="315" t="s">
        <v>108</v>
      </c>
      <c r="B1" s="262" t="str">
        <f>Info!C2</f>
        <v>სს ”საქართველოს ბანკი”</v>
      </c>
    </row>
    <row r="2" spans="1:30">
      <c r="A2" s="317" t="s">
        <v>109</v>
      </c>
      <c r="B2" s="319">
        <f>'1. key ratios'!B2</f>
        <v>45199</v>
      </c>
      <c r="C2" s="683"/>
      <c r="D2" s="775"/>
      <c r="E2" s="775"/>
      <c r="F2" s="775"/>
      <c r="G2" s="775"/>
      <c r="H2" s="775"/>
      <c r="I2" s="775"/>
      <c r="J2" s="775"/>
      <c r="K2" s="775"/>
      <c r="L2" s="775"/>
      <c r="M2" s="775"/>
      <c r="N2" s="775"/>
      <c r="O2" s="775"/>
      <c r="P2" s="775"/>
      <c r="Q2" s="775"/>
      <c r="R2" s="775"/>
      <c r="S2" s="775"/>
      <c r="T2" s="775"/>
      <c r="U2" s="775"/>
      <c r="V2" s="775"/>
      <c r="W2" s="775"/>
      <c r="X2" s="775"/>
      <c r="Y2" s="775"/>
      <c r="Z2" s="775"/>
      <c r="AA2" s="775"/>
      <c r="AB2" s="524"/>
      <c r="AC2" s="524"/>
    </row>
    <row r="3" spans="1:30">
      <c r="A3" s="318" t="s">
        <v>559</v>
      </c>
      <c r="E3" s="523"/>
      <c r="F3" s="523"/>
      <c r="G3" s="523"/>
      <c r="H3" s="523"/>
      <c r="I3" s="523"/>
      <c r="J3" s="523"/>
      <c r="K3" s="523"/>
      <c r="L3" s="523"/>
      <c r="M3" s="523"/>
      <c r="N3" s="523"/>
      <c r="O3" s="523"/>
      <c r="P3" s="523"/>
      <c r="Q3" s="523"/>
      <c r="R3" s="523"/>
      <c r="S3" s="523"/>
      <c r="T3" s="523"/>
      <c r="U3" s="523"/>
      <c r="V3" s="523"/>
      <c r="W3" s="523"/>
      <c r="X3" s="523"/>
      <c r="Y3" s="523"/>
      <c r="Z3" s="523"/>
      <c r="AA3" s="523"/>
    </row>
    <row r="4" spans="1:30">
      <c r="A4" s="360">
        <v>1</v>
      </c>
      <c r="B4" s="360" t="s">
        <v>561</v>
      </c>
      <c r="E4" s="523"/>
    </row>
    <row r="5" spans="1:30" ht="15" customHeight="1">
      <c r="A5" s="858" t="s">
        <v>893</v>
      </c>
      <c r="B5" s="859"/>
      <c r="C5" s="864" t="s">
        <v>892</v>
      </c>
      <c r="D5" s="865"/>
      <c r="E5" s="865"/>
      <c r="F5" s="865"/>
      <c r="G5" s="865"/>
      <c r="H5" s="865"/>
      <c r="I5" s="865"/>
      <c r="J5" s="865"/>
      <c r="K5" s="865"/>
      <c r="L5" s="865"/>
      <c r="M5" s="865"/>
      <c r="N5" s="865"/>
      <c r="O5" s="865"/>
      <c r="P5" s="865"/>
      <c r="Q5" s="865"/>
      <c r="R5" s="865"/>
      <c r="S5" s="865"/>
      <c r="T5" s="391"/>
      <c r="U5" s="391"/>
      <c r="V5" s="391"/>
      <c r="W5" s="391"/>
      <c r="X5" s="391"/>
      <c r="Y5" s="391"/>
      <c r="Z5" s="391"/>
      <c r="AA5" s="390"/>
      <c r="AB5" s="381"/>
    </row>
    <row r="6" spans="1:30">
      <c r="A6" s="860"/>
      <c r="B6" s="861"/>
      <c r="C6" s="866" t="s">
        <v>66</v>
      </c>
      <c r="D6" s="868" t="s">
        <v>891</v>
      </c>
      <c r="E6" s="868"/>
      <c r="F6" s="868"/>
      <c r="G6" s="868"/>
      <c r="H6" s="869" t="s">
        <v>890</v>
      </c>
      <c r="I6" s="870"/>
      <c r="J6" s="870"/>
      <c r="K6" s="871"/>
      <c r="L6" s="389"/>
      <c r="M6" s="872" t="s">
        <v>889</v>
      </c>
      <c r="N6" s="872"/>
      <c r="O6" s="872"/>
      <c r="P6" s="872"/>
      <c r="Q6" s="872"/>
      <c r="R6" s="872"/>
      <c r="S6" s="848"/>
      <c r="T6" s="388"/>
      <c r="U6" s="851" t="s">
        <v>888</v>
      </c>
      <c r="V6" s="851"/>
      <c r="W6" s="851"/>
      <c r="X6" s="851"/>
      <c r="Y6" s="851"/>
      <c r="Z6" s="851"/>
      <c r="AA6" s="849"/>
      <c r="AB6" s="387"/>
    </row>
    <row r="7" spans="1:30" ht="25.5">
      <c r="A7" s="862"/>
      <c r="B7" s="863"/>
      <c r="C7" s="867"/>
      <c r="D7" s="684"/>
      <c r="E7" s="382" t="s">
        <v>560</v>
      </c>
      <c r="F7" s="357" t="s">
        <v>886</v>
      </c>
      <c r="G7" s="357" t="s">
        <v>887</v>
      </c>
      <c r="H7" s="385"/>
      <c r="I7" s="382" t="s">
        <v>560</v>
      </c>
      <c r="J7" s="357" t="s">
        <v>886</v>
      </c>
      <c r="K7" s="357" t="s">
        <v>887</v>
      </c>
      <c r="L7" s="384"/>
      <c r="M7" s="382" t="s">
        <v>560</v>
      </c>
      <c r="N7" s="357" t="s">
        <v>886</v>
      </c>
      <c r="O7" s="357" t="s">
        <v>885</v>
      </c>
      <c r="P7" s="357" t="s">
        <v>884</v>
      </c>
      <c r="Q7" s="357" t="s">
        <v>883</v>
      </c>
      <c r="R7" s="357" t="s">
        <v>882</v>
      </c>
      <c r="S7" s="357" t="s">
        <v>881</v>
      </c>
      <c r="T7" s="383"/>
      <c r="U7" s="382" t="s">
        <v>560</v>
      </c>
      <c r="V7" s="357" t="s">
        <v>886</v>
      </c>
      <c r="W7" s="357" t="s">
        <v>885</v>
      </c>
      <c r="X7" s="357" t="s">
        <v>884</v>
      </c>
      <c r="Y7" s="357" t="s">
        <v>883</v>
      </c>
      <c r="Z7" s="357" t="s">
        <v>882</v>
      </c>
      <c r="AA7" s="357" t="s">
        <v>881</v>
      </c>
      <c r="AB7" s="381"/>
    </row>
    <row r="8" spans="1:30">
      <c r="A8" s="380">
        <v>1</v>
      </c>
      <c r="B8" s="353" t="s">
        <v>561</v>
      </c>
      <c r="C8" s="515">
        <f>SUM(C9:C14)</f>
        <v>18453452825.022308</v>
      </c>
      <c r="D8" s="515">
        <f>SUM(D9:D14)</f>
        <v>16870059732.121109</v>
      </c>
      <c r="E8" s="515">
        <f>SUM(E9:E14)</f>
        <v>146590396.91390002</v>
      </c>
      <c r="F8" s="515">
        <f t="shared" ref="F8:AA8" si="0">SUM(F9:F14)</f>
        <v>30281.281500000001</v>
      </c>
      <c r="G8" s="515">
        <f t="shared" si="0"/>
        <v>0</v>
      </c>
      <c r="H8" s="515">
        <f t="shared" si="0"/>
        <v>1028531821.8810995</v>
      </c>
      <c r="I8" s="515">
        <f t="shared" si="0"/>
        <v>69558304.411100015</v>
      </c>
      <c r="J8" s="515">
        <f>SUM(J9:J14)</f>
        <v>67110086.122699991</v>
      </c>
      <c r="K8" s="515">
        <f t="shared" si="0"/>
        <v>19606.098999999995</v>
      </c>
      <c r="L8" s="515">
        <f>SUM(L9:L14)</f>
        <v>452561614.64439988</v>
      </c>
      <c r="M8" s="515">
        <f t="shared" si="0"/>
        <v>34247372.287700005</v>
      </c>
      <c r="N8" s="515">
        <f t="shared" si="0"/>
        <v>17777622.127800003</v>
      </c>
      <c r="O8" s="515">
        <f t="shared" si="0"/>
        <v>58156990.618799999</v>
      </c>
      <c r="P8" s="515">
        <f t="shared" si="0"/>
        <v>120221850.81470001</v>
      </c>
      <c r="Q8" s="515">
        <f t="shared" si="0"/>
        <v>45822604.663400017</v>
      </c>
      <c r="R8" s="515">
        <f t="shared" si="0"/>
        <v>49580846.578499988</v>
      </c>
      <c r="S8" s="515">
        <f t="shared" si="0"/>
        <v>3467678.1225999994</v>
      </c>
      <c r="T8" s="515">
        <f t="shared" si="0"/>
        <v>102299656.37570001</v>
      </c>
      <c r="U8" s="515">
        <f t="shared" si="0"/>
        <v>10803076.923000002</v>
      </c>
      <c r="V8" s="515">
        <f t="shared" si="0"/>
        <v>22466450.850700002</v>
      </c>
      <c r="W8" s="515">
        <f t="shared" si="0"/>
        <v>4376168.8827999998</v>
      </c>
      <c r="X8" s="515">
        <f t="shared" si="0"/>
        <v>4521304.6052999999</v>
      </c>
      <c r="Y8" s="515">
        <f t="shared" si="0"/>
        <v>933844.92550000001</v>
      </c>
      <c r="Z8" s="515">
        <f t="shared" si="0"/>
        <v>1821887.9456000002</v>
      </c>
      <c r="AA8" s="515">
        <f t="shared" si="0"/>
        <v>0</v>
      </c>
      <c r="AB8" s="377"/>
    </row>
    <row r="9" spans="1:30" ht="15">
      <c r="A9" s="349">
        <v>1.1000000000000001</v>
      </c>
      <c r="B9" s="379" t="s">
        <v>562</v>
      </c>
      <c r="C9" s="541">
        <f>D9+H9+L9+T9</f>
        <v>0</v>
      </c>
      <c r="D9" s="517">
        <f>'[4]22. Quality'!D9</f>
        <v>0</v>
      </c>
      <c r="E9" s="517">
        <f>'[4]22. Quality'!E9</f>
        <v>0</v>
      </c>
      <c r="F9" s="517">
        <f>'[4]22. Quality'!F9</f>
        <v>0</v>
      </c>
      <c r="G9" s="517">
        <f>'[4]22. Quality'!G9</f>
        <v>0</v>
      </c>
      <c r="H9" s="517">
        <f>'[4]22. Quality'!H9</f>
        <v>0</v>
      </c>
      <c r="I9" s="517">
        <f>'[4]22. Quality'!I9</f>
        <v>0</v>
      </c>
      <c r="J9" s="517">
        <f>'[4]22. Quality'!J9</f>
        <v>0</v>
      </c>
      <c r="K9" s="517">
        <f>'[4]22. Quality'!K9</f>
        <v>0</v>
      </c>
      <c r="L9" s="517">
        <f>'[4]22. Quality'!L9</f>
        <v>0</v>
      </c>
      <c r="M9" s="517">
        <f>'[4]22. Quality'!M9</f>
        <v>0</v>
      </c>
      <c r="N9" s="517">
        <f>'[4]22. Quality'!N9</f>
        <v>0</v>
      </c>
      <c r="O9" s="517">
        <f>'[4]22. Quality'!O9</f>
        <v>0</v>
      </c>
      <c r="P9" s="517">
        <f>'[4]22. Quality'!P9</f>
        <v>0</v>
      </c>
      <c r="Q9" s="517">
        <f>'[4]22. Quality'!Q9</f>
        <v>0</v>
      </c>
      <c r="R9" s="517">
        <f>'[4]22. Quality'!R9</f>
        <v>0</v>
      </c>
      <c r="S9" s="517">
        <f>'[4]22. Quality'!S9</f>
        <v>0</v>
      </c>
      <c r="T9" s="517">
        <f>'[4]22. Quality'!T9</f>
        <v>0</v>
      </c>
      <c r="U9" s="517">
        <f>'[4]22. Quality'!U9</f>
        <v>0</v>
      </c>
      <c r="V9" s="517">
        <f>'[4]22. Quality'!V9</f>
        <v>0</v>
      </c>
      <c r="W9" s="517">
        <f>'[4]22. Quality'!W9</f>
        <v>0</v>
      </c>
      <c r="X9" s="517">
        <f>'[4]22. Quality'!X9</f>
        <v>0</v>
      </c>
      <c r="Y9" s="517">
        <f>'[4]22. Quality'!Y9</f>
        <v>0</v>
      </c>
      <c r="Z9" s="517">
        <f>'[4]22. Quality'!Z9</f>
        <v>0</v>
      </c>
      <c r="AA9" s="517">
        <f>'[4]22. Quality'!AA9</f>
        <v>0</v>
      </c>
      <c r="AB9" s="538"/>
      <c r="AD9" s="523"/>
    </row>
    <row r="10" spans="1:30" ht="15">
      <c r="A10" s="349">
        <v>1.2</v>
      </c>
      <c r="B10" s="379" t="s">
        <v>563</v>
      </c>
      <c r="C10" s="541">
        <f t="shared" ref="C10:C25" si="1">D10+H10+L10+T10</f>
        <v>0</v>
      </c>
      <c r="D10" s="517">
        <f>'[4]22. Quality'!D10</f>
        <v>0</v>
      </c>
      <c r="E10" s="517">
        <f>'[4]22. Quality'!E10</f>
        <v>0</v>
      </c>
      <c r="F10" s="517">
        <f>'[4]22. Quality'!F10</f>
        <v>0</v>
      </c>
      <c r="G10" s="517">
        <f>'[4]22. Quality'!G10</f>
        <v>0</v>
      </c>
      <c r="H10" s="517">
        <f>'[4]22. Quality'!H10</f>
        <v>0</v>
      </c>
      <c r="I10" s="517">
        <f>'[4]22. Quality'!I10</f>
        <v>0</v>
      </c>
      <c r="J10" s="517">
        <f>'[4]22. Quality'!J10</f>
        <v>0</v>
      </c>
      <c r="K10" s="517">
        <f>'[4]22. Quality'!K10</f>
        <v>0</v>
      </c>
      <c r="L10" s="517">
        <f>'[4]22. Quality'!L10</f>
        <v>0</v>
      </c>
      <c r="M10" s="517">
        <f>'[4]22. Quality'!M10</f>
        <v>0</v>
      </c>
      <c r="N10" s="517">
        <f>'[4]22. Quality'!N10</f>
        <v>0</v>
      </c>
      <c r="O10" s="517">
        <f>'[4]22. Quality'!O10</f>
        <v>0</v>
      </c>
      <c r="P10" s="517">
        <f>'[4]22. Quality'!P10</f>
        <v>0</v>
      </c>
      <c r="Q10" s="517">
        <f>'[4]22. Quality'!Q10</f>
        <v>0</v>
      </c>
      <c r="R10" s="517">
        <f>'[4]22. Quality'!R10</f>
        <v>0</v>
      </c>
      <c r="S10" s="517">
        <f>'[4]22. Quality'!S10</f>
        <v>0</v>
      </c>
      <c r="T10" s="517">
        <f>'[4]22. Quality'!T10</f>
        <v>0</v>
      </c>
      <c r="U10" s="517">
        <f>'[4]22. Quality'!U10</f>
        <v>0</v>
      </c>
      <c r="V10" s="517">
        <f>'[4]22. Quality'!V10</f>
        <v>0</v>
      </c>
      <c r="W10" s="517">
        <f>'[4]22. Quality'!W10</f>
        <v>0</v>
      </c>
      <c r="X10" s="517">
        <f>'[4]22. Quality'!X10</f>
        <v>0</v>
      </c>
      <c r="Y10" s="517">
        <f>'[4]22. Quality'!Y10</f>
        <v>0</v>
      </c>
      <c r="Z10" s="517">
        <f>'[4]22. Quality'!Z10</f>
        <v>0</v>
      </c>
      <c r="AA10" s="517">
        <f>'[4]22. Quality'!AA10</f>
        <v>0</v>
      </c>
      <c r="AB10" s="538"/>
      <c r="AD10" s="523"/>
    </row>
    <row r="11" spans="1:30" ht="15">
      <c r="A11" s="349">
        <v>1.3</v>
      </c>
      <c r="B11" s="379" t="s">
        <v>564</v>
      </c>
      <c r="C11" s="541">
        <f t="shared" si="1"/>
        <v>0</v>
      </c>
      <c r="D11" s="517">
        <f>'[4]22. Quality'!D11</f>
        <v>0</v>
      </c>
      <c r="E11" s="517">
        <f>'[4]22. Quality'!E11</f>
        <v>0</v>
      </c>
      <c r="F11" s="517">
        <f>'[4]22. Quality'!F11</f>
        <v>0</v>
      </c>
      <c r="G11" s="517">
        <f>'[4]22. Quality'!G11</f>
        <v>0</v>
      </c>
      <c r="H11" s="517">
        <f>'[4]22. Quality'!H11</f>
        <v>0</v>
      </c>
      <c r="I11" s="517">
        <f>'[4]22. Quality'!I11</f>
        <v>0</v>
      </c>
      <c r="J11" s="517">
        <f>'[4]22. Quality'!J11</f>
        <v>0</v>
      </c>
      <c r="K11" s="517">
        <f>'[4]22. Quality'!K11</f>
        <v>0</v>
      </c>
      <c r="L11" s="517">
        <f>'[4]22. Quality'!L11</f>
        <v>0</v>
      </c>
      <c r="M11" s="517">
        <f>'[4]22. Quality'!M11</f>
        <v>0</v>
      </c>
      <c r="N11" s="517">
        <f>'[4]22. Quality'!N11</f>
        <v>0</v>
      </c>
      <c r="O11" s="517">
        <f>'[4]22. Quality'!O11</f>
        <v>0</v>
      </c>
      <c r="P11" s="517">
        <f>'[4]22. Quality'!P11</f>
        <v>0</v>
      </c>
      <c r="Q11" s="517">
        <f>'[4]22. Quality'!Q11</f>
        <v>0</v>
      </c>
      <c r="R11" s="517">
        <f>'[4]22. Quality'!R11</f>
        <v>0</v>
      </c>
      <c r="S11" s="517">
        <f>'[4]22. Quality'!S11</f>
        <v>0</v>
      </c>
      <c r="T11" s="517">
        <f>'[4]22. Quality'!T11</f>
        <v>0</v>
      </c>
      <c r="U11" s="517">
        <f>'[4]22. Quality'!U11</f>
        <v>0</v>
      </c>
      <c r="V11" s="517">
        <f>'[4]22. Quality'!V11</f>
        <v>0</v>
      </c>
      <c r="W11" s="517">
        <f>'[4]22. Quality'!W11</f>
        <v>0</v>
      </c>
      <c r="X11" s="517">
        <f>'[4]22. Quality'!X11</f>
        <v>0</v>
      </c>
      <c r="Y11" s="517">
        <f>'[4]22. Quality'!Y11</f>
        <v>0</v>
      </c>
      <c r="Z11" s="517">
        <f>'[4]22. Quality'!Z11</f>
        <v>0</v>
      </c>
      <c r="AA11" s="517">
        <f>'[4]22. Quality'!AA11</f>
        <v>0</v>
      </c>
      <c r="AB11" s="538"/>
      <c r="AD11" s="523"/>
    </row>
    <row r="12" spans="1:30" ht="15">
      <c r="A12" s="349">
        <v>1.4</v>
      </c>
      <c r="B12" s="379" t="s">
        <v>565</v>
      </c>
      <c r="C12" s="541">
        <f>D12+H12+L12+T12</f>
        <v>214488297.62020001</v>
      </c>
      <c r="D12" s="517">
        <v>209414688.7202</v>
      </c>
      <c r="E12" s="517">
        <v>484094.94959999999</v>
      </c>
      <c r="F12" s="517">
        <v>0</v>
      </c>
      <c r="G12" s="517">
        <v>0</v>
      </c>
      <c r="H12" s="517">
        <v>0</v>
      </c>
      <c r="I12" s="517">
        <v>0</v>
      </c>
      <c r="J12" s="517">
        <v>0</v>
      </c>
      <c r="K12" s="517">
        <v>0</v>
      </c>
      <c r="L12" s="517">
        <v>5073608.9000000004</v>
      </c>
      <c r="M12" s="517">
        <v>4776760.2300000004</v>
      </c>
      <c r="N12" s="517">
        <v>0</v>
      </c>
      <c r="O12" s="517">
        <v>0</v>
      </c>
      <c r="P12" s="517">
        <v>0</v>
      </c>
      <c r="Q12" s="517">
        <v>0</v>
      </c>
      <c r="R12" s="517">
        <v>0</v>
      </c>
      <c r="S12" s="517">
        <v>0</v>
      </c>
      <c r="T12" s="517">
        <v>0</v>
      </c>
      <c r="U12" s="517">
        <v>0</v>
      </c>
      <c r="V12" s="517">
        <v>0</v>
      </c>
      <c r="W12" s="517">
        <v>0</v>
      </c>
      <c r="X12" s="517">
        <v>0</v>
      </c>
      <c r="Y12" s="517">
        <v>0</v>
      </c>
      <c r="Z12" s="517">
        <v>0</v>
      </c>
      <c r="AA12" s="517">
        <v>0</v>
      </c>
      <c r="AB12" s="538"/>
      <c r="AD12" s="523"/>
    </row>
    <row r="13" spans="1:30" ht="15">
      <c r="A13" s="349">
        <v>1.5</v>
      </c>
      <c r="B13" s="379" t="s">
        <v>566</v>
      </c>
      <c r="C13" s="541">
        <f>D13+H13+L13+T13</f>
        <v>8506102700.2966089</v>
      </c>
      <c r="D13" s="517">
        <v>7652008767.8340101</v>
      </c>
      <c r="E13" s="517">
        <v>39361119.100500003</v>
      </c>
      <c r="F13" s="517">
        <v>2.06</v>
      </c>
      <c r="G13" s="517">
        <v>0</v>
      </c>
      <c r="H13" s="517">
        <v>601872802.78119981</v>
      </c>
      <c r="I13" s="517">
        <v>11507027.851199998</v>
      </c>
      <c r="J13" s="517">
        <v>32200044.121500004</v>
      </c>
      <c r="K13" s="517">
        <v>195.6781</v>
      </c>
      <c r="L13" s="517">
        <v>230460892.80939999</v>
      </c>
      <c r="M13" s="517">
        <v>3370424.6348000001</v>
      </c>
      <c r="N13" s="517">
        <v>4178704.6819000007</v>
      </c>
      <c r="O13" s="517">
        <v>26597327.826600004</v>
      </c>
      <c r="P13" s="517">
        <v>98000822.076900005</v>
      </c>
      <c r="Q13" s="517">
        <v>30424530.160000011</v>
      </c>
      <c r="R13" s="517">
        <v>36641540.419599988</v>
      </c>
      <c r="S13" s="517">
        <v>1117477.4017999999</v>
      </c>
      <c r="T13" s="517">
        <v>21760236.87199999</v>
      </c>
      <c r="U13" s="517">
        <v>71550.367800000007</v>
      </c>
      <c r="V13" s="517">
        <v>17245070.351500001</v>
      </c>
      <c r="W13" s="517">
        <v>1792537.6483</v>
      </c>
      <c r="X13" s="517">
        <v>191445.20970000001</v>
      </c>
      <c r="Y13" s="517">
        <v>0</v>
      </c>
      <c r="Z13" s="517">
        <v>684819.63630000001</v>
      </c>
      <c r="AA13" s="517">
        <v>0</v>
      </c>
      <c r="AB13" s="538"/>
      <c r="AD13" s="523"/>
    </row>
    <row r="14" spans="1:30" ht="15">
      <c r="A14" s="349">
        <v>1.6</v>
      </c>
      <c r="B14" s="379" t="s">
        <v>567</v>
      </c>
      <c r="C14" s="541">
        <f>D14+H14+L14+T14</f>
        <v>9732861827.1054993</v>
      </c>
      <c r="D14" s="517">
        <v>9008636275.5669003</v>
      </c>
      <c r="E14" s="517">
        <v>106745182.86380002</v>
      </c>
      <c r="F14" s="517">
        <v>30279.2215</v>
      </c>
      <c r="G14" s="517">
        <v>0</v>
      </c>
      <c r="H14" s="517">
        <v>426659019.09989965</v>
      </c>
      <c r="I14" s="517">
        <v>58051276.559900016</v>
      </c>
      <c r="J14" s="517">
        <v>34910042.001199991</v>
      </c>
      <c r="K14" s="517">
        <v>19410.420899999994</v>
      </c>
      <c r="L14" s="517">
        <v>217027112.93499991</v>
      </c>
      <c r="M14" s="517">
        <v>26100187.422900006</v>
      </c>
      <c r="N14" s="517">
        <v>13598917.445900002</v>
      </c>
      <c r="O14" s="517">
        <v>31559662.792199999</v>
      </c>
      <c r="P14" s="517">
        <v>22221028.737800002</v>
      </c>
      <c r="Q14" s="517">
        <v>15398074.503400005</v>
      </c>
      <c r="R14" s="517">
        <v>12939306.158900002</v>
      </c>
      <c r="S14" s="517">
        <v>2350200.7207999998</v>
      </c>
      <c r="T14" s="517">
        <v>80539419.503700018</v>
      </c>
      <c r="U14" s="517">
        <v>10731526.555200003</v>
      </c>
      <c r="V14" s="517">
        <v>5221380.4992000014</v>
      </c>
      <c r="W14" s="517">
        <v>2583631.2344999993</v>
      </c>
      <c r="X14" s="517">
        <v>4329859.3956000004</v>
      </c>
      <c r="Y14" s="517">
        <v>933844.92550000001</v>
      </c>
      <c r="Z14" s="517">
        <v>1137068.3093000001</v>
      </c>
      <c r="AA14" s="517">
        <v>0</v>
      </c>
      <c r="AB14" s="538"/>
      <c r="AD14" s="523"/>
    </row>
    <row r="15" spans="1:30" ht="15">
      <c r="A15" s="380">
        <v>2</v>
      </c>
      <c r="B15" s="363" t="s">
        <v>568</v>
      </c>
      <c r="C15" s="541">
        <f>SUM(C16:C21)</f>
        <v>5008181992.0564995</v>
      </c>
      <c r="D15" s="541">
        <v>5008181992.0564995</v>
      </c>
      <c r="E15" s="541">
        <v>0</v>
      </c>
      <c r="F15" s="541">
        <v>0</v>
      </c>
      <c r="G15" s="541">
        <v>0</v>
      </c>
      <c r="H15" s="541">
        <v>0</v>
      </c>
      <c r="I15" s="541">
        <v>0</v>
      </c>
      <c r="J15" s="541">
        <v>0</v>
      </c>
      <c r="K15" s="541">
        <v>0</v>
      </c>
      <c r="L15" s="541">
        <v>0</v>
      </c>
      <c r="M15" s="541">
        <v>0</v>
      </c>
      <c r="N15" s="541">
        <v>0</v>
      </c>
      <c r="O15" s="541">
        <v>0</v>
      </c>
      <c r="P15" s="541">
        <v>0</v>
      </c>
      <c r="Q15" s="541">
        <v>0</v>
      </c>
      <c r="R15" s="541">
        <v>0</v>
      </c>
      <c r="S15" s="541">
        <v>0</v>
      </c>
      <c r="T15" s="541">
        <v>0</v>
      </c>
      <c r="U15" s="541">
        <v>0</v>
      </c>
      <c r="V15" s="541">
        <v>0</v>
      </c>
      <c r="W15" s="541">
        <v>0</v>
      </c>
      <c r="X15" s="541">
        <v>0</v>
      </c>
      <c r="Y15" s="541">
        <v>0</v>
      </c>
      <c r="Z15" s="541">
        <v>0</v>
      </c>
      <c r="AA15" s="541">
        <v>0</v>
      </c>
      <c r="AB15" s="538"/>
      <c r="AD15" s="523"/>
    </row>
    <row r="16" spans="1:30" ht="15">
      <c r="A16" s="349">
        <v>2.1</v>
      </c>
      <c r="B16" s="379" t="s">
        <v>562</v>
      </c>
      <c r="C16" s="541">
        <f t="shared" si="1"/>
        <v>41535427.907399997</v>
      </c>
      <c r="D16" s="517">
        <v>41535427.907399997</v>
      </c>
      <c r="E16" s="517">
        <v>0</v>
      </c>
      <c r="F16" s="517">
        <v>0</v>
      </c>
      <c r="G16" s="517">
        <v>0</v>
      </c>
      <c r="H16" s="517">
        <v>0</v>
      </c>
      <c r="I16" s="517">
        <v>0</v>
      </c>
      <c r="J16" s="517">
        <v>0</v>
      </c>
      <c r="K16" s="517">
        <v>0</v>
      </c>
      <c r="L16" s="517">
        <v>0</v>
      </c>
      <c r="M16" s="517">
        <v>0</v>
      </c>
      <c r="N16" s="517">
        <v>0</v>
      </c>
      <c r="O16" s="517">
        <v>0</v>
      </c>
      <c r="P16" s="517">
        <v>0</v>
      </c>
      <c r="Q16" s="517">
        <v>0</v>
      </c>
      <c r="R16" s="517">
        <v>0</v>
      </c>
      <c r="S16" s="517">
        <v>0</v>
      </c>
      <c r="T16" s="517">
        <v>0</v>
      </c>
      <c r="U16" s="517">
        <v>0</v>
      </c>
      <c r="V16" s="517">
        <v>0</v>
      </c>
      <c r="W16" s="517">
        <v>0</v>
      </c>
      <c r="X16" s="517">
        <v>0</v>
      </c>
      <c r="Y16" s="517">
        <v>0</v>
      </c>
      <c r="Z16" s="517">
        <v>0</v>
      </c>
      <c r="AA16" s="517">
        <v>0</v>
      </c>
      <c r="AB16" s="538"/>
      <c r="AD16" s="523"/>
    </row>
    <row r="17" spans="1:30" ht="15">
      <c r="A17" s="349">
        <v>2.2000000000000002</v>
      </c>
      <c r="B17" s="379" t="s">
        <v>563</v>
      </c>
      <c r="C17" s="541">
        <f t="shared" si="1"/>
        <v>3830496916.2261992</v>
      </c>
      <c r="D17" s="517">
        <v>3830496916.2261992</v>
      </c>
      <c r="E17" s="517">
        <v>0</v>
      </c>
      <c r="F17" s="517">
        <v>0</v>
      </c>
      <c r="G17" s="517">
        <v>0</v>
      </c>
      <c r="H17" s="517">
        <v>0</v>
      </c>
      <c r="I17" s="517">
        <v>0</v>
      </c>
      <c r="J17" s="517">
        <v>0</v>
      </c>
      <c r="K17" s="517">
        <v>0</v>
      </c>
      <c r="L17" s="517">
        <v>0</v>
      </c>
      <c r="M17" s="517">
        <v>0</v>
      </c>
      <c r="N17" s="517">
        <v>0</v>
      </c>
      <c r="O17" s="517">
        <v>0</v>
      </c>
      <c r="P17" s="517">
        <v>0</v>
      </c>
      <c r="Q17" s="517">
        <v>0</v>
      </c>
      <c r="R17" s="517">
        <v>0</v>
      </c>
      <c r="S17" s="517">
        <v>0</v>
      </c>
      <c r="T17" s="517">
        <v>0</v>
      </c>
      <c r="U17" s="517">
        <v>0</v>
      </c>
      <c r="V17" s="517">
        <v>0</v>
      </c>
      <c r="W17" s="517">
        <v>0</v>
      </c>
      <c r="X17" s="517">
        <v>0</v>
      </c>
      <c r="Y17" s="517">
        <v>0</v>
      </c>
      <c r="Z17" s="517">
        <v>0</v>
      </c>
      <c r="AA17" s="517">
        <v>0</v>
      </c>
      <c r="AB17" s="538"/>
      <c r="AD17" s="523"/>
    </row>
    <row r="18" spans="1:30" ht="15">
      <c r="A18" s="349">
        <v>2.2999999999999998</v>
      </c>
      <c r="B18" s="379" t="s">
        <v>564</v>
      </c>
      <c r="C18" s="541">
        <f t="shared" si="1"/>
        <v>1028864343.6503</v>
      </c>
      <c r="D18" s="517">
        <v>1028864343.6503</v>
      </c>
      <c r="E18" s="517">
        <v>0</v>
      </c>
      <c r="F18" s="517">
        <v>0</v>
      </c>
      <c r="G18" s="517">
        <v>0</v>
      </c>
      <c r="H18" s="517">
        <v>0</v>
      </c>
      <c r="I18" s="517">
        <v>0</v>
      </c>
      <c r="J18" s="517">
        <v>0</v>
      </c>
      <c r="K18" s="517">
        <v>0</v>
      </c>
      <c r="L18" s="517">
        <v>0</v>
      </c>
      <c r="M18" s="517">
        <v>0</v>
      </c>
      <c r="N18" s="517">
        <v>0</v>
      </c>
      <c r="O18" s="517">
        <v>0</v>
      </c>
      <c r="P18" s="517">
        <v>0</v>
      </c>
      <c r="Q18" s="517">
        <v>0</v>
      </c>
      <c r="R18" s="517">
        <v>0</v>
      </c>
      <c r="S18" s="517">
        <v>0</v>
      </c>
      <c r="T18" s="517">
        <v>0</v>
      </c>
      <c r="U18" s="517">
        <v>0</v>
      </c>
      <c r="V18" s="517">
        <v>0</v>
      </c>
      <c r="W18" s="517">
        <v>0</v>
      </c>
      <c r="X18" s="517">
        <v>0</v>
      </c>
      <c r="Y18" s="517">
        <v>0</v>
      </c>
      <c r="Z18" s="517">
        <v>0</v>
      </c>
      <c r="AA18" s="517">
        <v>0</v>
      </c>
      <c r="AB18" s="538"/>
      <c r="AD18" s="523"/>
    </row>
    <row r="19" spans="1:30" ht="15">
      <c r="A19" s="349">
        <v>2.4</v>
      </c>
      <c r="B19" s="379" t="s">
        <v>565</v>
      </c>
      <c r="C19" s="541">
        <f t="shared" si="1"/>
        <v>10169651.01</v>
      </c>
      <c r="D19" s="517">
        <v>10169651.01</v>
      </c>
      <c r="E19" s="517">
        <v>0</v>
      </c>
      <c r="F19" s="517">
        <v>0</v>
      </c>
      <c r="G19" s="517">
        <v>0</v>
      </c>
      <c r="H19" s="517">
        <v>0</v>
      </c>
      <c r="I19" s="517">
        <v>0</v>
      </c>
      <c r="J19" s="517">
        <v>0</v>
      </c>
      <c r="K19" s="517">
        <v>0</v>
      </c>
      <c r="L19" s="517">
        <v>0</v>
      </c>
      <c r="M19" s="517">
        <v>0</v>
      </c>
      <c r="N19" s="517">
        <v>0</v>
      </c>
      <c r="O19" s="517">
        <v>0</v>
      </c>
      <c r="P19" s="517">
        <v>0</v>
      </c>
      <c r="Q19" s="517">
        <v>0</v>
      </c>
      <c r="R19" s="517">
        <v>0</v>
      </c>
      <c r="S19" s="517">
        <v>0</v>
      </c>
      <c r="T19" s="517">
        <v>0</v>
      </c>
      <c r="U19" s="517">
        <v>0</v>
      </c>
      <c r="V19" s="517">
        <v>0</v>
      </c>
      <c r="W19" s="517">
        <v>0</v>
      </c>
      <c r="X19" s="517">
        <v>0</v>
      </c>
      <c r="Y19" s="517">
        <v>0</v>
      </c>
      <c r="Z19" s="517">
        <v>0</v>
      </c>
      <c r="AA19" s="517">
        <v>0</v>
      </c>
      <c r="AB19" s="538"/>
      <c r="AD19" s="523"/>
    </row>
    <row r="20" spans="1:30" ht="15">
      <c r="A20" s="349">
        <v>2.5</v>
      </c>
      <c r="B20" s="379" t="s">
        <v>566</v>
      </c>
      <c r="C20" s="541">
        <f t="shared" si="1"/>
        <v>97115653.262600005</v>
      </c>
      <c r="D20" s="517">
        <v>97115653.262600005</v>
      </c>
      <c r="E20" s="517">
        <v>0</v>
      </c>
      <c r="F20" s="517">
        <v>0</v>
      </c>
      <c r="G20" s="517">
        <v>0</v>
      </c>
      <c r="H20" s="517">
        <v>0</v>
      </c>
      <c r="I20" s="517">
        <v>0</v>
      </c>
      <c r="J20" s="517">
        <v>0</v>
      </c>
      <c r="K20" s="517">
        <v>0</v>
      </c>
      <c r="L20" s="517">
        <v>0</v>
      </c>
      <c r="M20" s="517">
        <v>0</v>
      </c>
      <c r="N20" s="517">
        <v>0</v>
      </c>
      <c r="O20" s="517">
        <v>0</v>
      </c>
      <c r="P20" s="517">
        <v>0</v>
      </c>
      <c r="Q20" s="517">
        <v>0</v>
      </c>
      <c r="R20" s="517">
        <v>0</v>
      </c>
      <c r="S20" s="517">
        <v>0</v>
      </c>
      <c r="T20" s="517">
        <v>0</v>
      </c>
      <c r="U20" s="517">
        <v>0</v>
      </c>
      <c r="V20" s="517">
        <v>0</v>
      </c>
      <c r="W20" s="517">
        <v>0</v>
      </c>
      <c r="X20" s="517">
        <v>0</v>
      </c>
      <c r="Y20" s="517">
        <v>0</v>
      </c>
      <c r="Z20" s="517">
        <v>0</v>
      </c>
      <c r="AA20" s="517">
        <v>0</v>
      </c>
      <c r="AB20" s="538"/>
      <c r="AD20" s="523"/>
    </row>
    <row r="21" spans="1:30" ht="15">
      <c r="A21" s="349">
        <v>2.6</v>
      </c>
      <c r="B21" s="379" t="s">
        <v>567</v>
      </c>
      <c r="C21" s="541">
        <f t="shared" si="1"/>
        <v>0</v>
      </c>
      <c r="D21" s="517">
        <v>0</v>
      </c>
      <c r="E21" s="517">
        <v>0</v>
      </c>
      <c r="F21" s="517">
        <v>0</v>
      </c>
      <c r="G21" s="517">
        <v>0</v>
      </c>
      <c r="H21" s="517">
        <v>0</v>
      </c>
      <c r="I21" s="517">
        <v>0</v>
      </c>
      <c r="J21" s="517">
        <v>0</v>
      </c>
      <c r="K21" s="517">
        <v>0</v>
      </c>
      <c r="L21" s="517">
        <v>0</v>
      </c>
      <c r="M21" s="517">
        <v>0</v>
      </c>
      <c r="N21" s="517">
        <v>0</v>
      </c>
      <c r="O21" s="517">
        <v>0</v>
      </c>
      <c r="P21" s="517">
        <v>0</v>
      </c>
      <c r="Q21" s="517">
        <v>0</v>
      </c>
      <c r="R21" s="517">
        <v>0</v>
      </c>
      <c r="S21" s="517">
        <v>0</v>
      </c>
      <c r="T21" s="517">
        <v>0</v>
      </c>
      <c r="U21" s="517">
        <v>0</v>
      </c>
      <c r="V21" s="517">
        <v>0</v>
      </c>
      <c r="W21" s="517">
        <v>0</v>
      </c>
      <c r="X21" s="517">
        <v>0</v>
      </c>
      <c r="Y21" s="517">
        <v>0</v>
      </c>
      <c r="Z21" s="517">
        <v>0</v>
      </c>
      <c r="AA21" s="517">
        <v>0</v>
      </c>
      <c r="AB21" s="538"/>
      <c r="AD21" s="523"/>
    </row>
    <row r="22" spans="1:30" ht="15">
      <c r="A22" s="380">
        <v>3</v>
      </c>
      <c r="B22" s="353" t="s">
        <v>569</v>
      </c>
      <c r="C22" s="541">
        <f>SUM(C23:C28)</f>
        <v>2777204295.0393</v>
      </c>
      <c r="D22" s="541">
        <v>2740363155.3204508</v>
      </c>
      <c r="E22" s="378"/>
      <c r="F22" s="378"/>
      <c r="G22" s="378"/>
      <c r="H22" s="541">
        <v>29281465.080530997</v>
      </c>
      <c r="I22" s="378"/>
      <c r="J22" s="378"/>
      <c r="K22" s="378"/>
      <c r="L22" s="541">
        <v>7510468.5308180004</v>
      </c>
      <c r="M22" s="378"/>
      <c r="N22" s="378"/>
      <c r="O22" s="378"/>
      <c r="P22" s="378"/>
      <c r="Q22" s="378"/>
      <c r="R22" s="378"/>
      <c r="S22" s="378"/>
      <c r="T22" s="517">
        <v>0</v>
      </c>
      <c r="U22" s="378"/>
      <c r="V22" s="378"/>
      <c r="W22" s="378"/>
      <c r="X22" s="378"/>
      <c r="Y22" s="378"/>
      <c r="Z22" s="378"/>
      <c r="AA22" s="378"/>
      <c r="AB22" s="538"/>
      <c r="AD22" s="523"/>
    </row>
    <row r="23" spans="1:30" ht="15">
      <c r="A23" s="349">
        <v>3.1</v>
      </c>
      <c r="B23" s="379" t="s">
        <v>562</v>
      </c>
      <c r="C23" s="541">
        <f t="shared" si="1"/>
        <v>0</v>
      </c>
      <c r="D23" s="517">
        <v>0</v>
      </c>
      <c r="E23" s="378"/>
      <c r="F23" s="378"/>
      <c r="G23" s="378"/>
      <c r="H23" s="517">
        <v>0</v>
      </c>
      <c r="I23" s="378"/>
      <c r="J23" s="378"/>
      <c r="K23" s="378"/>
      <c r="L23" s="517">
        <v>0</v>
      </c>
      <c r="M23" s="378"/>
      <c r="N23" s="378"/>
      <c r="O23" s="378"/>
      <c r="P23" s="378"/>
      <c r="Q23" s="378"/>
      <c r="R23" s="378"/>
      <c r="S23" s="378"/>
      <c r="T23" s="517">
        <v>0</v>
      </c>
      <c r="U23" s="378"/>
      <c r="V23" s="378"/>
      <c r="W23" s="378"/>
      <c r="X23" s="378"/>
      <c r="Y23" s="378"/>
      <c r="Z23" s="378"/>
      <c r="AA23" s="378"/>
      <c r="AB23" s="538"/>
      <c r="AD23" s="523"/>
    </row>
    <row r="24" spans="1:30" ht="15">
      <c r="A24" s="349">
        <v>3.2</v>
      </c>
      <c r="B24" s="379" t="s">
        <v>563</v>
      </c>
      <c r="C24" s="541">
        <f t="shared" si="1"/>
        <v>893245.59</v>
      </c>
      <c r="D24" s="517">
        <v>893245.59</v>
      </c>
      <c r="E24" s="378"/>
      <c r="F24" s="378"/>
      <c r="G24" s="378"/>
      <c r="H24" s="517">
        <v>0</v>
      </c>
      <c r="I24" s="378"/>
      <c r="J24" s="378"/>
      <c r="K24" s="378"/>
      <c r="L24" s="517">
        <v>0</v>
      </c>
      <c r="M24" s="378"/>
      <c r="N24" s="378"/>
      <c r="O24" s="378"/>
      <c r="P24" s="378"/>
      <c r="Q24" s="378"/>
      <c r="R24" s="378"/>
      <c r="S24" s="378"/>
      <c r="T24" s="517">
        <v>0</v>
      </c>
      <c r="U24" s="378"/>
      <c r="V24" s="378"/>
      <c r="W24" s="378"/>
      <c r="X24" s="378"/>
      <c r="Y24" s="378"/>
      <c r="Z24" s="378"/>
      <c r="AA24" s="378"/>
      <c r="AB24" s="538"/>
      <c r="AD24" s="523"/>
    </row>
    <row r="25" spans="1:30" ht="15">
      <c r="A25" s="349">
        <v>3.3</v>
      </c>
      <c r="B25" s="379" t="s">
        <v>564</v>
      </c>
      <c r="C25" s="541">
        <f t="shared" si="1"/>
        <v>0</v>
      </c>
      <c r="D25" s="517">
        <v>0</v>
      </c>
      <c r="E25" s="378"/>
      <c r="F25" s="378"/>
      <c r="G25" s="378"/>
      <c r="H25" s="517">
        <v>0</v>
      </c>
      <c r="I25" s="378"/>
      <c r="J25" s="378"/>
      <c r="K25" s="378"/>
      <c r="L25" s="517">
        <v>0</v>
      </c>
      <c r="M25" s="378"/>
      <c r="N25" s="378"/>
      <c r="O25" s="378"/>
      <c r="P25" s="378"/>
      <c r="Q25" s="378"/>
      <c r="R25" s="378"/>
      <c r="S25" s="378"/>
      <c r="T25" s="517">
        <v>0</v>
      </c>
      <c r="U25" s="378"/>
      <c r="V25" s="378"/>
      <c r="W25" s="378"/>
      <c r="X25" s="378"/>
      <c r="Y25" s="378"/>
      <c r="Z25" s="378"/>
      <c r="AA25" s="378"/>
      <c r="AB25" s="538"/>
      <c r="AD25" s="523"/>
    </row>
    <row r="26" spans="1:30" ht="15">
      <c r="A26" s="349">
        <v>3.4</v>
      </c>
      <c r="B26" s="379" t="s">
        <v>565</v>
      </c>
      <c r="C26" s="541">
        <f>D26+H26+L26+T26</f>
        <v>11693050.243229998</v>
      </c>
      <c r="D26" s="517">
        <v>11693050.243229998</v>
      </c>
      <c r="E26" s="378"/>
      <c r="F26" s="378"/>
      <c r="G26" s="378"/>
      <c r="H26" s="517">
        <v>0</v>
      </c>
      <c r="I26" s="378"/>
      <c r="J26" s="378"/>
      <c r="K26" s="378"/>
      <c r="L26" s="517">
        <v>0</v>
      </c>
      <c r="M26" s="378"/>
      <c r="N26" s="378"/>
      <c r="O26" s="378"/>
      <c r="P26" s="378"/>
      <c r="Q26" s="378"/>
      <c r="R26" s="378"/>
      <c r="S26" s="378"/>
      <c r="T26" s="517">
        <v>0</v>
      </c>
      <c r="U26" s="378"/>
      <c r="V26" s="378"/>
      <c r="W26" s="378"/>
      <c r="X26" s="378"/>
      <c r="Y26" s="378"/>
      <c r="Z26" s="378"/>
      <c r="AA26" s="378"/>
      <c r="AB26" s="538"/>
      <c r="AD26" s="523"/>
    </row>
    <row r="27" spans="1:30" ht="15">
      <c r="A27" s="349">
        <v>3.5</v>
      </c>
      <c r="B27" s="379" t="s">
        <v>566</v>
      </c>
      <c r="C27" s="541">
        <f>D27+H27+L27+T27</f>
        <v>2503010538.091413</v>
      </c>
      <c r="D27" s="517">
        <v>2471278576.1963048</v>
      </c>
      <c r="E27" s="378"/>
      <c r="F27" s="378"/>
      <c r="G27" s="378"/>
      <c r="H27" s="517">
        <v>24710321.857511997</v>
      </c>
      <c r="I27" s="378"/>
      <c r="J27" s="378"/>
      <c r="K27" s="378"/>
      <c r="L27" s="517">
        <v>7021640.0375960004</v>
      </c>
      <c r="M27" s="378"/>
      <c r="N27" s="378"/>
      <c r="O27" s="378"/>
      <c r="P27" s="378"/>
      <c r="Q27" s="378"/>
      <c r="R27" s="378"/>
      <c r="S27" s="378"/>
      <c r="T27" s="517">
        <v>0</v>
      </c>
      <c r="U27" s="378"/>
      <c r="V27" s="378"/>
      <c r="W27" s="378"/>
      <c r="X27" s="378"/>
      <c r="Y27" s="378"/>
      <c r="Z27" s="378"/>
      <c r="AA27" s="378"/>
      <c r="AB27" s="538"/>
      <c r="AD27" s="523"/>
    </row>
    <row r="28" spans="1:30" ht="15">
      <c r="A28" s="349">
        <v>3.6</v>
      </c>
      <c r="B28" s="379" t="s">
        <v>567</v>
      </c>
      <c r="C28" s="541">
        <f>D28+H28+L28+T28</f>
        <v>261607461.11465704</v>
      </c>
      <c r="D28" s="517">
        <v>256498283.29091606</v>
      </c>
      <c r="E28" s="378"/>
      <c r="F28" s="378"/>
      <c r="G28" s="378"/>
      <c r="H28" s="517">
        <v>4571143.2230190001</v>
      </c>
      <c r="I28" s="378"/>
      <c r="J28" s="378"/>
      <c r="K28" s="378"/>
      <c r="L28" s="517">
        <v>488828.49322200002</v>
      </c>
      <c r="M28" s="378"/>
      <c r="N28" s="378"/>
      <c r="O28" s="378"/>
      <c r="P28" s="378"/>
      <c r="Q28" s="378"/>
      <c r="R28" s="378"/>
      <c r="S28" s="378"/>
      <c r="T28" s="517">
        <v>49206.107499999998</v>
      </c>
      <c r="U28" s="378"/>
      <c r="V28" s="378"/>
      <c r="W28" s="378"/>
      <c r="X28" s="378"/>
      <c r="Y28" s="378"/>
      <c r="Z28" s="378"/>
      <c r="AA28" s="378"/>
      <c r="AB28" s="538"/>
      <c r="AD28" s="523"/>
    </row>
    <row r="30" spans="1:30">
      <c r="D30" s="523">
        <v>209414688.7202</v>
      </c>
    </row>
    <row r="31" spans="1:30">
      <c r="D31" s="523">
        <v>7654347276.8340082</v>
      </c>
    </row>
    <row r="32" spans="1:30">
      <c r="D32" s="523">
        <v>9006297766.5669899</v>
      </c>
      <c r="E32" s="523"/>
    </row>
    <row r="34" spans="4:4">
      <c r="D34" s="523">
        <f>D30-D12</f>
        <v>0</v>
      </c>
    </row>
    <row r="35" spans="4:4">
      <c r="D35" s="523">
        <f t="shared" ref="D35:D39" si="2">D31-D13</f>
        <v>2338508.9999980927</v>
      </c>
    </row>
    <row r="36" spans="4:4">
      <c r="D36" s="523">
        <f t="shared" si="2"/>
        <v>-2338508.9999103546</v>
      </c>
    </row>
    <row r="37" spans="4:4">
      <c r="D37" s="523">
        <f t="shared" si="2"/>
        <v>-5008181992.0564995</v>
      </c>
    </row>
    <row r="38" spans="4:4">
      <c r="D38" s="523">
        <f t="shared" si="2"/>
        <v>-41535427.907399997</v>
      </c>
    </row>
    <row r="39" spans="4:4">
      <c r="D39" s="523">
        <f t="shared" si="2"/>
        <v>-3828158407.2262011</v>
      </c>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topLeftCell="C1" zoomScaleNormal="100" workbookViewId="0">
      <selection activeCell="C1" sqref="C1"/>
    </sheetView>
  </sheetViews>
  <sheetFormatPr defaultColWidth="9.140625" defaultRowHeight="12.75"/>
  <cols>
    <col min="1" max="1" width="11.85546875" style="360" bestFit="1" customWidth="1"/>
    <col min="2" max="2" width="90.28515625" style="360" bestFit="1" customWidth="1"/>
    <col min="3" max="3" width="20.140625" style="360" customWidth="1"/>
    <col min="4" max="4" width="22.28515625" style="360" customWidth="1"/>
    <col min="5" max="7" width="17.140625" style="360" customWidth="1"/>
    <col min="8" max="8" width="22.28515625" style="360" customWidth="1"/>
    <col min="9" max="10" width="17.140625" style="360" customWidth="1"/>
    <col min="11" max="27" width="22.28515625" style="360" customWidth="1"/>
    <col min="28" max="16384" width="9.140625" style="360"/>
  </cols>
  <sheetData>
    <row r="1" spans="1:28" ht="13.5">
      <c r="A1" s="315" t="s">
        <v>108</v>
      </c>
      <c r="B1" s="262" t="str">
        <f>Info!C2</f>
        <v>სს ”საქართველოს ბანკი”</v>
      </c>
      <c r="D1" s="524"/>
    </row>
    <row r="2" spans="1:28">
      <c r="A2" s="317" t="s">
        <v>109</v>
      </c>
      <c r="B2" s="319">
        <f>'1. key ratios'!B2</f>
        <v>45199</v>
      </c>
      <c r="S2" s="523"/>
    </row>
    <row r="3" spans="1:28">
      <c r="A3" s="318" t="s">
        <v>570</v>
      </c>
      <c r="C3" s="362"/>
      <c r="E3" s="523"/>
      <c r="H3" s="523"/>
      <c r="L3" s="523"/>
      <c r="T3" s="523"/>
    </row>
    <row r="4" spans="1:28" ht="13.5" thickBot="1">
      <c r="A4" s="318"/>
      <c r="B4" s="362"/>
      <c r="C4" s="362"/>
    </row>
    <row r="5" spans="1:28" s="392" customFormat="1" ht="13.5" customHeight="1">
      <c r="A5" s="877" t="s">
        <v>900</v>
      </c>
      <c r="B5" s="878"/>
      <c r="C5" s="874" t="s">
        <v>571</v>
      </c>
      <c r="D5" s="875"/>
      <c r="E5" s="875"/>
      <c r="F5" s="875"/>
      <c r="G5" s="875"/>
      <c r="H5" s="875"/>
      <c r="I5" s="875"/>
      <c r="J5" s="875"/>
      <c r="K5" s="875"/>
      <c r="L5" s="875"/>
      <c r="M5" s="875"/>
      <c r="N5" s="875"/>
      <c r="O5" s="875"/>
      <c r="P5" s="875"/>
      <c r="Q5" s="875"/>
      <c r="R5" s="875"/>
      <c r="S5" s="875"/>
      <c r="T5" s="875"/>
      <c r="U5" s="875"/>
      <c r="V5" s="875"/>
      <c r="W5" s="875"/>
      <c r="X5" s="875"/>
      <c r="Y5" s="875"/>
      <c r="Z5" s="875"/>
      <c r="AA5" s="876"/>
    </row>
    <row r="6" spans="1:28" s="392" customFormat="1" ht="12" customHeight="1">
      <c r="A6" s="879"/>
      <c r="B6" s="880"/>
      <c r="C6" s="884" t="s">
        <v>66</v>
      </c>
      <c r="D6" s="883" t="s">
        <v>891</v>
      </c>
      <c r="E6" s="883"/>
      <c r="F6" s="883"/>
      <c r="G6" s="883"/>
      <c r="H6" s="869" t="s">
        <v>890</v>
      </c>
      <c r="I6" s="870"/>
      <c r="J6" s="870"/>
      <c r="K6" s="870"/>
      <c r="L6" s="388"/>
      <c r="M6" s="851" t="s">
        <v>889</v>
      </c>
      <c r="N6" s="851"/>
      <c r="O6" s="851"/>
      <c r="P6" s="851"/>
      <c r="Q6" s="851"/>
      <c r="R6" s="851"/>
      <c r="S6" s="849"/>
      <c r="T6" s="388"/>
      <c r="U6" s="851" t="s">
        <v>888</v>
      </c>
      <c r="V6" s="851"/>
      <c r="W6" s="851"/>
      <c r="X6" s="851"/>
      <c r="Y6" s="851"/>
      <c r="Z6" s="851"/>
      <c r="AA6" s="873"/>
    </row>
    <row r="7" spans="1:28" s="392" customFormat="1" ht="38.25">
      <c r="A7" s="881"/>
      <c r="B7" s="882"/>
      <c r="C7" s="885"/>
      <c r="D7" s="386"/>
      <c r="E7" s="382" t="s">
        <v>560</v>
      </c>
      <c r="F7" s="357" t="s">
        <v>886</v>
      </c>
      <c r="G7" s="357" t="s">
        <v>887</v>
      </c>
      <c r="H7" s="411"/>
      <c r="I7" s="382" t="s">
        <v>560</v>
      </c>
      <c r="J7" s="357" t="s">
        <v>886</v>
      </c>
      <c r="K7" s="357" t="s">
        <v>887</v>
      </c>
      <c r="L7" s="383"/>
      <c r="M7" s="382" t="s">
        <v>560</v>
      </c>
      <c r="N7" s="357" t="s">
        <v>899</v>
      </c>
      <c r="O7" s="357" t="s">
        <v>898</v>
      </c>
      <c r="P7" s="357" t="s">
        <v>897</v>
      </c>
      <c r="Q7" s="357" t="s">
        <v>896</v>
      </c>
      <c r="R7" s="357" t="s">
        <v>895</v>
      </c>
      <c r="S7" s="357" t="s">
        <v>881</v>
      </c>
      <c r="T7" s="383"/>
      <c r="U7" s="382" t="s">
        <v>560</v>
      </c>
      <c r="V7" s="357" t="s">
        <v>899</v>
      </c>
      <c r="W7" s="357" t="s">
        <v>898</v>
      </c>
      <c r="X7" s="357" t="s">
        <v>897</v>
      </c>
      <c r="Y7" s="357" t="s">
        <v>896</v>
      </c>
      <c r="Z7" s="357" t="s">
        <v>895</v>
      </c>
      <c r="AA7" s="357" t="s">
        <v>881</v>
      </c>
    </row>
    <row r="8" spans="1:28" ht="15">
      <c r="A8" s="409">
        <v>1</v>
      </c>
      <c r="B8" s="410" t="s">
        <v>561</v>
      </c>
      <c r="C8" s="519">
        <f t="shared" ref="C8:C15" si="0">D8+H8+L8+T8</f>
        <v>18453452825.022427</v>
      </c>
      <c r="D8" s="513">
        <v>16870059732.121222</v>
      </c>
      <c r="E8" s="513">
        <v>146590396.91390002</v>
      </c>
      <c r="F8" s="513">
        <v>30281.281500000001</v>
      </c>
      <c r="G8" s="513"/>
      <c r="H8" s="513">
        <v>1028531821.8811001</v>
      </c>
      <c r="I8" s="513">
        <v>69558304.4111</v>
      </c>
      <c r="J8" s="513">
        <v>67110086.122700006</v>
      </c>
      <c r="K8" s="513">
        <v>19606.098999999998</v>
      </c>
      <c r="L8" s="513">
        <v>452561614.6444</v>
      </c>
      <c r="M8" s="513">
        <v>34247372.287700005</v>
      </c>
      <c r="N8" s="513">
        <v>17777622.127799999</v>
      </c>
      <c r="O8" s="513">
        <v>58156990.618799999</v>
      </c>
      <c r="P8" s="513">
        <v>120221850.81470004</v>
      </c>
      <c r="Q8" s="513">
        <v>45822604.663400002</v>
      </c>
      <c r="R8" s="513">
        <v>49580846.578499988</v>
      </c>
      <c r="S8" s="513">
        <v>3467678.1225999999</v>
      </c>
      <c r="T8" s="513">
        <v>102299656.37570001</v>
      </c>
      <c r="U8" s="513">
        <v>10803076.923</v>
      </c>
      <c r="V8" s="513">
        <v>22466450.850700002</v>
      </c>
      <c r="W8" s="513">
        <v>4376168.8827999998</v>
      </c>
      <c r="X8" s="513">
        <v>4521304.6052999999</v>
      </c>
      <c r="Y8" s="513">
        <v>933844.92550000001</v>
      </c>
      <c r="Z8" s="513">
        <v>1821887.9456</v>
      </c>
      <c r="AA8" s="513">
        <v>0</v>
      </c>
      <c r="AB8" s="513"/>
    </row>
    <row r="9" spans="1:28" ht="15">
      <c r="A9" s="409">
        <v>1.1000000000000001</v>
      </c>
      <c r="B9" s="410" t="s">
        <v>572</v>
      </c>
      <c r="C9" s="519">
        <f t="shared" si="0"/>
        <v>15138011869.530701</v>
      </c>
      <c r="D9" s="513">
        <v>13808652813.2404</v>
      </c>
      <c r="E9" s="513">
        <v>109242516.1152</v>
      </c>
      <c r="F9" s="513">
        <v>0</v>
      </c>
      <c r="G9" s="513"/>
      <c r="H9" s="513">
        <v>892639195.54190016</v>
      </c>
      <c r="I9" s="513">
        <v>46206034.344099998</v>
      </c>
      <c r="J9" s="513">
        <v>49746608.882600002</v>
      </c>
      <c r="K9" s="513">
        <v>0</v>
      </c>
      <c r="L9" s="513">
        <v>341557647.42319995</v>
      </c>
      <c r="M9" s="513">
        <v>12839692.440499999</v>
      </c>
      <c r="N9" s="513">
        <v>9708085.1062000003</v>
      </c>
      <c r="O9" s="513">
        <v>41156006.141900003</v>
      </c>
      <c r="P9" s="513">
        <v>118437382.20190001</v>
      </c>
      <c r="Q9" s="513">
        <v>43887885.965399995</v>
      </c>
      <c r="R9" s="513">
        <v>37055718.389300004</v>
      </c>
      <c r="S9" s="513">
        <v>0</v>
      </c>
      <c r="T9" s="513">
        <v>95162213.325200006</v>
      </c>
      <c r="U9" s="513">
        <v>9449700.2697999999</v>
      </c>
      <c r="V9" s="513">
        <v>22047900.038600001</v>
      </c>
      <c r="W9" s="513">
        <v>4123079.1225999999</v>
      </c>
      <c r="X9" s="513">
        <v>4444701.4965000004</v>
      </c>
      <c r="Y9" s="513">
        <v>933844.92550000001</v>
      </c>
      <c r="Z9" s="513">
        <v>1821887.9456</v>
      </c>
      <c r="AA9" s="513"/>
      <c r="AB9" s="513"/>
    </row>
    <row r="10" spans="1:28" ht="15">
      <c r="A10" s="407" t="s">
        <v>157</v>
      </c>
      <c r="B10" s="408" t="s">
        <v>573</v>
      </c>
      <c r="C10" s="519">
        <f t="shared" si="0"/>
        <v>14808306143.884899</v>
      </c>
      <c r="D10" s="513">
        <v>13487744305.2815</v>
      </c>
      <c r="E10" s="513">
        <v>106834919.48290001</v>
      </c>
      <c r="F10" s="513">
        <v>0</v>
      </c>
      <c r="G10" s="513"/>
      <c r="H10" s="513">
        <v>887330323.03470016</v>
      </c>
      <c r="I10" s="513">
        <v>45564247.521799996</v>
      </c>
      <c r="J10" s="513">
        <v>49035941.5669</v>
      </c>
      <c r="K10" s="513">
        <v>0</v>
      </c>
      <c r="L10" s="513">
        <v>338069302.24349999</v>
      </c>
      <c r="M10" s="513">
        <v>12786493.423799999</v>
      </c>
      <c r="N10" s="513">
        <v>9576010.7259</v>
      </c>
      <c r="O10" s="513">
        <v>40675963.891200006</v>
      </c>
      <c r="P10" s="513">
        <v>117440526.25189999</v>
      </c>
      <c r="Q10" s="513">
        <v>43887885.965399995</v>
      </c>
      <c r="R10" s="513">
        <v>37055718.389300004</v>
      </c>
      <c r="S10" s="513">
        <v>0</v>
      </c>
      <c r="T10" s="513">
        <v>95162213.325200006</v>
      </c>
      <c r="U10" s="513">
        <v>9449700.2697999999</v>
      </c>
      <c r="V10" s="513">
        <v>22047900.038600001</v>
      </c>
      <c r="W10" s="513">
        <v>4123079.1225999999</v>
      </c>
      <c r="X10" s="513">
        <v>4444701.4965000004</v>
      </c>
      <c r="Y10" s="513">
        <v>933844.92550000001</v>
      </c>
      <c r="Z10" s="513">
        <v>1821887.9456</v>
      </c>
      <c r="AA10" s="513"/>
      <c r="AB10" s="513"/>
    </row>
    <row r="11" spans="1:28" ht="15">
      <c r="A11" s="406" t="s">
        <v>574</v>
      </c>
      <c r="B11" s="405" t="s">
        <v>575</v>
      </c>
      <c r="C11" s="519">
        <f t="shared" si="0"/>
        <v>7780832137.2422009</v>
      </c>
      <c r="D11" s="513">
        <v>7213478134.1652002</v>
      </c>
      <c r="E11" s="513">
        <v>58984384.881700002</v>
      </c>
      <c r="F11" s="513">
        <v>0</v>
      </c>
      <c r="G11" s="513"/>
      <c r="H11" s="513">
        <v>348966664.74359995</v>
      </c>
      <c r="I11" s="513">
        <v>22992531.672599997</v>
      </c>
      <c r="J11" s="513">
        <v>12787630.781500001</v>
      </c>
      <c r="K11" s="513">
        <v>0</v>
      </c>
      <c r="L11" s="513">
        <v>179287173.62519997</v>
      </c>
      <c r="M11" s="513">
        <v>5407541.0561999995</v>
      </c>
      <c r="N11" s="513">
        <v>5970536.0110999998</v>
      </c>
      <c r="O11" s="513">
        <v>11242617.0551</v>
      </c>
      <c r="P11" s="513">
        <v>68972518.473499998</v>
      </c>
      <c r="Q11" s="513">
        <v>22618633.8358</v>
      </c>
      <c r="R11" s="513">
        <v>23433677.467099998</v>
      </c>
      <c r="S11" s="513">
        <v>0</v>
      </c>
      <c r="T11" s="513">
        <v>39100164.7082</v>
      </c>
      <c r="U11" s="513">
        <v>3493163.9833</v>
      </c>
      <c r="V11" s="513">
        <v>3050657.1849000002</v>
      </c>
      <c r="W11" s="513">
        <v>2208786.0096</v>
      </c>
      <c r="X11" s="513">
        <v>490765.12550000002</v>
      </c>
      <c r="Y11" s="513">
        <v>85334.61</v>
      </c>
      <c r="Z11" s="513">
        <v>429822.9192</v>
      </c>
      <c r="AA11" s="513"/>
      <c r="AB11" s="513"/>
    </row>
    <row r="12" spans="1:28" ht="15">
      <c r="A12" s="406" t="s">
        <v>576</v>
      </c>
      <c r="B12" s="405" t="s">
        <v>577</v>
      </c>
      <c r="C12" s="519">
        <f t="shared" si="0"/>
        <v>2620505842.3301005</v>
      </c>
      <c r="D12" s="513">
        <v>2444554014.7202005</v>
      </c>
      <c r="E12" s="513">
        <v>20178582.0735</v>
      </c>
      <c r="F12" s="513">
        <v>0</v>
      </c>
      <c r="G12" s="513"/>
      <c r="H12" s="513">
        <v>110537488.67900001</v>
      </c>
      <c r="I12" s="513">
        <v>9772691.940299999</v>
      </c>
      <c r="J12" s="513">
        <v>10405596.0318</v>
      </c>
      <c r="K12" s="513">
        <v>0</v>
      </c>
      <c r="L12" s="513">
        <v>28862260.971300002</v>
      </c>
      <c r="M12" s="513">
        <v>1880916.1610999999</v>
      </c>
      <c r="N12" s="513">
        <v>421824.9412</v>
      </c>
      <c r="O12" s="513">
        <v>5409435.8228000002</v>
      </c>
      <c r="P12" s="513">
        <v>4811963.3425000003</v>
      </c>
      <c r="Q12" s="513">
        <v>2365054.6638000002</v>
      </c>
      <c r="R12" s="513">
        <v>3119229.0791000002</v>
      </c>
      <c r="S12" s="513">
        <v>0</v>
      </c>
      <c r="T12" s="513">
        <v>36552077.959600002</v>
      </c>
      <c r="U12" s="513">
        <v>2913854.2168000001</v>
      </c>
      <c r="V12" s="513">
        <v>17608277.201299999</v>
      </c>
      <c r="W12" s="513">
        <v>827328.11970000004</v>
      </c>
      <c r="X12" s="513">
        <v>373706.5392</v>
      </c>
      <c r="Y12" s="513">
        <v>34006.792699999998</v>
      </c>
      <c r="Z12" s="513">
        <v>989972.53689999995</v>
      </c>
      <c r="AA12" s="513"/>
      <c r="AB12" s="513"/>
    </row>
    <row r="13" spans="1:28" ht="15">
      <c r="A13" s="406" t="s">
        <v>578</v>
      </c>
      <c r="B13" s="405" t="s">
        <v>579</v>
      </c>
      <c r="C13" s="519">
        <f t="shared" si="0"/>
        <v>1323049530.2023003</v>
      </c>
      <c r="D13" s="513">
        <v>1185908520.4268003</v>
      </c>
      <c r="E13" s="513">
        <v>14992031.7848</v>
      </c>
      <c r="F13" s="513">
        <v>0</v>
      </c>
      <c r="G13" s="513"/>
      <c r="H13" s="513">
        <v>91273878.851200014</v>
      </c>
      <c r="I13" s="513">
        <v>8774799.2364000008</v>
      </c>
      <c r="J13" s="513">
        <v>20877748.194899999</v>
      </c>
      <c r="K13" s="513">
        <v>0</v>
      </c>
      <c r="L13" s="513">
        <v>34784697.180699997</v>
      </c>
      <c r="M13" s="513">
        <v>2114327.0104</v>
      </c>
      <c r="N13" s="513">
        <v>2345169.3986999998</v>
      </c>
      <c r="O13" s="513">
        <v>5572545.7094000001</v>
      </c>
      <c r="P13" s="513">
        <v>6880411.8606000002</v>
      </c>
      <c r="Q13" s="513">
        <v>4502815.0184000004</v>
      </c>
      <c r="R13" s="513">
        <v>1620757.9489</v>
      </c>
      <c r="S13" s="513">
        <v>0</v>
      </c>
      <c r="T13" s="513">
        <v>11082433.7436</v>
      </c>
      <c r="U13" s="513">
        <v>1136710.6952</v>
      </c>
      <c r="V13" s="513">
        <v>740229.00840000005</v>
      </c>
      <c r="W13" s="513">
        <v>594357.84739999997</v>
      </c>
      <c r="X13" s="513">
        <v>2716440.8665</v>
      </c>
      <c r="Y13" s="513">
        <v>0</v>
      </c>
      <c r="Z13" s="513">
        <v>62849.885300000002</v>
      </c>
      <c r="AA13" s="513"/>
      <c r="AB13" s="513"/>
    </row>
    <row r="14" spans="1:28" ht="15">
      <c r="A14" s="406" t="s">
        <v>580</v>
      </c>
      <c r="B14" s="405" t="s">
        <v>581</v>
      </c>
      <c r="C14" s="519">
        <f t="shared" si="0"/>
        <v>3083918634.1103001</v>
      </c>
      <c r="D14" s="513">
        <v>2643803635.9692998</v>
      </c>
      <c r="E14" s="513">
        <v>12679920.742899999</v>
      </c>
      <c r="F14" s="513">
        <v>0</v>
      </c>
      <c r="G14" s="513"/>
      <c r="H14" s="513">
        <v>336552290.76090008</v>
      </c>
      <c r="I14" s="513">
        <v>4024224.6725000003</v>
      </c>
      <c r="J14" s="513">
        <v>4964966.5586999999</v>
      </c>
      <c r="K14" s="513">
        <v>0</v>
      </c>
      <c r="L14" s="513">
        <v>95135170.466299996</v>
      </c>
      <c r="M14" s="513">
        <v>3383709.1960999998</v>
      </c>
      <c r="N14" s="513">
        <v>838480.37489999994</v>
      </c>
      <c r="O14" s="513">
        <v>18451365.3039</v>
      </c>
      <c r="P14" s="513">
        <v>36775632.575300001</v>
      </c>
      <c r="Q14" s="513">
        <v>14401382.4474</v>
      </c>
      <c r="R14" s="513">
        <v>8882053.8942000009</v>
      </c>
      <c r="S14" s="513">
        <v>0</v>
      </c>
      <c r="T14" s="513">
        <v>8427536.9138000011</v>
      </c>
      <c r="U14" s="513">
        <v>1905971.3744999999</v>
      </c>
      <c r="V14" s="513">
        <v>648736.64399999997</v>
      </c>
      <c r="W14" s="513">
        <v>492607.1459</v>
      </c>
      <c r="X14" s="513">
        <v>863788.96530000004</v>
      </c>
      <c r="Y14" s="513">
        <v>814503.52280000004</v>
      </c>
      <c r="Z14" s="513">
        <v>339242.6042</v>
      </c>
      <c r="AA14" s="513"/>
      <c r="AB14" s="513"/>
    </row>
    <row r="15" spans="1:28" ht="15">
      <c r="A15" s="404">
        <v>1.2</v>
      </c>
      <c r="B15" s="402" t="s">
        <v>894</v>
      </c>
      <c r="C15" s="519">
        <f t="shared" si="0"/>
        <v>157317392.28127003</v>
      </c>
      <c r="D15" s="513">
        <v>26915299.939999998</v>
      </c>
      <c r="E15" s="513">
        <v>575579.21</v>
      </c>
      <c r="F15" s="513">
        <v>0</v>
      </c>
      <c r="G15" s="513"/>
      <c r="H15" s="513">
        <v>25420737.390000001</v>
      </c>
      <c r="I15" s="513">
        <v>691276.5</v>
      </c>
      <c r="J15" s="513">
        <v>632685.9</v>
      </c>
      <c r="K15" s="513">
        <v>0</v>
      </c>
      <c r="L15" s="513">
        <v>83709945.680824012</v>
      </c>
      <c r="M15" s="513">
        <v>3060941.633591</v>
      </c>
      <c r="N15" s="513">
        <v>1681644.1672769999</v>
      </c>
      <c r="O15" s="513">
        <v>13351846.694540001</v>
      </c>
      <c r="P15" s="513">
        <v>22742480.610808</v>
      </c>
      <c r="Q15" s="513">
        <v>17418135.308077998</v>
      </c>
      <c r="R15" s="513">
        <v>10060186.871819001</v>
      </c>
      <c r="S15" s="513">
        <v>0</v>
      </c>
      <c r="T15" s="513">
        <v>21271409.270446002</v>
      </c>
      <c r="U15" s="513">
        <v>2842475.9145599999</v>
      </c>
      <c r="V15" s="513">
        <v>8289341.3788250005</v>
      </c>
      <c r="W15" s="513">
        <v>997706.15999999992</v>
      </c>
      <c r="X15" s="513">
        <v>1120122.3999999999</v>
      </c>
      <c r="Y15" s="513">
        <v>550150.04824899998</v>
      </c>
      <c r="Z15" s="513">
        <v>419629.18860700005</v>
      </c>
      <c r="AA15" s="513"/>
      <c r="AB15" s="513"/>
    </row>
    <row r="16" spans="1:28" ht="15">
      <c r="A16" s="403">
        <v>1.3</v>
      </c>
      <c r="B16" s="402" t="s">
        <v>582</v>
      </c>
      <c r="C16" s="520"/>
      <c r="D16" s="521"/>
      <c r="E16" s="521"/>
      <c r="F16" s="521"/>
      <c r="G16" s="521"/>
      <c r="H16" s="521"/>
      <c r="I16" s="521"/>
      <c r="J16" s="521"/>
      <c r="K16" s="521"/>
      <c r="L16" s="521"/>
      <c r="M16" s="521"/>
      <c r="N16" s="521"/>
      <c r="O16" s="521"/>
      <c r="P16" s="521"/>
      <c r="Q16" s="521"/>
      <c r="R16" s="521"/>
      <c r="S16" s="521"/>
      <c r="T16" s="521"/>
      <c r="U16" s="521"/>
      <c r="V16" s="521"/>
      <c r="W16" s="521"/>
      <c r="X16" s="521"/>
      <c r="Y16" s="521"/>
      <c r="Z16" s="521"/>
      <c r="AA16" s="521"/>
      <c r="AB16" s="521"/>
    </row>
    <row r="17" spans="1:28" s="392" customFormat="1" ht="25.5">
      <c r="A17" s="400" t="s">
        <v>583</v>
      </c>
      <c r="B17" s="401" t="s">
        <v>584</v>
      </c>
      <c r="C17" s="519">
        <f t="shared" ref="C17:C22" si="1">D17+H17+L17+T17</f>
        <v>14140306678.615801</v>
      </c>
      <c r="D17" s="522">
        <v>12888865797.567501</v>
      </c>
      <c r="E17" s="522">
        <v>105933320.3432</v>
      </c>
      <c r="F17" s="522">
        <v>0</v>
      </c>
      <c r="G17" s="522"/>
      <c r="H17" s="522">
        <v>837621530.59440005</v>
      </c>
      <c r="I17" s="522">
        <v>45836500.681299999</v>
      </c>
      <c r="J17" s="522">
        <v>48968044.590599999</v>
      </c>
      <c r="K17" s="522">
        <v>0</v>
      </c>
      <c r="L17" s="522">
        <v>320718608.3046</v>
      </c>
      <c r="M17" s="522">
        <v>12395383.1734</v>
      </c>
      <c r="N17" s="522">
        <v>9507485.0260000005</v>
      </c>
      <c r="O17" s="522">
        <v>36812931.263999999</v>
      </c>
      <c r="P17" s="522">
        <v>112309885.4163</v>
      </c>
      <c r="Q17" s="522">
        <v>39939583.7914</v>
      </c>
      <c r="R17" s="522">
        <v>33776095.0396</v>
      </c>
      <c r="S17" s="522">
        <v>0</v>
      </c>
      <c r="T17" s="522">
        <v>93100742.149299994</v>
      </c>
      <c r="U17" s="522">
        <v>9110612.7952999994</v>
      </c>
      <c r="V17" s="522">
        <v>21977955.0823</v>
      </c>
      <c r="W17" s="522">
        <v>4019548.9866999998</v>
      </c>
      <c r="X17" s="522">
        <v>4307870.2812000001</v>
      </c>
      <c r="Y17" s="522">
        <v>606994.35880000005</v>
      </c>
      <c r="Z17" s="522">
        <v>1763866.8414</v>
      </c>
      <c r="AA17" s="522"/>
      <c r="AB17" s="522"/>
    </row>
    <row r="18" spans="1:28" s="392" customFormat="1" ht="26.25">
      <c r="A18" s="397" t="s">
        <v>585</v>
      </c>
      <c r="B18" s="398" t="s">
        <v>586</v>
      </c>
      <c r="C18" s="519">
        <f t="shared" si="1"/>
        <v>13497963706.803789</v>
      </c>
      <c r="D18" s="522">
        <v>12310812942.13126</v>
      </c>
      <c r="E18" s="522">
        <v>103067316.78</v>
      </c>
      <c r="F18" s="522">
        <v>0</v>
      </c>
      <c r="G18" s="522"/>
      <c r="H18" s="522">
        <v>784653878.06393099</v>
      </c>
      <c r="I18" s="522">
        <v>44814574.529300004</v>
      </c>
      <c r="J18" s="522">
        <v>47887925.348200001</v>
      </c>
      <c r="K18" s="522">
        <v>0</v>
      </c>
      <c r="L18" s="522">
        <v>309396144.45719999</v>
      </c>
      <c r="M18" s="522">
        <v>12137083.967700001</v>
      </c>
      <c r="N18" s="522">
        <v>9362840.0810000002</v>
      </c>
      <c r="O18" s="522">
        <v>34960855.5273</v>
      </c>
      <c r="P18" s="522">
        <v>106658458.9966</v>
      </c>
      <c r="Q18" s="522">
        <v>39223426.207999997</v>
      </c>
      <c r="R18" s="522">
        <v>33152204.8851</v>
      </c>
      <c r="S18" s="522">
        <v>0</v>
      </c>
      <c r="T18" s="522">
        <v>93100742.1514</v>
      </c>
      <c r="U18" s="522">
        <v>9110612.7952999994</v>
      </c>
      <c r="V18" s="522">
        <v>21977955.084600002</v>
      </c>
      <c r="W18" s="522">
        <v>4019548.9866999998</v>
      </c>
      <c r="X18" s="522">
        <v>4307870.2812000001</v>
      </c>
      <c r="Y18" s="522">
        <v>606994.36270000006</v>
      </c>
      <c r="Z18" s="522">
        <v>1763866.8414</v>
      </c>
      <c r="AA18" s="522"/>
      <c r="AB18" s="522"/>
    </row>
    <row r="19" spans="1:28" s="392" customFormat="1" ht="15">
      <c r="A19" s="400" t="s">
        <v>587</v>
      </c>
      <c r="B19" s="399" t="s">
        <v>588</v>
      </c>
      <c r="C19" s="519">
        <f t="shared" si="1"/>
        <v>16679349604.477402</v>
      </c>
      <c r="D19" s="522">
        <v>15526121657.185701</v>
      </c>
      <c r="E19" s="522">
        <v>94295968.852299988</v>
      </c>
      <c r="F19" s="522">
        <v>0</v>
      </c>
      <c r="G19" s="522"/>
      <c r="H19" s="522">
        <v>732436235.1401999</v>
      </c>
      <c r="I19" s="522">
        <v>46914758.187299997</v>
      </c>
      <c r="J19" s="522">
        <v>27503511.7075</v>
      </c>
      <c r="K19" s="522">
        <v>0</v>
      </c>
      <c r="L19" s="522">
        <v>356736511.09669995</v>
      </c>
      <c r="M19" s="522">
        <v>11184557.052300001</v>
      </c>
      <c r="N19" s="522">
        <v>6887751.9025999997</v>
      </c>
      <c r="O19" s="522">
        <v>21919010.459199999</v>
      </c>
      <c r="P19" s="522">
        <v>147558709.89769998</v>
      </c>
      <c r="Q19" s="522">
        <v>36237070.456100002</v>
      </c>
      <c r="R19" s="522">
        <v>26774372.081099998</v>
      </c>
      <c r="S19" s="522">
        <v>0</v>
      </c>
      <c r="T19" s="522">
        <v>64055201.054800011</v>
      </c>
      <c r="U19" s="522">
        <v>6037923.9397</v>
      </c>
      <c r="V19" s="522">
        <v>7316039.7434999999</v>
      </c>
      <c r="W19" s="522">
        <v>3149942.9365999997</v>
      </c>
      <c r="X19" s="522">
        <v>1118088.6767</v>
      </c>
      <c r="Y19" s="522">
        <v>132742.90730000002</v>
      </c>
      <c r="Z19" s="522">
        <v>957372.41819999996</v>
      </c>
      <c r="AA19" s="522"/>
      <c r="AB19" s="522"/>
    </row>
    <row r="20" spans="1:28" s="392" customFormat="1" ht="15">
      <c r="A20" s="397" t="s">
        <v>589</v>
      </c>
      <c r="B20" s="398" t="s">
        <v>590</v>
      </c>
      <c r="C20" s="519">
        <f t="shared" si="1"/>
        <v>15323451206.239021</v>
      </c>
      <c r="D20" s="522">
        <v>14233464969.941422</v>
      </c>
      <c r="E20" s="522">
        <v>92569698.01000002</v>
      </c>
      <c r="F20" s="522">
        <v>0</v>
      </c>
      <c r="G20" s="522"/>
      <c r="H20" s="522">
        <v>697700751.29620004</v>
      </c>
      <c r="I20" s="522">
        <v>45582636.7007</v>
      </c>
      <c r="J20" s="522">
        <v>26251835.6818</v>
      </c>
      <c r="K20" s="522">
        <v>0</v>
      </c>
      <c r="L20" s="522">
        <v>328457905.91280001</v>
      </c>
      <c r="M20" s="522">
        <v>9932735.4923</v>
      </c>
      <c r="N20" s="522">
        <v>6742751.7690000003</v>
      </c>
      <c r="O20" s="522">
        <v>21226057.582699999</v>
      </c>
      <c r="P20" s="522">
        <v>126827953.41339999</v>
      </c>
      <c r="Q20" s="522">
        <v>32834466.621999998</v>
      </c>
      <c r="R20" s="522">
        <v>26277208.054899998</v>
      </c>
      <c r="S20" s="522">
        <v>0</v>
      </c>
      <c r="T20" s="522">
        <v>63827579.088600002</v>
      </c>
      <c r="U20" s="522">
        <v>6037923.9347000001</v>
      </c>
      <c r="V20" s="522">
        <v>7316039.7454000004</v>
      </c>
      <c r="W20" s="522">
        <v>3149942.9332999997</v>
      </c>
      <c r="X20" s="522">
        <v>1118088.6787999999</v>
      </c>
      <c r="Y20" s="522">
        <v>132742.90730000002</v>
      </c>
      <c r="Z20" s="522">
        <v>850240.40859999997</v>
      </c>
      <c r="AA20" s="522"/>
      <c r="AB20" s="522"/>
    </row>
    <row r="21" spans="1:28" s="392" customFormat="1" ht="15">
      <c r="A21" s="396">
        <v>1.4</v>
      </c>
      <c r="B21" s="395" t="s">
        <v>679</v>
      </c>
      <c r="C21" s="519">
        <f>D21+H21+L21+T21</f>
        <v>95766489.191074967</v>
      </c>
      <c r="D21" s="522">
        <f>88812955.3822+544955.668874964</f>
        <v>89357911.051074967</v>
      </c>
      <c r="E21" s="522">
        <v>1174164.2670860479</v>
      </c>
      <c r="F21" s="522">
        <v>0</v>
      </c>
      <c r="G21" s="522"/>
      <c r="H21" s="522">
        <v>2951249.0500000003</v>
      </c>
      <c r="I21" s="522">
        <v>210567.45</v>
      </c>
      <c r="J21" s="522">
        <v>252412.3</v>
      </c>
      <c r="K21" s="522">
        <v>0</v>
      </c>
      <c r="L21" s="522">
        <v>3457329.09</v>
      </c>
      <c r="M21" s="522">
        <v>563206.47</v>
      </c>
      <c r="N21" s="522">
        <v>111611.69</v>
      </c>
      <c r="O21" s="522">
        <v>26795.47</v>
      </c>
      <c r="P21" s="522">
        <v>2390246.9900000002</v>
      </c>
      <c r="Q21" s="522">
        <v>0</v>
      </c>
      <c r="R21" s="522">
        <v>0</v>
      </c>
      <c r="S21" s="522">
        <v>0</v>
      </c>
      <c r="T21" s="522">
        <v>0</v>
      </c>
      <c r="U21" s="522">
        <v>0</v>
      </c>
      <c r="V21" s="522">
        <v>0</v>
      </c>
      <c r="W21" s="522">
        <v>0</v>
      </c>
      <c r="X21" s="522">
        <v>0</v>
      </c>
      <c r="Y21" s="522">
        <v>0</v>
      </c>
      <c r="Z21" s="522">
        <v>0</v>
      </c>
      <c r="AA21" s="522"/>
      <c r="AB21" s="522"/>
    </row>
    <row r="22" spans="1:28" s="392" customFormat="1" ht="15.75" thickBot="1">
      <c r="A22" s="394">
        <v>1.5</v>
      </c>
      <c r="B22" s="393" t="s">
        <v>680</v>
      </c>
      <c r="C22" s="519">
        <f t="shared" si="1"/>
        <v>66291724.068949923</v>
      </c>
      <c r="D22" s="522">
        <v>62285915.609549925</v>
      </c>
      <c r="E22" s="522">
        <v>0</v>
      </c>
      <c r="F22" s="522">
        <v>0</v>
      </c>
      <c r="G22" s="522"/>
      <c r="H22" s="522">
        <v>2626948.3643999998</v>
      </c>
      <c r="I22" s="522">
        <v>0</v>
      </c>
      <c r="J22" s="522">
        <v>0</v>
      </c>
      <c r="K22" s="522">
        <v>0</v>
      </c>
      <c r="L22" s="522">
        <v>1378860.0950000002</v>
      </c>
      <c r="M22" s="522">
        <v>0</v>
      </c>
      <c r="N22" s="522">
        <v>0</v>
      </c>
      <c r="O22" s="522">
        <v>0</v>
      </c>
      <c r="P22" s="522">
        <v>740024.80500000005</v>
      </c>
      <c r="Q22" s="522">
        <v>0</v>
      </c>
      <c r="R22" s="522">
        <v>0</v>
      </c>
      <c r="S22" s="522">
        <v>0</v>
      </c>
      <c r="T22" s="522">
        <v>0</v>
      </c>
      <c r="U22" s="522">
        <v>0</v>
      </c>
      <c r="V22" s="522">
        <v>0</v>
      </c>
      <c r="W22" s="522">
        <v>0</v>
      </c>
      <c r="X22" s="522">
        <v>0</v>
      </c>
      <c r="Y22" s="522">
        <v>0</v>
      </c>
      <c r="Z22" s="522">
        <v>0</v>
      </c>
      <c r="AA22" s="522"/>
      <c r="AB22" s="522"/>
    </row>
    <row r="23" spans="1:28">
      <c r="C23" s="523"/>
      <c r="D23" s="316"/>
      <c r="E23" s="316"/>
      <c r="F23" s="316"/>
    </row>
    <row r="24" spans="1:28">
      <c r="C24" s="523"/>
    </row>
    <row r="25" spans="1:28">
      <c r="C25" s="523"/>
      <c r="E25" s="514"/>
      <c r="F25" s="514"/>
      <c r="G25" s="514"/>
      <c r="H25" s="514"/>
      <c r="I25" s="514"/>
      <c r="J25" s="514"/>
      <c r="K25" s="514"/>
      <c r="L25" s="514"/>
      <c r="M25" s="514"/>
      <c r="N25" s="514"/>
      <c r="O25" s="514"/>
      <c r="P25" s="514"/>
      <c r="Q25" s="514"/>
      <c r="R25" s="514"/>
      <c r="S25" s="514"/>
      <c r="T25" s="514"/>
      <c r="U25" s="514"/>
      <c r="V25" s="514"/>
      <c r="W25" s="514"/>
      <c r="X25" s="514"/>
      <c r="Y25" s="514"/>
      <c r="Z25" s="514"/>
      <c r="AA25" s="514"/>
      <c r="AB25" s="514"/>
    </row>
    <row r="26" spans="1:28">
      <c r="C26" s="523"/>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onditionalFormatting>
  <conditionalFormatting sqref="A5">
    <cfRule type="duplicateValues" dxfId="14"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zoomScaleNormal="100" workbookViewId="0">
      <selection activeCell="A3" sqref="A3"/>
    </sheetView>
  </sheetViews>
  <sheetFormatPr defaultColWidth="9.140625" defaultRowHeight="12.75"/>
  <cols>
    <col min="1" max="1" width="11.85546875" style="360" bestFit="1" customWidth="1"/>
    <col min="2" max="2" width="93.42578125" style="360" customWidth="1"/>
    <col min="3" max="3" width="18.7109375" style="360" bestFit="1" customWidth="1"/>
    <col min="4" max="5" width="16.140625" style="360" customWidth="1"/>
    <col min="6" max="6" width="16.140625" style="412" customWidth="1"/>
    <col min="7" max="7" width="25.28515625" style="412" customWidth="1"/>
    <col min="8" max="8" width="16.140625" style="360" customWidth="1"/>
    <col min="9" max="11" width="16.140625" style="412" customWidth="1"/>
    <col min="12" max="12" width="26.28515625" style="412" customWidth="1"/>
    <col min="13" max="16384" width="9.140625" style="360"/>
  </cols>
  <sheetData>
    <row r="1" spans="1:12" ht="13.5">
      <c r="A1" s="315" t="s">
        <v>108</v>
      </c>
      <c r="B1" s="262" t="str">
        <f>Info!C2</f>
        <v>სს ”საქართველოს ბანკი”</v>
      </c>
      <c r="F1" s="360"/>
      <c r="G1" s="360"/>
      <c r="I1" s="360"/>
      <c r="J1" s="360"/>
      <c r="K1" s="360"/>
      <c r="L1" s="360"/>
    </row>
    <row r="2" spans="1:12">
      <c r="A2" s="317" t="s">
        <v>109</v>
      </c>
      <c r="B2" s="319">
        <f>'1. key ratios'!B2</f>
        <v>45199</v>
      </c>
      <c r="F2" s="360"/>
      <c r="G2" s="360"/>
      <c r="I2" s="360"/>
      <c r="J2" s="360"/>
      <c r="K2" s="360"/>
      <c r="L2" s="360"/>
    </row>
    <row r="3" spans="1:12">
      <c r="A3" s="318" t="s">
        <v>593</v>
      </c>
      <c r="F3" s="360"/>
      <c r="G3" s="360"/>
      <c r="I3" s="360"/>
      <c r="J3" s="360"/>
      <c r="K3" s="360"/>
      <c r="L3" s="360"/>
    </row>
    <row r="4" spans="1:12">
      <c r="F4" s="360"/>
      <c r="G4" s="360"/>
      <c r="I4" s="360"/>
      <c r="J4" s="360"/>
      <c r="K4" s="360"/>
      <c r="L4" s="360"/>
    </row>
    <row r="5" spans="1:12" ht="37.5" customHeight="1">
      <c r="A5" s="835" t="s">
        <v>594</v>
      </c>
      <c r="B5" s="836"/>
      <c r="C5" s="886" t="s">
        <v>595</v>
      </c>
      <c r="D5" s="887"/>
      <c r="E5" s="887"/>
      <c r="F5" s="887"/>
      <c r="G5" s="887"/>
      <c r="H5" s="888" t="s">
        <v>906</v>
      </c>
      <c r="I5" s="889"/>
      <c r="J5" s="889"/>
      <c r="K5" s="889"/>
      <c r="L5" s="890"/>
    </row>
    <row r="6" spans="1:12" ht="39.6" customHeight="1">
      <c r="A6" s="839"/>
      <c r="B6" s="840"/>
      <c r="C6" s="325"/>
      <c r="D6" s="358" t="s">
        <v>891</v>
      </c>
      <c r="E6" s="358" t="s">
        <v>890</v>
      </c>
      <c r="F6" s="358" t="s">
        <v>889</v>
      </c>
      <c r="G6" s="358" t="s">
        <v>888</v>
      </c>
      <c r="H6" s="414"/>
      <c r="I6" s="358" t="s">
        <v>891</v>
      </c>
      <c r="J6" s="358" t="s">
        <v>890</v>
      </c>
      <c r="K6" s="358" t="s">
        <v>889</v>
      </c>
      <c r="L6" s="358" t="s">
        <v>888</v>
      </c>
    </row>
    <row r="7" spans="1:12">
      <c r="A7" s="349">
        <v>1</v>
      </c>
      <c r="B7" s="364" t="s">
        <v>517</v>
      </c>
      <c r="C7" s="536">
        <f>SUM(D7:G7)</f>
        <v>743527650.78620005</v>
      </c>
      <c r="D7" s="517">
        <v>694286490.17229998</v>
      </c>
      <c r="E7" s="517">
        <v>34852085.426200002</v>
      </c>
      <c r="F7" s="517">
        <v>9984377.7193000019</v>
      </c>
      <c r="G7" s="517">
        <v>4404697.4683999997</v>
      </c>
      <c r="H7" s="517">
        <f>SUM(I7:L7)</f>
        <v>10157779.034880999</v>
      </c>
      <c r="I7" s="517">
        <v>2986180.1999999997</v>
      </c>
      <c r="J7" s="517">
        <v>1565350.4899999998</v>
      </c>
      <c r="K7" s="517">
        <v>4971882.0682670008</v>
      </c>
      <c r="L7" s="517">
        <v>634366.27661400009</v>
      </c>
    </row>
    <row r="8" spans="1:12">
      <c r="A8" s="349">
        <v>2</v>
      </c>
      <c r="B8" s="364" t="s">
        <v>518</v>
      </c>
      <c r="C8" s="536">
        <f t="shared" ref="C8:C32" si="0">SUM(D8:G8)</f>
        <v>695423045.73278117</v>
      </c>
      <c r="D8" s="517">
        <v>667025243.99288094</v>
      </c>
      <c r="E8" s="517">
        <v>19134542.128400002</v>
      </c>
      <c r="F8" s="517">
        <v>6727062.3616002388</v>
      </c>
      <c r="G8" s="517">
        <v>2536197.2498999997</v>
      </c>
      <c r="H8" s="517">
        <f t="shared" ref="H8:H32" si="1">SUM(I8:L8)</f>
        <v>6079308.5690540001</v>
      </c>
      <c r="I8" s="517">
        <v>2869633.5600000005</v>
      </c>
      <c r="J8" s="517">
        <v>535252.94000000006</v>
      </c>
      <c r="K8" s="517">
        <v>2215708.338864</v>
      </c>
      <c r="L8" s="517">
        <v>458713.73019000003</v>
      </c>
    </row>
    <row r="9" spans="1:12">
      <c r="A9" s="349">
        <v>3</v>
      </c>
      <c r="B9" s="364" t="s">
        <v>867</v>
      </c>
      <c r="C9" s="536">
        <f t="shared" si="0"/>
        <v>21326852.710000001</v>
      </c>
      <c r="D9" s="517">
        <v>16253243.810000001</v>
      </c>
      <c r="E9" s="517">
        <v>0</v>
      </c>
      <c r="F9" s="517">
        <v>5073608.9000000004</v>
      </c>
      <c r="G9" s="517">
        <v>0</v>
      </c>
      <c r="H9" s="517">
        <f t="shared" si="1"/>
        <v>4776760.2300000004</v>
      </c>
      <c r="I9" s="517">
        <v>0</v>
      </c>
      <c r="J9" s="517">
        <v>0</v>
      </c>
      <c r="K9" s="517">
        <v>4776760.2300000004</v>
      </c>
      <c r="L9" s="517">
        <v>0</v>
      </c>
    </row>
    <row r="10" spans="1:12">
      <c r="A10" s="349">
        <v>4</v>
      </c>
      <c r="B10" s="364" t="s">
        <v>519</v>
      </c>
      <c r="C10" s="536">
        <f t="shared" si="0"/>
        <v>803418792.5165</v>
      </c>
      <c r="D10" s="517">
        <v>713325333.09099996</v>
      </c>
      <c r="E10" s="517">
        <v>54294186.670800008</v>
      </c>
      <c r="F10" s="517">
        <v>19167898.8759</v>
      </c>
      <c r="G10" s="517">
        <v>16631373.878799999</v>
      </c>
      <c r="H10" s="517">
        <f t="shared" si="1"/>
        <v>18964733.29648</v>
      </c>
      <c r="I10" s="517">
        <v>609180.77999999991</v>
      </c>
      <c r="J10" s="517">
        <v>958687.1399999999</v>
      </c>
      <c r="K10" s="517">
        <v>10735757.363497</v>
      </c>
      <c r="L10" s="517">
        <v>6661108.0129829999</v>
      </c>
    </row>
    <row r="11" spans="1:12">
      <c r="A11" s="349">
        <v>5</v>
      </c>
      <c r="B11" s="364" t="s">
        <v>520</v>
      </c>
      <c r="C11" s="536">
        <f t="shared" si="0"/>
        <v>1092505733.2536001</v>
      </c>
      <c r="D11" s="517">
        <v>1029604964.6295</v>
      </c>
      <c r="E11" s="517">
        <v>36778101.561100006</v>
      </c>
      <c r="F11" s="517">
        <v>23641693.581200004</v>
      </c>
      <c r="G11" s="517">
        <v>2480973.4817999997</v>
      </c>
      <c r="H11" s="517">
        <f t="shared" si="1"/>
        <v>7556656.4555869997</v>
      </c>
      <c r="I11" s="517">
        <v>1970850.83</v>
      </c>
      <c r="J11" s="517">
        <v>603555.26</v>
      </c>
      <c r="K11" s="517">
        <v>4825776.4655869994</v>
      </c>
      <c r="L11" s="517">
        <v>156473.90000000002</v>
      </c>
    </row>
    <row r="12" spans="1:12">
      <c r="A12" s="349">
        <v>6</v>
      </c>
      <c r="B12" s="364" t="s">
        <v>521</v>
      </c>
      <c r="C12" s="536">
        <f t="shared" si="0"/>
        <v>726053257.75470006</v>
      </c>
      <c r="D12" s="517">
        <v>654242333.17680001</v>
      </c>
      <c r="E12" s="517">
        <v>50038103.016099997</v>
      </c>
      <c r="F12" s="517">
        <v>18791039.983100004</v>
      </c>
      <c r="G12" s="517">
        <v>2981781.5787</v>
      </c>
      <c r="H12" s="517">
        <f t="shared" si="1"/>
        <v>14176416.795362001</v>
      </c>
      <c r="I12" s="517">
        <v>3681611.87</v>
      </c>
      <c r="J12" s="517">
        <v>1851312.1</v>
      </c>
      <c r="K12" s="517">
        <v>7986698.9853620008</v>
      </c>
      <c r="L12" s="517">
        <v>656793.84000000008</v>
      </c>
    </row>
    <row r="13" spans="1:12">
      <c r="A13" s="349">
        <v>7</v>
      </c>
      <c r="B13" s="364" t="s">
        <v>522</v>
      </c>
      <c r="C13" s="536">
        <f t="shared" si="0"/>
        <v>633939833.39859986</v>
      </c>
      <c r="D13" s="517">
        <v>578110885.63989985</v>
      </c>
      <c r="E13" s="517">
        <v>31159017.379199997</v>
      </c>
      <c r="F13" s="517">
        <v>23721919.365600005</v>
      </c>
      <c r="G13" s="517">
        <v>948011.01390000002</v>
      </c>
      <c r="H13" s="517">
        <f t="shared" si="1"/>
        <v>12770630.949181002</v>
      </c>
      <c r="I13" s="517">
        <v>2013828.3399999999</v>
      </c>
      <c r="J13" s="517">
        <v>1763570.4900000002</v>
      </c>
      <c r="K13" s="517">
        <v>8817461.9100460019</v>
      </c>
      <c r="L13" s="517">
        <v>175770.20913500001</v>
      </c>
    </row>
    <row r="14" spans="1:12">
      <c r="A14" s="349">
        <v>8</v>
      </c>
      <c r="B14" s="364" t="s">
        <v>523</v>
      </c>
      <c r="C14" s="536">
        <f t="shared" si="0"/>
        <v>779395421.72490001</v>
      </c>
      <c r="D14" s="517">
        <v>745633833.46379995</v>
      </c>
      <c r="E14" s="517">
        <v>18351535.642200004</v>
      </c>
      <c r="F14" s="517">
        <v>13019778.442099998</v>
      </c>
      <c r="G14" s="517">
        <v>2390274.1768</v>
      </c>
      <c r="H14" s="517">
        <f t="shared" si="1"/>
        <v>9298564.475575</v>
      </c>
      <c r="I14" s="517">
        <v>3327926.3000000003</v>
      </c>
      <c r="J14" s="517">
        <v>993318</v>
      </c>
      <c r="K14" s="517">
        <v>4091117.0155439996</v>
      </c>
      <c r="L14" s="517">
        <v>886203.16003099992</v>
      </c>
    </row>
    <row r="15" spans="1:12">
      <c r="A15" s="349">
        <v>9</v>
      </c>
      <c r="B15" s="364" t="s">
        <v>524</v>
      </c>
      <c r="C15" s="536">
        <f t="shared" si="0"/>
        <v>827265680.18580019</v>
      </c>
      <c r="D15" s="517">
        <v>639961833.77410007</v>
      </c>
      <c r="E15" s="517">
        <v>180286093.12100002</v>
      </c>
      <c r="F15" s="517">
        <v>6072412.2351999991</v>
      </c>
      <c r="G15" s="517">
        <v>945341.0554999999</v>
      </c>
      <c r="H15" s="517">
        <f t="shared" si="1"/>
        <v>16932624.126966998</v>
      </c>
      <c r="I15" s="517">
        <v>2689672.6</v>
      </c>
      <c r="J15" s="517">
        <v>12326178.239999996</v>
      </c>
      <c r="K15" s="517">
        <v>1756917.6669670001</v>
      </c>
      <c r="L15" s="517">
        <v>159855.62</v>
      </c>
    </row>
    <row r="16" spans="1:12">
      <c r="A16" s="349">
        <v>10</v>
      </c>
      <c r="B16" s="364" t="s">
        <v>525</v>
      </c>
      <c r="C16" s="536">
        <f t="shared" si="0"/>
        <v>397028035.44819999</v>
      </c>
      <c r="D16" s="517">
        <v>372063853.42009997</v>
      </c>
      <c r="E16" s="517">
        <v>14892002.982099999</v>
      </c>
      <c r="F16" s="517">
        <v>9685783.7380999997</v>
      </c>
      <c r="G16" s="517">
        <v>386395.30789999996</v>
      </c>
      <c r="H16" s="517">
        <f t="shared" si="1"/>
        <v>5810442.1856720001</v>
      </c>
      <c r="I16" s="517">
        <v>1210291.8699999999</v>
      </c>
      <c r="J16" s="517">
        <v>483950.60000000009</v>
      </c>
      <c r="K16" s="517">
        <v>3955728.9256719998</v>
      </c>
      <c r="L16" s="517">
        <v>160470.79</v>
      </c>
    </row>
    <row r="17" spans="1:12">
      <c r="A17" s="349">
        <v>11</v>
      </c>
      <c r="B17" s="364" t="s">
        <v>526</v>
      </c>
      <c r="C17" s="536">
        <f t="shared" si="0"/>
        <v>290773393.25059998</v>
      </c>
      <c r="D17" s="517">
        <v>280736100.60679996</v>
      </c>
      <c r="E17" s="517">
        <v>6717424.2964000003</v>
      </c>
      <c r="F17" s="517">
        <v>3140536.7941999999</v>
      </c>
      <c r="G17" s="517">
        <v>179331.55319999999</v>
      </c>
      <c r="H17" s="517">
        <f t="shared" si="1"/>
        <v>2835535.9884120007</v>
      </c>
      <c r="I17" s="517">
        <v>1206211.3900000001</v>
      </c>
      <c r="J17" s="517">
        <v>351122.80000000005</v>
      </c>
      <c r="K17" s="517">
        <v>1222979.5784120001</v>
      </c>
      <c r="L17" s="517">
        <v>55222.22</v>
      </c>
    </row>
    <row r="18" spans="1:12">
      <c r="A18" s="349">
        <v>12</v>
      </c>
      <c r="B18" s="364" t="s">
        <v>527</v>
      </c>
      <c r="C18" s="536">
        <f t="shared" si="0"/>
        <v>761519323.18339992</v>
      </c>
      <c r="D18" s="517">
        <v>716483735.74379992</v>
      </c>
      <c r="E18" s="517">
        <v>25515525.634600006</v>
      </c>
      <c r="F18" s="517">
        <v>18435389.909900002</v>
      </c>
      <c r="G18" s="517">
        <v>1084671.8951000001</v>
      </c>
      <c r="H18" s="517">
        <f t="shared" si="1"/>
        <v>8025067.6901319996</v>
      </c>
      <c r="I18" s="517">
        <v>2719887.26</v>
      </c>
      <c r="J18" s="517">
        <v>961598.15</v>
      </c>
      <c r="K18" s="517">
        <v>4170845.3003259995</v>
      </c>
      <c r="L18" s="517">
        <v>172736.97980600002</v>
      </c>
    </row>
    <row r="19" spans="1:12">
      <c r="A19" s="349">
        <v>13</v>
      </c>
      <c r="B19" s="364" t="s">
        <v>528</v>
      </c>
      <c r="C19" s="536">
        <f t="shared" si="0"/>
        <v>191972891.69649997</v>
      </c>
      <c r="D19" s="517">
        <v>179582645.24339998</v>
      </c>
      <c r="E19" s="517">
        <v>7797813.6569999997</v>
      </c>
      <c r="F19" s="517">
        <v>4442965.4411000004</v>
      </c>
      <c r="G19" s="517">
        <v>149467.35500000001</v>
      </c>
      <c r="H19" s="517">
        <f t="shared" si="1"/>
        <v>4406252.5241699992</v>
      </c>
      <c r="I19" s="517">
        <v>2151121.4</v>
      </c>
      <c r="J19" s="517">
        <v>345912.74999999994</v>
      </c>
      <c r="K19" s="517">
        <v>1856833.8141700001</v>
      </c>
      <c r="L19" s="517">
        <v>52384.560000000005</v>
      </c>
    </row>
    <row r="20" spans="1:12">
      <c r="A20" s="349">
        <v>14</v>
      </c>
      <c r="B20" s="364" t="s">
        <v>529</v>
      </c>
      <c r="C20" s="536">
        <f t="shared" si="0"/>
        <v>1145632029.1420002</v>
      </c>
      <c r="D20" s="517">
        <v>968860873.2198</v>
      </c>
      <c r="E20" s="517">
        <v>140599605.60030001</v>
      </c>
      <c r="F20" s="517">
        <v>35535932.732500002</v>
      </c>
      <c r="G20" s="517">
        <v>635617.58940000006</v>
      </c>
      <c r="H20" s="517">
        <f t="shared" si="1"/>
        <v>15925155.809217</v>
      </c>
      <c r="I20" s="517">
        <v>1676007.67</v>
      </c>
      <c r="J20" s="517">
        <v>785174.68999999983</v>
      </c>
      <c r="K20" s="517">
        <v>13396068.769217001</v>
      </c>
      <c r="L20" s="517">
        <v>67904.680000000008</v>
      </c>
    </row>
    <row r="21" spans="1:12">
      <c r="A21" s="349">
        <v>15</v>
      </c>
      <c r="B21" s="364" t="s">
        <v>530</v>
      </c>
      <c r="C21" s="536">
        <f t="shared" si="0"/>
        <v>274512510.5952</v>
      </c>
      <c r="D21" s="517">
        <v>248063197.0828</v>
      </c>
      <c r="E21" s="517">
        <v>18216755.9782</v>
      </c>
      <c r="F21" s="517">
        <v>6575795.3966000006</v>
      </c>
      <c r="G21" s="517">
        <v>1656762.1376000002</v>
      </c>
      <c r="H21" s="517">
        <f t="shared" si="1"/>
        <v>3966239.5710170004</v>
      </c>
      <c r="I21" s="517">
        <v>1518721.3</v>
      </c>
      <c r="J21" s="517">
        <v>427980.99000000005</v>
      </c>
      <c r="K21" s="517">
        <v>1802905.861731</v>
      </c>
      <c r="L21" s="517">
        <v>216631.41928600002</v>
      </c>
    </row>
    <row r="22" spans="1:12">
      <c r="A22" s="349">
        <v>16</v>
      </c>
      <c r="B22" s="364" t="s">
        <v>531</v>
      </c>
      <c r="C22" s="536">
        <f t="shared" si="0"/>
        <v>636366264.94850004</v>
      </c>
      <c r="D22" s="517">
        <v>482792764.13690001</v>
      </c>
      <c r="E22" s="517">
        <v>88427467.306199998</v>
      </c>
      <c r="F22" s="517">
        <v>64618162.505099989</v>
      </c>
      <c r="G22" s="517">
        <v>527871.00030000007</v>
      </c>
      <c r="H22" s="517">
        <f t="shared" si="1"/>
        <v>14599282.433948997</v>
      </c>
      <c r="I22" s="517">
        <v>1550938.03</v>
      </c>
      <c r="J22" s="517">
        <v>5473948.5499999989</v>
      </c>
      <c r="K22" s="517">
        <v>7436820.4939489998</v>
      </c>
      <c r="L22" s="517">
        <v>137575.36000000002</v>
      </c>
    </row>
    <row r="23" spans="1:12">
      <c r="A23" s="349">
        <v>17</v>
      </c>
      <c r="B23" s="364" t="s">
        <v>532</v>
      </c>
      <c r="C23" s="536">
        <f t="shared" si="0"/>
        <v>171253915.0697</v>
      </c>
      <c r="D23" s="517">
        <v>163979498.5943</v>
      </c>
      <c r="E23" s="517">
        <v>2386725.5313000004</v>
      </c>
      <c r="F23" s="517">
        <v>4198976.7078</v>
      </c>
      <c r="G23" s="517">
        <v>688714.23629999999</v>
      </c>
      <c r="H23" s="517">
        <f t="shared" si="1"/>
        <v>3449606.5929340003</v>
      </c>
      <c r="I23" s="517">
        <v>347356.79000000004</v>
      </c>
      <c r="J23" s="517">
        <v>59934.080000000002</v>
      </c>
      <c r="K23" s="517">
        <v>2930252.85537</v>
      </c>
      <c r="L23" s="517">
        <v>112062.867564</v>
      </c>
    </row>
    <row r="24" spans="1:12">
      <c r="A24" s="349">
        <v>18</v>
      </c>
      <c r="B24" s="364" t="s">
        <v>533</v>
      </c>
      <c r="C24" s="536">
        <f t="shared" si="0"/>
        <v>678886694.48220015</v>
      </c>
      <c r="D24" s="517">
        <v>666882180.20870006</v>
      </c>
      <c r="E24" s="517">
        <v>8039503.9310999997</v>
      </c>
      <c r="F24" s="517">
        <v>3322467.5999999996</v>
      </c>
      <c r="G24" s="517">
        <v>642542.74239999999</v>
      </c>
      <c r="H24" s="517">
        <f t="shared" si="1"/>
        <v>4861829.6078470005</v>
      </c>
      <c r="I24" s="517">
        <v>2162164.3499999996</v>
      </c>
      <c r="J24" s="517">
        <v>256231.33</v>
      </c>
      <c r="K24" s="517">
        <v>2293281.5578470002</v>
      </c>
      <c r="L24" s="517">
        <v>150152.37</v>
      </c>
    </row>
    <row r="25" spans="1:12">
      <c r="A25" s="349">
        <v>19</v>
      </c>
      <c r="B25" s="364" t="s">
        <v>534</v>
      </c>
      <c r="C25" s="536">
        <f t="shared" si="0"/>
        <v>157043385.0086</v>
      </c>
      <c r="D25" s="517">
        <v>154528571.6983</v>
      </c>
      <c r="E25" s="517">
        <v>1757011.6625000003</v>
      </c>
      <c r="F25" s="517">
        <v>613289.27500000002</v>
      </c>
      <c r="G25" s="517">
        <v>144512.37280000001</v>
      </c>
      <c r="H25" s="517">
        <f t="shared" si="1"/>
        <v>661680.74999999988</v>
      </c>
      <c r="I25" s="517">
        <v>240044.79999999999</v>
      </c>
      <c r="J25" s="517">
        <v>100876.12999999999</v>
      </c>
      <c r="K25" s="517">
        <v>266648.10999999993</v>
      </c>
      <c r="L25" s="517">
        <v>54111.71</v>
      </c>
    </row>
    <row r="26" spans="1:12">
      <c r="A26" s="349">
        <v>20</v>
      </c>
      <c r="B26" s="364" t="s">
        <v>535</v>
      </c>
      <c r="C26" s="536">
        <f t="shared" si="0"/>
        <v>615637783.70999992</v>
      </c>
      <c r="D26" s="517">
        <v>586063847.47759986</v>
      </c>
      <c r="E26" s="517">
        <v>12112657.136699999</v>
      </c>
      <c r="F26" s="517">
        <v>15478297.414100001</v>
      </c>
      <c r="G26" s="517">
        <v>1982981.6816</v>
      </c>
      <c r="H26" s="517">
        <f t="shared" si="1"/>
        <v>11887010.408493001</v>
      </c>
      <c r="I26" s="517">
        <v>2348257.7600000002</v>
      </c>
      <c r="J26" s="517">
        <v>517179.07000000007</v>
      </c>
      <c r="K26" s="517">
        <v>8539901.7498400006</v>
      </c>
      <c r="L26" s="517">
        <v>481671.82865299995</v>
      </c>
    </row>
    <row r="27" spans="1:12">
      <c r="A27" s="349">
        <v>21</v>
      </c>
      <c r="B27" s="364" t="s">
        <v>536</v>
      </c>
      <c r="C27" s="536">
        <f t="shared" si="0"/>
        <v>105209106.3052</v>
      </c>
      <c r="D27" s="517">
        <v>102181940.7102</v>
      </c>
      <c r="E27" s="517">
        <v>2296931.7395000001</v>
      </c>
      <c r="F27" s="517">
        <v>490538.41819999996</v>
      </c>
      <c r="G27" s="517">
        <v>239695.43729999999</v>
      </c>
      <c r="H27" s="517">
        <f t="shared" si="1"/>
        <v>948506.67515899998</v>
      </c>
      <c r="I27" s="517">
        <v>519367.97000000003</v>
      </c>
      <c r="J27" s="517">
        <v>107523.95000000001</v>
      </c>
      <c r="K27" s="517">
        <v>258311.55515899998</v>
      </c>
      <c r="L27" s="517">
        <v>63303.199999999997</v>
      </c>
    </row>
    <row r="28" spans="1:12">
      <c r="A28" s="349">
        <v>22</v>
      </c>
      <c r="B28" s="364" t="s">
        <v>537</v>
      </c>
      <c r="C28" s="536">
        <f t="shared" si="0"/>
        <v>306456623.7572</v>
      </c>
      <c r="D28" s="517">
        <v>292596526.73809999</v>
      </c>
      <c r="E28" s="517">
        <v>9454525.5705000032</v>
      </c>
      <c r="F28" s="517">
        <v>2721026.1112999995</v>
      </c>
      <c r="G28" s="517">
        <v>1684545.3373000002</v>
      </c>
      <c r="H28" s="517">
        <f t="shared" si="1"/>
        <v>2952786.5687459996</v>
      </c>
      <c r="I28" s="517">
        <v>1045776.5199999999</v>
      </c>
      <c r="J28" s="517">
        <v>344339.66000000009</v>
      </c>
      <c r="K28" s="517">
        <v>1106743.5887459998</v>
      </c>
      <c r="L28" s="517">
        <v>455926.80000000005</v>
      </c>
    </row>
    <row r="29" spans="1:12">
      <c r="A29" s="349">
        <v>23</v>
      </c>
      <c r="B29" s="364" t="s">
        <v>538</v>
      </c>
      <c r="C29" s="536">
        <f t="shared" si="0"/>
        <v>2962105874.8179002</v>
      </c>
      <c r="D29" s="517">
        <v>2790598267.7662001</v>
      </c>
      <c r="E29" s="517">
        <v>110280154.65459999</v>
      </c>
      <c r="F29" s="517">
        <v>45861046.586299978</v>
      </c>
      <c r="G29" s="517">
        <v>15366405.810799999</v>
      </c>
      <c r="H29" s="517">
        <f t="shared" si="1"/>
        <v>39018790.28685201</v>
      </c>
      <c r="I29" s="517">
        <v>13666900.930000002</v>
      </c>
      <c r="J29" s="517">
        <v>4458028.2399999984</v>
      </c>
      <c r="K29" s="517">
        <v>18350036.121733006</v>
      </c>
      <c r="L29" s="517">
        <v>2543824.9951189999</v>
      </c>
    </row>
    <row r="30" spans="1:12">
      <c r="A30" s="349">
        <v>24</v>
      </c>
      <c r="B30" s="364" t="s">
        <v>539</v>
      </c>
      <c r="C30" s="536">
        <f t="shared" si="0"/>
        <v>1099423276.9277999</v>
      </c>
      <c r="D30" s="517">
        <v>1027057872.9380001</v>
      </c>
      <c r="E30" s="517">
        <v>38837150.226800002</v>
      </c>
      <c r="F30" s="517">
        <v>33198642.195600003</v>
      </c>
      <c r="G30" s="517">
        <v>329611.5674</v>
      </c>
      <c r="H30" s="517">
        <f t="shared" si="1"/>
        <v>17831918.647812001</v>
      </c>
      <c r="I30" s="517">
        <v>4198470.34</v>
      </c>
      <c r="J30" s="517">
        <v>1802584.88</v>
      </c>
      <c r="K30" s="517">
        <v>11641879.927812003</v>
      </c>
      <c r="L30" s="517">
        <v>188983.5</v>
      </c>
    </row>
    <row r="31" spans="1:12">
      <c r="A31" s="349">
        <v>25</v>
      </c>
      <c r="B31" s="364" t="s">
        <v>540</v>
      </c>
      <c r="C31" s="536">
        <f t="shared" si="0"/>
        <v>2279591058.9797235</v>
      </c>
      <c r="D31" s="517">
        <v>2052226136.2956238</v>
      </c>
      <c r="E31" s="517">
        <v>111499429.99689998</v>
      </c>
      <c r="F31" s="517">
        <v>73093795.213699996</v>
      </c>
      <c r="G31" s="517">
        <v>42771697.473499998</v>
      </c>
      <c r="H31" s="517">
        <f t="shared" si="1"/>
        <v>63979380.055336982</v>
      </c>
      <c r="I31" s="517">
        <v>12368552.44993498</v>
      </c>
      <c r="J31" s="517">
        <v>5305385.05</v>
      </c>
      <c r="K31" s="517">
        <v>35777731.438132003</v>
      </c>
      <c r="L31" s="517">
        <v>10527711.117269998</v>
      </c>
    </row>
    <row r="32" spans="1:12">
      <c r="A32" s="349">
        <v>26</v>
      </c>
      <c r="B32" s="364" t="s">
        <v>596</v>
      </c>
      <c r="C32" s="536">
        <f t="shared" si="0"/>
        <v>57184389.636599995</v>
      </c>
      <c r="D32" s="517">
        <v>46917558.490299992</v>
      </c>
      <c r="E32" s="517">
        <v>4807471.0313999997</v>
      </c>
      <c r="F32" s="517">
        <v>4949177.1409</v>
      </c>
      <c r="G32" s="517">
        <v>510182.97400000005</v>
      </c>
      <c r="H32" s="517">
        <f t="shared" si="1"/>
        <v>5680478.4935640004</v>
      </c>
      <c r="I32" s="517">
        <v>415742.41999999993</v>
      </c>
      <c r="J32" s="517">
        <v>423157.96</v>
      </c>
      <c r="K32" s="517">
        <v>4629104.095315</v>
      </c>
      <c r="L32" s="517">
        <v>212474.01824899999</v>
      </c>
    </row>
    <row r="33" spans="1:12">
      <c r="A33" s="349">
        <v>27</v>
      </c>
      <c r="B33" s="413" t="s">
        <v>66</v>
      </c>
      <c r="C33" s="537">
        <f t="shared" ref="C33:L33" si="2">SUM(C7:C32)</f>
        <v>18453452825.022408</v>
      </c>
      <c r="D33" s="537">
        <f>SUM(D7:D32)</f>
        <v>16870059732.121204</v>
      </c>
      <c r="E33" s="537">
        <f t="shared" si="2"/>
        <v>1028531821.8811001</v>
      </c>
      <c r="F33" s="537">
        <f t="shared" si="2"/>
        <v>452561614.6444003</v>
      </c>
      <c r="G33" s="537">
        <f t="shared" si="2"/>
        <v>102299656.3757</v>
      </c>
      <c r="H33" s="537">
        <f t="shared" si="2"/>
        <v>307553438.22240007</v>
      </c>
      <c r="I33" s="537">
        <f t="shared" si="2"/>
        <v>69494697.729934976</v>
      </c>
      <c r="J33" s="537">
        <f t="shared" si="2"/>
        <v>42802153.539999992</v>
      </c>
      <c r="K33" s="537">
        <f t="shared" si="2"/>
        <v>169814153.78756502</v>
      </c>
      <c r="L33" s="537">
        <f t="shared" si="2"/>
        <v>25442433.164900001</v>
      </c>
    </row>
    <row r="34" spans="1:12">
      <c r="A34" s="377"/>
      <c r="B34" s="377"/>
      <c r="C34" s="377"/>
      <c r="D34" s="538"/>
      <c r="E34" s="538"/>
      <c r="F34" s="540"/>
      <c r="H34" s="377"/>
    </row>
    <row r="35" spans="1:12" s="523" customFormat="1">
      <c r="A35" s="538"/>
      <c r="B35" s="539"/>
      <c r="C35" s="539"/>
      <c r="D35" s="538"/>
      <c r="E35" s="538"/>
      <c r="F35" s="540"/>
      <c r="G35" s="540"/>
      <c r="H35" s="538"/>
      <c r="I35" s="540"/>
      <c r="J35" s="540"/>
      <c r="K35" s="540"/>
      <c r="L35" s="540"/>
    </row>
  </sheetData>
  <mergeCells count="3">
    <mergeCell ref="A5:B6"/>
    <mergeCell ref="C5:G5"/>
    <mergeCell ref="H5:L5"/>
  </mergeCells>
  <conditionalFormatting sqref="A5">
    <cfRule type="duplicateValues" dxfId="13" priority="1"/>
    <cfRule type="duplicateValues" dxfId="12" priority="2"/>
  </conditionalFormatting>
  <conditionalFormatting sqref="A5">
    <cfRule type="duplicateValues" dxfId="11"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topLeftCell="C4" zoomScale="85" zoomScaleNormal="85" workbookViewId="0">
      <selection activeCell="I11" sqref="I11"/>
    </sheetView>
  </sheetViews>
  <sheetFormatPr defaultColWidth="8.7109375" defaultRowHeight="12"/>
  <cols>
    <col min="1" max="1" width="11.85546875" style="326" bestFit="1" customWidth="1"/>
    <col min="2" max="2" width="94.85546875" style="326" customWidth="1"/>
    <col min="3" max="11" width="28.28515625" style="326" customWidth="1"/>
    <col min="12" max="12" width="13.5703125" style="326" bestFit="1" customWidth="1"/>
    <col min="13" max="13" width="24.5703125" style="326" customWidth="1"/>
    <col min="14" max="16384" width="8.7109375" style="326"/>
  </cols>
  <sheetData>
    <row r="1" spans="1:13" s="316" customFormat="1" ht="13.5">
      <c r="A1" s="315" t="s">
        <v>108</v>
      </c>
      <c r="B1" s="262" t="str">
        <f>Info!C2</f>
        <v>სს ”საქართველოს ბანკი”</v>
      </c>
      <c r="C1" s="360"/>
      <c r="D1" s="360"/>
      <c r="E1" s="360"/>
      <c r="F1" s="360"/>
      <c r="G1" s="360"/>
      <c r="H1" s="360"/>
      <c r="I1" s="360"/>
      <c r="J1" s="360"/>
      <c r="K1" s="360"/>
    </row>
    <row r="2" spans="1:13" s="316" customFormat="1" ht="12.75">
      <c r="A2" s="317" t="s">
        <v>109</v>
      </c>
      <c r="B2" s="319">
        <f>'1. key ratios'!B2</f>
        <v>45199</v>
      </c>
      <c r="C2" s="360"/>
      <c r="D2" s="360"/>
      <c r="E2" s="360"/>
      <c r="F2" s="360"/>
      <c r="G2" s="360"/>
      <c r="H2" s="360"/>
      <c r="I2" s="360"/>
      <c r="J2" s="360"/>
      <c r="K2" s="360"/>
    </row>
    <row r="3" spans="1:13" s="316" customFormat="1" ht="12.75">
      <c r="A3" s="318" t="s">
        <v>597</v>
      </c>
      <c r="B3" s="360"/>
      <c r="C3" s="360"/>
      <c r="D3" s="360"/>
      <c r="E3" s="360"/>
      <c r="F3" s="360"/>
      <c r="G3" s="360"/>
      <c r="H3" s="360"/>
      <c r="I3" s="360"/>
      <c r="J3" s="360"/>
      <c r="K3" s="360"/>
    </row>
    <row r="4" spans="1:13">
      <c r="A4" s="419"/>
      <c r="B4" s="419"/>
      <c r="C4" s="418" t="s">
        <v>501</v>
      </c>
      <c r="D4" s="418" t="s">
        <v>502</v>
      </c>
      <c r="E4" s="418" t="s">
        <v>503</v>
      </c>
      <c r="F4" s="418" t="s">
        <v>504</v>
      </c>
      <c r="G4" s="418" t="s">
        <v>505</v>
      </c>
      <c r="H4" s="418" t="s">
        <v>506</v>
      </c>
      <c r="I4" s="418" t="s">
        <v>507</v>
      </c>
      <c r="J4" s="418" t="s">
        <v>508</v>
      </c>
      <c r="K4" s="418" t="s">
        <v>509</v>
      </c>
    </row>
    <row r="5" spans="1:13" ht="104.1" customHeight="1">
      <c r="A5" s="891" t="s">
        <v>905</v>
      </c>
      <c r="B5" s="892"/>
      <c r="C5" s="417" t="s">
        <v>598</v>
      </c>
      <c r="D5" s="417" t="s">
        <v>591</v>
      </c>
      <c r="E5" s="417" t="s">
        <v>592</v>
      </c>
      <c r="F5" s="417" t="s">
        <v>904</v>
      </c>
      <c r="G5" s="417" t="s">
        <v>599</v>
      </c>
      <c r="H5" s="417" t="s">
        <v>600</v>
      </c>
      <c r="I5" s="417" t="s">
        <v>601</v>
      </c>
      <c r="J5" s="417" t="s">
        <v>602</v>
      </c>
      <c r="K5" s="417" t="s">
        <v>603</v>
      </c>
    </row>
    <row r="6" spans="1:13" ht="12.75">
      <c r="A6" s="349">
        <v>1</v>
      </c>
      <c r="B6" s="349" t="s">
        <v>604</v>
      </c>
      <c r="C6" s="570">
        <v>263210575.4337</v>
      </c>
      <c r="D6" s="570">
        <v>95221533.522199988</v>
      </c>
      <c r="E6" s="570">
        <v>66242252.316500008</v>
      </c>
      <c r="F6" s="570">
        <v>158767676.89300001</v>
      </c>
      <c r="G6" s="570">
        <v>13421311204.959801</v>
      </c>
      <c r="H6" s="570">
        <v>629545941.26999998</v>
      </c>
      <c r="I6" s="570">
        <v>603360224.21589994</v>
      </c>
      <c r="J6" s="570">
        <v>632138837.75139999</v>
      </c>
      <c r="K6" s="570">
        <v>2583654578.6598997</v>
      </c>
      <c r="L6" s="636">
        <f>SUM(C6:K6)-'22. Quality'!C8</f>
        <v>9.1552734375E-5</v>
      </c>
      <c r="M6" s="686"/>
    </row>
    <row r="7" spans="1:13" ht="12.75">
      <c r="A7" s="349">
        <v>2</v>
      </c>
      <c r="B7" s="350" t="s">
        <v>605</v>
      </c>
      <c r="C7" s="570">
        <v>0</v>
      </c>
      <c r="D7" s="570">
        <v>0</v>
      </c>
      <c r="E7" s="570">
        <v>0</v>
      </c>
      <c r="F7" s="570">
        <v>0</v>
      </c>
      <c r="G7" s="570">
        <v>0</v>
      </c>
      <c r="H7" s="570">
        <v>0</v>
      </c>
      <c r="I7" s="570">
        <v>0</v>
      </c>
      <c r="J7" s="570">
        <v>0</v>
      </c>
      <c r="K7" s="570">
        <v>107285304.27260001</v>
      </c>
      <c r="L7" s="636">
        <f>K7-'22. Quality'!C19-'22. Quality'!C20</f>
        <v>0</v>
      </c>
    </row>
    <row r="8" spans="1:13" ht="12.75">
      <c r="A8" s="349">
        <v>3</v>
      </c>
      <c r="B8" s="350" t="s">
        <v>569</v>
      </c>
      <c r="C8" s="570">
        <v>257564324.89674899</v>
      </c>
      <c r="D8" s="570">
        <v>0</v>
      </c>
      <c r="E8" s="570">
        <v>824533226.34676397</v>
      </c>
      <c r="F8" s="570">
        <v>0</v>
      </c>
      <c r="G8" s="570">
        <v>395152370.86686403</v>
      </c>
      <c r="H8" s="570">
        <v>157267285.36130199</v>
      </c>
      <c r="I8" s="570">
        <v>35811220.033188</v>
      </c>
      <c r="J8" s="570">
        <v>101643456.98203801</v>
      </c>
      <c r="K8" s="570">
        <v>1005232410.5523951</v>
      </c>
      <c r="L8" s="636">
        <f>SUM(C8:K8)-'22. Quality'!C22</f>
        <v>0</v>
      </c>
    </row>
    <row r="9" spans="1:13" ht="12.75">
      <c r="A9" s="349">
        <v>4</v>
      </c>
      <c r="B9" s="379" t="s">
        <v>903</v>
      </c>
      <c r="C9" s="570">
        <v>3395259.4057542798</v>
      </c>
      <c r="D9" s="570">
        <v>4176582.0302296798</v>
      </c>
      <c r="E9" s="570">
        <v>1448479.8413</v>
      </c>
      <c r="F9" s="570">
        <v>5073608.9000000004</v>
      </c>
      <c r="G9" s="570">
        <v>424606095.23539305</v>
      </c>
      <c r="H9" s="570">
        <v>0</v>
      </c>
      <c r="I9" s="570">
        <v>10110918.815678017</v>
      </c>
      <c r="J9" s="570">
        <v>15338542.4357449</v>
      </c>
      <c r="K9" s="570">
        <v>90711784.355999693</v>
      </c>
      <c r="L9" s="636">
        <f>SUM(C9:K9)-'22. Quality'!L8-'22. Quality'!T8</f>
        <v>-3.7252902984619141E-7</v>
      </c>
    </row>
    <row r="10" spans="1:13" ht="12.75">
      <c r="A10" s="349">
        <v>5</v>
      </c>
      <c r="B10" s="368" t="s">
        <v>902</v>
      </c>
      <c r="C10" s="570">
        <v>0</v>
      </c>
      <c r="D10" s="570">
        <v>0</v>
      </c>
      <c r="E10" s="570">
        <v>0</v>
      </c>
      <c r="F10" s="570">
        <v>0</v>
      </c>
      <c r="G10" s="570">
        <v>0</v>
      </c>
      <c r="H10" s="570">
        <v>0</v>
      </c>
      <c r="I10" s="570">
        <v>0</v>
      </c>
      <c r="J10" s="570">
        <v>0</v>
      </c>
      <c r="K10" s="570">
        <v>0</v>
      </c>
      <c r="L10" s="636">
        <f>SUM(C10:K10)</f>
        <v>0</v>
      </c>
    </row>
    <row r="11" spans="1:13" ht="12.75">
      <c r="A11" s="349">
        <v>6</v>
      </c>
      <c r="B11" s="368" t="s">
        <v>901</v>
      </c>
      <c r="C11" s="570">
        <v>0</v>
      </c>
      <c r="D11" s="570">
        <v>0</v>
      </c>
      <c r="E11" s="570">
        <v>0</v>
      </c>
      <c r="F11" s="570">
        <v>0</v>
      </c>
      <c r="G11" s="570">
        <v>0</v>
      </c>
      <c r="H11" s="570">
        <v>0</v>
      </c>
      <c r="I11" s="570">
        <v>0</v>
      </c>
      <c r="J11" s="570">
        <v>0</v>
      </c>
      <c r="K11" s="570">
        <v>0</v>
      </c>
    </row>
    <row r="13" spans="1:13" ht="15">
      <c r="B13" s="415"/>
    </row>
    <row r="17" spans="3:11">
      <c r="K17" s="636"/>
    </row>
    <row r="22" spans="3:11">
      <c r="C22" s="636"/>
      <c r="D22" s="636"/>
      <c r="E22" s="636"/>
      <c r="F22" s="636"/>
      <c r="G22" s="636"/>
      <c r="H22" s="636"/>
      <c r="I22" s="636"/>
      <c r="J22" s="636"/>
      <c r="K22" s="636"/>
    </row>
    <row r="23" spans="3:11">
      <c r="C23" s="636"/>
      <c r="D23" s="636"/>
      <c r="E23" s="636"/>
      <c r="F23" s="636"/>
      <c r="G23" s="636"/>
      <c r="H23" s="636"/>
      <c r="I23" s="636"/>
      <c r="J23" s="636"/>
      <c r="K23" s="636"/>
    </row>
    <row r="24" spans="3:11">
      <c r="C24" s="636"/>
      <c r="D24" s="636"/>
      <c r="E24" s="636"/>
      <c r="F24" s="636"/>
      <c r="G24" s="636"/>
      <c r="H24" s="636"/>
      <c r="I24" s="636"/>
      <c r="J24" s="636"/>
      <c r="K24" s="636"/>
    </row>
    <row r="25" spans="3:11">
      <c r="C25" s="636"/>
      <c r="D25" s="636"/>
      <c r="E25" s="636"/>
      <c r="F25" s="636"/>
      <c r="G25" s="636"/>
      <c r="H25" s="636"/>
      <c r="I25" s="636"/>
      <c r="J25" s="636"/>
      <c r="K25" s="636"/>
    </row>
    <row r="26" spans="3:11">
      <c r="C26" s="636"/>
      <c r="D26" s="636"/>
      <c r="E26" s="636"/>
      <c r="F26" s="636"/>
      <c r="G26" s="636"/>
      <c r="H26" s="636"/>
      <c r="I26" s="636"/>
      <c r="J26" s="636"/>
      <c r="K26" s="636"/>
    </row>
    <row r="27" spans="3:11">
      <c r="C27" s="636"/>
      <c r="D27" s="636"/>
      <c r="E27" s="636"/>
      <c r="F27" s="636"/>
      <c r="G27" s="636"/>
      <c r="H27" s="636"/>
      <c r="I27" s="636"/>
      <c r="J27" s="636"/>
      <c r="K27" s="636"/>
    </row>
  </sheetData>
  <mergeCells count="1">
    <mergeCell ref="A5:B5"/>
  </mergeCells>
  <conditionalFormatting sqref="A5">
    <cfRule type="duplicateValues" dxfId="10" priority="1"/>
    <cfRule type="duplicateValues" dxfId="9" priority="2"/>
  </conditionalFormatting>
  <conditionalFormatting sqref="A5">
    <cfRule type="duplicateValues" dxfId="8"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40"/>
  <sheetViews>
    <sheetView showGridLines="0" zoomScale="70" zoomScaleNormal="70" workbookViewId="0">
      <selection activeCell="H19" sqref="H19"/>
    </sheetView>
  </sheetViews>
  <sheetFormatPr defaultColWidth="8.7109375" defaultRowHeight="15"/>
  <cols>
    <col min="1" max="1" width="12.140625" style="420" bestFit="1" customWidth="1"/>
    <col min="2" max="2" width="81" style="420" bestFit="1" customWidth="1"/>
    <col min="3" max="3" width="18.5703125" style="420" customWidth="1"/>
    <col min="4" max="5" width="16.140625" style="420" bestFit="1" customWidth="1"/>
    <col min="6" max="6" width="20.42578125" style="420" bestFit="1" customWidth="1"/>
    <col min="7" max="7" width="37.42578125" style="420" bestFit="1" customWidth="1"/>
    <col min="8" max="9" width="16.42578125" style="420" bestFit="1" customWidth="1"/>
    <col min="10" max="10" width="16.140625" style="420" bestFit="1" customWidth="1"/>
    <col min="11" max="11" width="20.42578125" style="420" bestFit="1" customWidth="1"/>
    <col min="12" max="12" width="37.42578125" style="420" bestFit="1" customWidth="1"/>
    <col min="13" max="13" width="15" style="420" bestFit="1" customWidth="1"/>
    <col min="14" max="15" width="16.140625" style="420" bestFit="1" customWidth="1"/>
    <col min="16" max="16" width="20.42578125" style="420" bestFit="1" customWidth="1"/>
    <col min="17" max="17" width="37.42578125" style="420" bestFit="1" customWidth="1"/>
    <col min="18" max="18" width="18" style="420" bestFit="1" customWidth="1"/>
    <col min="19" max="19" width="52.85546875" style="420" customWidth="1"/>
    <col min="20" max="20" width="47.140625" style="420" customWidth="1"/>
    <col min="21" max="21" width="60.7109375" style="420" bestFit="1" customWidth="1"/>
    <col min="22" max="22" width="78.42578125" style="420" bestFit="1" customWidth="1"/>
    <col min="23" max="16384" width="8.7109375" style="420"/>
  </cols>
  <sheetData>
    <row r="1" spans="1:24">
      <c r="A1" s="315" t="s">
        <v>108</v>
      </c>
      <c r="B1" s="262" t="str">
        <f>Info!C2</f>
        <v>სს ”საქართველოს ბანკი”</v>
      </c>
      <c r="U1" s="420">
        <v>0</v>
      </c>
    </row>
    <row r="2" spans="1:24">
      <c r="A2" s="317" t="s">
        <v>109</v>
      </c>
      <c r="B2" s="773">
        <f>'1. key ratios'!B2</f>
        <v>45199</v>
      </c>
      <c r="S2" s="687" t="s">
        <v>1005</v>
      </c>
      <c r="T2" s="420">
        <v>0</v>
      </c>
    </row>
    <row r="3" spans="1:24">
      <c r="A3" s="318" t="s">
        <v>688</v>
      </c>
      <c r="B3" s="360"/>
      <c r="U3" s="687" t="s">
        <v>1006</v>
      </c>
      <c r="V3" s="688" t="s">
        <v>1007</v>
      </c>
    </row>
    <row r="4" spans="1:24">
      <c r="A4" s="318"/>
      <c r="B4" s="360"/>
    </row>
    <row r="5" spans="1:24" ht="24" customHeight="1">
      <c r="A5" s="893" t="s">
        <v>715</v>
      </c>
      <c r="B5" s="893"/>
      <c r="C5" s="895" t="s">
        <v>907</v>
      </c>
      <c r="D5" s="895"/>
      <c r="E5" s="895"/>
      <c r="F5" s="895"/>
      <c r="G5" s="895"/>
      <c r="H5" s="895" t="s">
        <v>595</v>
      </c>
      <c r="I5" s="895"/>
      <c r="J5" s="895"/>
      <c r="K5" s="895"/>
      <c r="L5" s="895"/>
      <c r="M5" s="895" t="s">
        <v>906</v>
      </c>
      <c r="N5" s="895"/>
      <c r="O5" s="895"/>
      <c r="P5" s="895"/>
      <c r="Q5" s="895"/>
      <c r="R5" s="894" t="s">
        <v>714</v>
      </c>
      <c r="S5" s="894" t="s">
        <v>718</v>
      </c>
      <c r="T5" s="894" t="s">
        <v>717</v>
      </c>
      <c r="U5" s="894" t="s">
        <v>953</v>
      </c>
      <c r="V5" s="894" t="s">
        <v>954</v>
      </c>
    </row>
    <row r="6" spans="1:24" ht="36" customHeight="1">
      <c r="A6" s="893"/>
      <c r="B6" s="893"/>
      <c r="C6" s="430"/>
      <c r="D6" s="358" t="s">
        <v>891</v>
      </c>
      <c r="E6" s="358" t="s">
        <v>890</v>
      </c>
      <c r="F6" s="358" t="s">
        <v>889</v>
      </c>
      <c r="G6" s="358" t="s">
        <v>888</v>
      </c>
      <c r="H6" s="430"/>
      <c r="I6" s="358" t="s">
        <v>891</v>
      </c>
      <c r="J6" s="358" t="s">
        <v>890</v>
      </c>
      <c r="K6" s="358" t="s">
        <v>889</v>
      </c>
      <c r="L6" s="358" t="s">
        <v>888</v>
      </c>
      <c r="M6" s="430"/>
      <c r="N6" s="358" t="s">
        <v>891</v>
      </c>
      <c r="O6" s="358" t="s">
        <v>890</v>
      </c>
      <c r="P6" s="358" t="s">
        <v>889</v>
      </c>
      <c r="Q6" s="358" t="s">
        <v>888</v>
      </c>
      <c r="R6" s="894"/>
      <c r="S6" s="894"/>
      <c r="T6" s="894"/>
      <c r="U6" s="894"/>
      <c r="V6" s="894"/>
    </row>
    <row r="7" spans="1:24">
      <c r="A7" s="428">
        <v>1</v>
      </c>
      <c r="B7" s="429" t="s">
        <v>689</v>
      </c>
      <c r="C7" s="642">
        <f>SUM(D7:G7)</f>
        <v>84399314.280000001</v>
      </c>
      <c r="D7" s="642">
        <v>79983360.569999993</v>
      </c>
      <c r="E7" s="642">
        <v>3012861.84</v>
      </c>
      <c r="F7" s="642">
        <v>1403091.87</v>
      </c>
      <c r="G7" s="642">
        <v>0</v>
      </c>
      <c r="H7" s="638">
        <v>85725978.501499996</v>
      </c>
      <c r="I7" s="638">
        <v>81181622.300899997</v>
      </c>
      <c r="J7" s="638">
        <v>3097338.5166000002</v>
      </c>
      <c r="K7" s="638">
        <v>1447017.6839999999</v>
      </c>
      <c r="L7" s="638">
        <v>0</v>
      </c>
      <c r="M7" s="638">
        <v>2285247.8197170002</v>
      </c>
      <c r="N7" s="638">
        <v>1291535.33</v>
      </c>
      <c r="O7" s="638">
        <v>216674.56</v>
      </c>
      <c r="P7" s="638">
        <v>777037.92971699999</v>
      </c>
      <c r="Q7" s="638">
        <v>0</v>
      </c>
      <c r="R7" s="638">
        <v>956</v>
      </c>
      <c r="S7" s="706">
        <v>0.112653120599428</v>
      </c>
      <c r="T7" s="706">
        <v>0.12898904755870799</v>
      </c>
      <c r="U7" s="689">
        <v>0.12</v>
      </c>
      <c r="V7" s="640">
        <v>44.14</v>
      </c>
      <c r="W7" s="774"/>
      <c r="X7" s="774"/>
    </row>
    <row r="8" spans="1:24">
      <c r="A8" s="428">
        <v>2</v>
      </c>
      <c r="B8" s="427" t="s">
        <v>690</v>
      </c>
      <c r="C8" s="642">
        <f t="shared" ref="C8:C18" si="0">SUM(D8:G8)</f>
        <v>3777093265.5599995</v>
      </c>
      <c r="D8" s="642">
        <v>3449064124.9699998</v>
      </c>
      <c r="E8" s="642">
        <v>188950074.69999999</v>
      </c>
      <c r="F8" s="642">
        <v>111762711.45999999</v>
      </c>
      <c r="G8" s="642">
        <v>27316354.43</v>
      </c>
      <c r="H8" s="638">
        <v>3799596804.9026003</v>
      </c>
      <c r="I8" s="638">
        <v>3465681617.7638001</v>
      </c>
      <c r="J8" s="638">
        <v>193090451.3768</v>
      </c>
      <c r="K8" s="638">
        <v>112873784.5221</v>
      </c>
      <c r="L8" s="638">
        <v>27950951.2399</v>
      </c>
      <c r="M8" s="638">
        <v>118954435.54028499</v>
      </c>
      <c r="N8" s="638">
        <v>34397809.740000002</v>
      </c>
      <c r="O8" s="638">
        <v>14725440.24</v>
      </c>
      <c r="P8" s="638">
        <v>61437412.331905</v>
      </c>
      <c r="Q8" s="638">
        <v>8393773.2283800002</v>
      </c>
      <c r="R8" s="638">
        <v>449844</v>
      </c>
      <c r="S8" s="706">
        <v>0.146436278462378</v>
      </c>
      <c r="T8" s="706">
        <v>0.190831787585586</v>
      </c>
      <c r="U8" s="689">
        <v>0.15</v>
      </c>
      <c r="V8" s="640">
        <v>58.52</v>
      </c>
      <c r="W8" s="774"/>
      <c r="X8" s="774"/>
    </row>
    <row r="9" spans="1:24">
      <c r="A9" s="428">
        <v>3</v>
      </c>
      <c r="B9" s="427" t="s">
        <v>691</v>
      </c>
      <c r="C9" s="642">
        <f t="shared" si="0"/>
        <v>1269105.6499999999</v>
      </c>
      <c r="D9" s="642">
        <v>617772.73</v>
      </c>
      <c r="E9" s="642">
        <v>274044.82</v>
      </c>
      <c r="F9" s="642">
        <v>358544.7</v>
      </c>
      <c r="G9" s="642">
        <v>18743.400000000001</v>
      </c>
      <c r="H9" s="638">
        <v>1356397.5754</v>
      </c>
      <c r="I9" s="638">
        <v>644644.25690000004</v>
      </c>
      <c r="J9" s="638">
        <v>289637.58399999997</v>
      </c>
      <c r="K9" s="638">
        <v>401446.06290000002</v>
      </c>
      <c r="L9" s="638">
        <v>20669.671600000001</v>
      </c>
      <c r="M9" s="638">
        <v>392250.57000000007</v>
      </c>
      <c r="N9" s="638">
        <v>39887.550000000003</v>
      </c>
      <c r="O9" s="638">
        <v>41978.87</v>
      </c>
      <c r="P9" s="638">
        <v>299063.90000000002</v>
      </c>
      <c r="Q9" s="638">
        <v>11320.25</v>
      </c>
      <c r="R9" s="638">
        <v>4495</v>
      </c>
      <c r="S9" s="706">
        <v>0.31824605656551802</v>
      </c>
      <c r="T9" s="706">
        <v>0.39230784219389003</v>
      </c>
      <c r="U9" s="689">
        <v>0.31</v>
      </c>
      <c r="V9" s="640">
        <v>15.63</v>
      </c>
      <c r="W9" s="774"/>
      <c r="X9" s="774"/>
    </row>
    <row r="10" spans="1:24">
      <c r="A10" s="428">
        <v>4</v>
      </c>
      <c r="B10" s="427" t="s">
        <v>692</v>
      </c>
      <c r="C10" s="642">
        <f t="shared" si="0"/>
        <v>93415421.209999993</v>
      </c>
      <c r="D10" s="642">
        <v>90916412.459999993</v>
      </c>
      <c r="E10" s="642">
        <v>1893609.18</v>
      </c>
      <c r="F10" s="642">
        <v>605399.56999999995</v>
      </c>
      <c r="G10" s="642">
        <v>0</v>
      </c>
      <c r="H10" s="638">
        <v>92371484.305299997</v>
      </c>
      <c r="I10" s="638">
        <v>89817855.435499996</v>
      </c>
      <c r="J10" s="638">
        <v>1906289.4293</v>
      </c>
      <c r="K10" s="638">
        <v>647339.44050000003</v>
      </c>
      <c r="L10" s="638">
        <v>0</v>
      </c>
      <c r="M10" s="638">
        <v>2192870.33</v>
      </c>
      <c r="N10" s="638">
        <v>1447885.08</v>
      </c>
      <c r="O10" s="638">
        <v>290604.63</v>
      </c>
      <c r="P10" s="638">
        <v>454380.62</v>
      </c>
      <c r="Q10" s="638">
        <v>0</v>
      </c>
      <c r="R10" s="638">
        <v>112650</v>
      </c>
      <c r="S10" s="706">
        <v>0.173972574241641</v>
      </c>
      <c r="T10" s="706">
        <v>0.28675345842701</v>
      </c>
      <c r="U10" s="689">
        <v>0.2</v>
      </c>
      <c r="V10" s="640">
        <v>12.21</v>
      </c>
      <c r="W10" s="774"/>
      <c r="X10" s="774"/>
    </row>
    <row r="11" spans="1:24">
      <c r="A11" s="428">
        <v>5</v>
      </c>
      <c r="B11" s="427" t="s">
        <v>693</v>
      </c>
      <c r="C11" s="642">
        <f t="shared" si="0"/>
        <v>11515452</v>
      </c>
      <c r="D11" s="642">
        <v>8528795.1699999999</v>
      </c>
      <c r="E11" s="642">
        <v>824081.84</v>
      </c>
      <c r="F11" s="642">
        <v>2162574.9900000002</v>
      </c>
      <c r="G11" s="642">
        <v>0</v>
      </c>
      <c r="H11" s="638">
        <v>13808168.146600001</v>
      </c>
      <c r="I11" s="638">
        <v>8851275.3652999997</v>
      </c>
      <c r="J11" s="638">
        <v>1093269.4802000001</v>
      </c>
      <c r="K11" s="638">
        <v>3863623.3010999998</v>
      </c>
      <c r="L11" s="638">
        <v>0</v>
      </c>
      <c r="M11" s="638">
        <v>4054066.61675</v>
      </c>
      <c r="N11" s="638">
        <v>289537.21000000002</v>
      </c>
      <c r="O11" s="638">
        <v>176035.79</v>
      </c>
      <c r="P11" s="638">
        <v>3588493.61675</v>
      </c>
      <c r="Q11" s="638">
        <v>0</v>
      </c>
      <c r="R11" s="638">
        <v>130124</v>
      </c>
      <c r="S11" s="706">
        <v>0.17147093285862799</v>
      </c>
      <c r="T11" s="706">
        <v>0.18132789389359999</v>
      </c>
      <c r="U11" s="689">
        <v>0.18</v>
      </c>
      <c r="V11" s="640">
        <v>17.329999999999998</v>
      </c>
      <c r="W11" s="774"/>
      <c r="X11" s="774"/>
    </row>
    <row r="12" spans="1:24">
      <c r="A12" s="428">
        <v>6</v>
      </c>
      <c r="B12" s="427" t="s">
        <v>694</v>
      </c>
      <c r="C12" s="642">
        <f t="shared" si="0"/>
        <v>201510147.42999998</v>
      </c>
      <c r="D12" s="642">
        <v>182680228.88</v>
      </c>
      <c r="E12" s="642">
        <v>14043013.48</v>
      </c>
      <c r="F12" s="642">
        <v>4786905.07</v>
      </c>
      <c r="G12" s="642">
        <v>0</v>
      </c>
      <c r="H12" s="638">
        <v>207881162.79750001</v>
      </c>
      <c r="I12" s="638">
        <v>188334621.3689</v>
      </c>
      <c r="J12" s="638">
        <v>14520732.313999999</v>
      </c>
      <c r="K12" s="638">
        <v>5025809.1146</v>
      </c>
      <c r="L12" s="638">
        <v>0</v>
      </c>
      <c r="M12" s="638">
        <v>6200288.8284600005</v>
      </c>
      <c r="N12" s="638">
        <v>1253016.06</v>
      </c>
      <c r="O12" s="638">
        <v>764407.33</v>
      </c>
      <c r="P12" s="638">
        <v>4182865.4384599999</v>
      </c>
      <c r="Q12" s="638">
        <v>0</v>
      </c>
      <c r="R12" s="638">
        <v>149299</v>
      </c>
      <c r="S12" s="706">
        <v>0.359999971452095</v>
      </c>
      <c r="T12" s="707">
        <v>0.36</v>
      </c>
      <c r="U12" s="707">
        <v>0.36</v>
      </c>
      <c r="V12" s="640">
        <v>26.99</v>
      </c>
      <c r="W12" s="774"/>
      <c r="X12" s="774"/>
    </row>
    <row r="13" spans="1:24">
      <c r="A13" s="428">
        <v>7</v>
      </c>
      <c r="B13" s="427" t="s">
        <v>695</v>
      </c>
      <c r="C13" s="642">
        <f t="shared" si="0"/>
        <v>4348482668.6288137</v>
      </c>
      <c r="D13" s="642">
        <v>4087281722.6300001</v>
      </c>
      <c r="E13" s="642">
        <v>155522168.77000001</v>
      </c>
      <c r="F13" s="642">
        <v>55413311.490000002</v>
      </c>
      <c r="G13" s="642">
        <v>50265465.738813497</v>
      </c>
      <c r="H13" s="638">
        <f t="shared" ref="H13:P13" si="1">H14+H15+H16</f>
        <v>4426697980.5152998</v>
      </c>
      <c r="I13" s="638">
        <f t="shared" si="1"/>
        <v>4159686141.7941999</v>
      </c>
      <c r="J13" s="638">
        <f t="shared" si="1"/>
        <v>160245920.40580001</v>
      </c>
      <c r="K13" s="638">
        <f t="shared" si="1"/>
        <v>55908396.695099995</v>
      </c>
      <c r="L13" s="638">
        <v>50857521.620200001</v>
      </c>
      <c r="M13" s="638">
        <f t="shared" si="1"/>
        <v>29653807.582940999</v>
      </c>
      <c r="N13" s="638">
        <f t="shared" si="1"/>
        <v>5135863.88</v>
      </c>
      <c r="O13" s="638">
        <f t="shared" si="1"/>
        <v>2310523.2599999998</v>
      </c>
      <c r="P13" s="638">
        <f t="shared" si="1"/>
        <v>12560963.821263</v>
      </c>
      <c r="Q13" s="638">
        <v>9646456.6216780003</v>
      </c>
      <c r="R13" s="638">
        <v>71146</v>
      </c>
      <c r="S13" s="706">
        <v>0.10761876010018501</v>
      </c>
      <c r="T13" s="706">
        <v>0.123917644256204</v>
      </c>
      <c r="U13" s="689">
        <v>0.11</v>
      </c>
      <c r="V13" s="640">
        <v>116.85</v>
      </c>
      <c r="W13" s="774"/>
      <c r="X13" s="774"/>
    </row>
    <row r="14" spans="1:24">
      <c r="A14" s="422">
        <v>7.1</v>
      </c>
      <c r="B14" s="421" t="s">
        <v>696</v>
      </c>
      <c r="C14" s="642">
        <f t="shared" si="0"/>
        <v>3393215316.9588137</v>
      </c>
      <c r="D14" s="642">
        <v>3167703844.8000002</v>
      </c>
      <c r="E14" s="642">
        <v>126382417.25</v>
      </c>
      <c r="F14" s="642">
        <v>50922299.560000002</v>
      </c>
      <c r="G14" s="642">
        <v>48206755.348813497</v>
      </c>
      <c r="H14" s="638">
        <v>3456352440.7888999</v>
      </c>
      <c r="I14" s="638">
        <v>3225870665.1338</v>
      </c>
      <c r="J14" s="638">
        <v>130380630.6217</v>
      </c>
      <c r="K14" s="638">
        <v>51367811.195299998</v>
      </c>
      <c r="L14" s="638">
        <v>48733333.838100001</v>
      </c>
      <c r="M14" s="638">
        <v>26461926.636830002</v>
      </c>
      <c r="N14" s="638">
        <v>3476561</v>
      </c>
      <c r="O14" s="638">
        <v>1728180.16</v>
      </c>
      <c r="P14" s="638">
        <v>11617864.575152</v>
      </c>
      <c r="Q14" s="638">
        <v>9639320.9016779996</v>
      </c>
      <c r="R14" s="638">
        <v>43820</v>
      </c>
      <c r="S14" s="706">
        <v>0.10849751942951799</v>
      </c>
      <c r="T14" s="706">
        <v>0.124514697825028</v>
      </c>
      <c r="U14" s="689">
        <v>0.1</v>
      </c>
      <c r="V14" s="640">
        <v>118.86</v>
      </c>
      <c r="W14" s="774"/>
      <c r="X14" s="774"/>
    </row>
    <row r="15" spans="1:24">
      <c r="A15" s="422">
        <v>7.2</v>
      </c>
      <c r="B15" s="421" t="s">
        <v>697</v>
      </c>
      <c r="C15" s="642">
        <f t="shared" si="0"/>
        <v>694789275.75</v>
      </c>
      <c r="D15" s="642">
        <v>670588280.21000004</v>
      </c>
      <c r="E15" s="642">
        <v>19944349.75</v>
      </c>
      <c r="F15" s="642">
        <v>2234911.25</v>
      </c>
      <c r="G15" s="642">
        <v>2021734.54</v>
      </c>
      <c r="H15" s="638">
        <v>704993073.05239987</v>
      </c>
      <c r="I15" s="638">
        <v>680258836.95589995</v>
      </c>
      <c r="J15" s="638">
        <v>20396722.6054</v>
      </c>
      <c r="K15" s="638">
        <v>2252193.6828999999</v>
      </c>
      <c r="L15" s="638">
        <v>2085319.8082000001</v>
      </c>
      <c r="M15" s="638">
        <v>2515894.2961109998</v>
      </c>
      <c r="N15" s="638">
        <v>1511544.14</v>
      </c>
      <c r="O15" s="638">
        <v>494778.56</v>
      </c>
      <c r="P15" s="638">
        <v>509571.59611099999</v>
      </c>
      <c r="Q15" s="638">
        <v>0</v>
      </c>
      <c r="R15" s="638">
        <v>8166</v>
      </c>
      <c r="S15" s="706">
        <v>9.8745483075452209E-2</v>
      </c>
      <c r="T15" s="706">
        <v>0.11792744156198999</v>
      </c>
      <c r="U15" s="689">
        <v>0.11</v>
      </c>
      <c r="V15" s="640">
        <v>117.56</v>
      </c>
      <c r="W15" s="774"/>
      <c r="X15" s="774"/>
    </row>
    <row r="16" spans="1:24">
      <c r="A16" s="422">
        <v>7.3</v>
      </c>
      <c r="B16" s="421" t="s">
        <v>698</v>
      </c>
      <c r="C16" s="642">
        <f t="shared" si="0"/>
        <v>260478075.92000002</v>
      </c>
      <c r="D16" s="642">
        <v>248989597.62</v>
      </c>
      <c r="E16" s="642">
        <v>9195401.7699999996</v>
      </c>
      <c r="F16" s="642">
        <v>2256100.6800000002</v>
      </c>
      <c r="G16" s="642">
        <v>36975.85</v>
      </c>
      <c r="H16" s="638">
        <v>265352466.67399999</v>
      </c>
      <c r="I16" s="638">
        <v>253556639.70449999</v>
      </c>
      <c r="J16" s="638">
        <v>9468567.1787</v>
      </c>
      <c r="K16" s="638">
        <v>2288391.8169</v>
      </c>
      <c r="L16" s="638">
        <v>38867.973899999997</v>
      </c>
      <c r="M16" s="638">
        <v>675986.64999999991</v>
      </c>
      <c r="N16" s="638">
        <v>147758.74</v>
      </c>
      <c r="O16" s="638">
        <v>87564.54</v>
      </c>
      <c r="P16" s="638">
        <v>433527.65</v>
      </c>
      <c r="Q16" s="638">
        <v>7135.72</v>
      </c>
      <c r="R16" s="638">
        <v>19160</v>
      </c>
      <c r="S16" s="706">
        <v>0.11636919022294301</v>
      </c>
      <c r="T16" s="706">
        <v>0.129794362570401</v>
      </c>
      <c r="U16" s="689">
        <v>0.12</v>
      </c>
      <c r="V16" s="640">
        <v>88.83</v>
      </c>
      <c r="W16" s="774"/>
      <c r="X16" s="774"/>
    </row>
    <row r="17" spans="1:24">
      <c r="A17" s="428">
        <v>8</v>
      </c>
      <c r="B17" s="427" t="s">
        <v>699</v>
      </c>
      <c r="C17" s="642">
        <f t="shared" si="0"/>
        <v>135096892.30000001</v>
      </c>
      <c r="D17" s="642">
        <v>123648311.39</v>
      </c>
      <c r="E17" s="642">
        <v>8398189.3699999992</v>
      </c>
      <c r="F17" s="642">
        <v>3050391.54</v>
      </c>
      <c r="G17" s="642">
        <v>0</v>
      </c>
      <c r="H17" s="638">
        <v>137314499.60350001</v>
      </c>
      <c r="I17" s="638">
        <v>124797829.71510001</v>
      </c>
      <c r="J17" s="638">
        <v>8516663.6936000008</v>
      </c>
      <c r="K17" s="638">
        <v>4000006.1948000002</v>
      </c>
      <c r="L17" s="638">
        <v>0</v>
      </c>
      <c r="M17" s="638">
        <v>1360688.18</v>
      </c>
      <c r="N17" s="638">
        <v>46264.22</v>
      </c>
      <c r="O17" s="638">
        <v>25244.46</v>
      </c>
      <c r="P17" s="638">
        <v>1289179.5</v>
      </c>
      <c r="Q17" s="638">
        <v>0</v>
      </c>
      <c r="R17" s="638">
        <v>108105</v>
      </c>
      <c r="S17" s="706">
        <v>0.197296977859335</v>
      </c>
      <c r="T17" s="706">
        <v>0.197296977859335</v>
      </c>
      <c r="U17" s="689">
        <v>0.197142287748095</v>
      </c>
      <c r="V17" s="640">
        <v>0.62200845454510401</v>
      </c>
      <c r="W17" s="774"/>
      <c r="X17" s="774"/>
    </row>
    <row r="18" spans="1:24">
      <c r="A18" s="426">
        <v>9</v>
      </c>
      <c r="B18" s="425" t="s">
        <v>700</v>
      </c>
      <c r="C18" s="642">
        <f t="shared" si="0"/>
        <v>11601.369999999999</v>
      </c>
      <c r="D18" s="642">
        <v>10862.06</v>
      </c>
      <c r="E18" s="642">
        <v>739.31</v>
      </c>
      <c r="F18" s="642">
        <v>0</v>
      </c>
      <c r="G18" s="642">
        <v>0</v>
      </c>
      <c r="H18" s="638">
        <v>14144.744900000002</v>
      </c>
      <c r="I18" s="638">
        <v>13379.986500000001</v>
      </c>
      <c r="J18" s="638">
        <v>764.75840000000005</v>
      </c>
      <c r="K18" s="638">
        <v>0</v>
      </c>
      <c r="L18" s="638">
        <v>0</v>
      </c>
      <c r="M18" s="638">
        <v>213.35</v>
      </c>
      <c r="N18" s="638">
        <v>106.11</v>
      </c>
      <c r="O18" s="638">
        <v>107.24</v>
      </c>
      <c r="P18" s="638">
        <v>0</v>
      </c>
      <c r="Q18" s="638">
        <v>0</v>
      </c>
      <c r="R18" s="638">
        <v>6</v>
      </c>
      <c r="S18" s="706">
        <v>0</v>
      </c>
      <c r="T18" s="706">
        <v>0</v>
      </c>
      <c r="U18" s="689">
        <v>0.23</v>
      </c>
      <c r="V18" s="640">
        <v>7.46</v>
      </c>
      <c r="W18" s="774"/>
      <c r="X18" s="774"/>
    </row>
    <row r="19" spans="1:24">
      <c r="A19" s="424">
        <v>10</v>
      </c>
      <c r="B19" s="423" t="s">
        <v>716</v>
      </c>
      <c r="C19" s="641">
        <f t="shared" ref="C19:H19" si="2">SUM(C7:C13)+C17+C18</f>
        <v>8652793868.4288139</v>
      </c>
      <c r="D19" s="641">
        <f t="shared" si="2"/>
        <v>8022731590.8600006</v>
      </c>
      <c r="E19" s="641">
        <f t="shared" si="2"/>
        <v>372918783.31</v>
      </c>
      <c r="F19" s="641">
        <f t="shared" si="2"/>
        <v>179542930.69</v>
      </c>
      <c r="G19" s="641">
        <f t="shared" si="2"/>
        <v>77600563.568813503</v>
      </c>
      <c r="H19" s="641">
        <f t="shared" si="2"/>
        <v>8764766621.0925999</v>
      </c>
      <c r="I19" s="641">
        <f t="shared" ref="I19:L19" si="3">SUM(I7:I13)+I17+I18</f>
        <v>8119008987.9870996</v>
      </c>
      <c r="J19" s="641">
        <f t="shared" si="3"/>
        <v>382761067.55870008</v>
      </c>
      <c r="K19" s="641">
        <f t="shared" si="3"/>
        <v>184167423.0151</v>
      </c>
      <c r="L19" s="641">
        <f t="shared" si="3"/>
        <v>78829142.5317</v>
      </c>
      <c r="M19" s="641">
        <f t="shared" ref="M19:Q19" si="4">SUM(M7:M13)+M17+M18</f>
        <v>165093868.81815299</v>
      </c>
      <c r="N19" s="641">
        <f t="shared" si="4"/>
        <v>43901905.18</v>
      </c>
      <c r="O19" s="641">
        <f t="shared" si="4"/>
        <v>18551016.379999999</v>
      </c>
      <c r="P19" s="641">
        <f t="shared" si="4"/>
        <v>84589397.158094987</v>
      </c>
      <c r="Q19" s="641">
        <f t="shared" si="4"/>
        <v>18051550.100058001</v>
      </c>
      <c r="R19" s="641">
        <f t="shared" ref="R19" si="5">SUM(R7:R13)+R17+R18</f>
        <v>1026625</v>
      </c>
      <c r="S19" s="706">
        <v>0.16113987859356102</v>
      </c>
      <c r="T19" s="706">
        <v>0.19030404123265299</v>
      </c>
      <c r="U19" s="639">
        <v>0.13140012508532875</v>
      </c>
      <c r="V19" s="640">
        <v>85.59</v>
      </c>
      <c r="W19" s="774"/>
      <c r="X19" s="774"/>
    </row>
    <row r="20" spans="1:24" ht="25.5">
      <c r="A20" s="422">
        <v>10.1</v>
      </c>
      <c r="B20" s="421" t="s">
        <v>719</v>
      </c>
      <c r="C20" s="416"/>
      <c r="D20" s="416"/>
      <c r="E20" s="416"/>
      <c r="F20" s="416"/>
      <c r="G20" s="416"/>
      <c r="H20" s="416"/>
      <c r="I20" s="416"/>
      <c r="J20" s="416"/>
      <c r="K20" s="416"/>
      <c r="L20" s="416"/>
      <c r="M20" s="416"/>
      <c r="N20" s="416"/>
      <c r="O20" s="416"/>
      <c r="P20" s="416"/>
      <c r="Q20" s="416"/>
      <c r="R20" s="416"/>
      <c r="S20" s="416"/>
      <c r="T20" s="416"/>
      <c r="U20" s="416"/>
      <c r="V20" s="416"/>
    </row>
    <row r="21" spans="1:24">
      <c r="V21" s="640"/>
    </row>
    <row r="22" spans="1:24">
      <c r="S22" s="706"/>
      <c r="T22" s="706"/>
      <c r="U22" s="706"/>
      <c r="V22" s="640"/>
    </row>
    <row r="23" spans="1:24">
      <c r="A23" s="420">
        <v>10</v>
      </c>
      <c r="B23" s="420" t="s">
        <v>716</v>
      </c>
      <c r="S23" s="706"/>
      <c r="T23" s="706"/>
      <c r="U23" s="706"/>
      <c r="V23" s="640"/>
    </row>
    <row r="24" spans="1:24">
      <c r="S24" s="706"/>
      <c r="T24" s="706"/>
      <c r="U24" s="706"/>
      <c r="V24" s="640"/>
    </row>
    <row r="25" spans="1:24">
      <c r="C25" s="645"/>
      <c r="D25" s="645"/>
      <c r="E25" s="645"/>
      <c r="F25" s="645"/>
      <c r="G25" s="645"/>
      <c r="H25" s="645"/>
      <c r="I25" s="645"/>
      <c r="J25" s="645"/>
      <c r="K25" s="645"/>
      <c r="L25" s="645"/>
      <c r="M25" s="645"/>
      <c r="N25" s="645"/>
      <c r="O25" s="645"/>
      <c r="P25" s="645"/>
      <c r="Q25" s="645"/>
      <c r="R25" s="645"/>
      <c r="S25" s="706"/>
      <c r="T25" s="706"/>
      <c r="U25" s="706"/>
      <c r="V25" s="640"/>
    </row>
    <row r="26" spans="1:24">
      <c r="G26" s="645"/>
      <c r="I26" s="645"/>
      <c r="S26" s="706"/>
      <c r="T26" s="706"/>
      <c r="U26" s="706"/>
      <c r="V26" s="640"/>
    </row>
    <row r="27" spans="1:24">
      <c r="M27" s="645"/>
      <c r="S27" s="706"/>
      <c r="T27" s="706"/>
      <c r="U27" s="706"/>
      <c r="V27" s="640"/>
    </row>
    <row r="28" spans="1:24">
      <c r="H28" s="645"/>
      <c r="L28" s="645"/>
      <c r="S28" s="706"/>
      <c r="T28" s="706"/>
      <c r="U28" s="706"/>
      <c r="V28" s="640"/>
    </row>
    <row r="29" spans="1:24">
      <c r="S29" s="706"/>
      <c r="T29" s="706"/>
      <c r="U29" s="706"/>
      <c r="V29" s="640"/>
    </row>
    <row r="30" spans="1:24">
      <c r="S30" s="706"/>
      <c r="T30" s="706"/>
      <c r="U30" s="706"/>
      <c r="V30" s="640"/>
    </row>
    <row r="31" spans="1:24">
      <c r="H31" s="645"/>
      <c r="S31" s="706"/>
      <c r="T31" s="706"/>
      <c r="U31" s="706"/>
      <c r="V31" s="640"/>
    </row>
    <row r="32" spans="1:24">
      <c r="S32" s="706"/>
      <c r="T32" s="706"/>
      <c r="U32" s="706"/>
      <c r="V32" s="640"/>
    </row>
    <row r="33" spans="19:22">
      <c r="S33" s="706"/>
      <c r="T33" s="706"/>
      <c r="U33" s="706"/>
      <c r="V33" s="640"/>
    </row>
    <row r="34" spans="19:22">
      <c r="S34" s="706"/>
      <c r="T34" s="706"/>
      <c r="U34" s="706"/>
      <c r="V34" s="640"/>
    </row>
    <row r="35" spans="19:22">
      <c r="S35" s="706"/>
      <c r="T35" s="706"/>
      <c r="U35" s="706"/>
      <c r="V35" s="640"/>
    </row>
    <row r="36" spans="19:22">
      <c r="S36"/>
      <c r="T36" s="705"/>
      <c r="U36" s="705"/>
      <c r="V36" s="640"/>
    </row>
    <row r="37" spans="19:22">
      <c r="S37"/>
      <c r="T37" s="705"/>
      <c r="U37" s="705"/>
    </row>
    <row r="38" spans="19:22">
      <c r="S38"/>
      <c r="T38" s="705"/>
      <c r="U38" s="705"/>
    </row>
    <row r="39" spans="19:22">
      <c r="S39"/>
      <c r="T39" s="705"/>
      <c r="U39" s="705"/>
    </row>
    <row r="40" spans="19:22">
      <c r="S40"/>
      <c r="T40" s="705"/>
      <c r="U40" s="705"/>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71"/>
  <sheetViews>
    <sheetView zoomScaleNormal="100" workbookViewId="0"/>
  </sheetViews>
  <sheetFormatPr defaultRowHeight="15"/>
  <cols>
    <col min="1" max="1" width="9.140625" style="338"/>
    <col min="2" max="2" width="69.28515625" style="337" customWidth="1"/>
    <col min="3" max="4" width="16.42578125" style="484" bestFit="1" customWidth="1"/>
    <col min="5" max="5" width="13.85546875" style="484" bestFit="1" customWidth="1"/>
    <col min="6" max="6" width="16.42578125" style="484" bestFit="1" customWidth="1"/>
    <col min="7" max="7" width="17.5703125" style="484" bestFit="1" customWidth="1"/>
    <col min="8" max="8" width="16.42578125" style="484" bestFit="1" customWidth="1"/>
    <col min="9" max="9" width="15.85546875" customWidth="1"/>
    <col min="10" max="10" width="14.7109375" customWidth="1"/>
    <col min="13" max="13" width="11.5703125" customWidth="1"/>
  </cols>
  <sheetData>
    <row r="1" spans="1:11" ht="15.75">
      <c r="A1" s="13" t="s">
        <v>108</v>
      </c>
      <c r="B1" s="262" t="str">
        <f>Info!C2</f>
        <v>სს ”საქართველოს ბანკი”</v>
      </c>
      <c r="C1" s="692"/>
      <c r="D1" s="482"/>
      <c r="E1" s="482"/>
      <c r="F1" s="482"/>
      <c r="G1" s="482"/>
    </row>
    <row r="2" spans="1:11" ht="15.75">
      <c r="A2" s="13" t="s">
        <v>109</v>
      </c>
      <c r="B2" s="628">
        <f>'1. key ratios'!B2</f>
        <v>45199</v>
      </c>
      <c r="C2" s="693"/>
      <c r="D2" s="483"/>
      <c r="E2" s="483"/>
      <c r="F2" s="693"/>
      <c r="G2" s="483"/>
      <c r="H2" s="483"/>
    </row>
    <row r="3" spans="1:11" ht="16.5" thickBot="1">
      <c r="A3" s="13"/>
      <c r="B3" s="12"/>
      <c r="C3" s="693"/>
      <c r="D3" s="483"/>
      <c r="E3" s="483"/>
      <c r="F3" s="693"/>
      <c r="G3" s="483"/>
      <c r="H3" s="483"/>
    </row>
    <row r="4" spans="1:11">
      <c r="A4" s="780" t="s">
        <v>25</v>
      </c>
      <c r="B4" s="782" t="s">
        <v>728</v>
      </c>
      <c r="C4" s="784" t="s">
        <v>114</v>
      </c>
      <c r="D4" s="784"/>
      <c r="E4" s="784"/>
      <c r="F4" s="784" t="s">
        <v>115</v>
      </c>
      <c r="G4" s="784"/>
      <c r="H4" s="785"/>
    </row>
    <row r="5" spans="1:11">
      <c r="A5" s="781"/>
      <c r="B5" s="783"/>
      <c r="C5" s="544" t="s">
        <v>26</v>
      </c>
      <c r="D5" s="544" t="s">
        <v>88</v>
      </c>
      <c r="E5" s="544" t="s">
        <v>66</v>
      </c>
      <c r="F5" s="544" t="s">
        <v>26</v>
      </c>
      <c r="G5" s="544" t="s">
        <v>88</v>
      </c>
      <c r="H5" s="698" t="s">
        <v>66</v>
      </c>
    </row>
    <row r="6" spans="1:11">
      <c r="A6" s="781"/>
      <c r="B6" s="545" t="s">
        <v>95</v>
      </c>
      <c r="C6" s="778"/>
      <c r="D6" s="778"/>
      <c r="E6" s="778"/>
      <c r="F6" s="778"/>
      <c r="G6" s="778"/>
      <c r="H6" s="779"/>
      <c r="K6" s="484"/>
    </row>
    <row r="7" spans="1:11" ht="21">
      <c r="A7" s="566">
        <v>1</v>
      </c>
      <c r="B7" s="546" t="s">
        <v>842</v>
      </c>
      <c r="C7" s="694">
        <f>SUM(C8:C10)</f>
        <v>979215270.37199998</v>
      </c>
      <c r="D7" s="694">
        <f>SUM(D8:D10)</f>
        <v>3295687447.7344003</v>
      </c>
      <c r="E7" s="547">
        <f>C7+D7</f>
        <v>4274902718.1064005</v>
      </c>
      <c r="F7" s="694">
        <v>360254446.28600001</v>
      </c>
      <c r="G7" s="694">
        <v>4214965518.7863994</v>
      </c>
      <c r="H7" s="699">
        <f>F7+G7</f>
        <v>4575219965.0723991</v>
      </c>
    </row>
    <row r="8" spans="1:11">
      <c r="A8" s="566">
        <v>1.1000000000000001</v>
      </c>
      <c r="B8" s="548" t="s">
        <v>96</v>
      </c>
      <c r="C8" s="694">
        <v>279785710.25199997</v>
      </c>
      <c r="D8" s="694">
        <v>510690201.08999991</v>
      </c>
      <c r="E8" s="547">
        <f t="shared" ref="E8:E35" si="0">C8+D8</f>
        <v>790475911.34199989</v>
      </c>
      <c r="F8" s="694">
        <v>256683154.07600001</v>
      </c>
      <c r="G8" s="694">
        <v>524234230.56000006</v>
      </c>
      <c r="H8" s="699">
        <f t="shared" ref="H8:H36" si="1">F8+G8</f>
        <v>780917384.63600004</v>
      </c>
      <c r="J8" s="484"/>
    </row>
    <row r="9" spans="1:11">
      <c r="A9" s="566">
        <v>1.2</v>
      </c>
      <c r="B9" s="548" t="s">
        <v>97</v>
      </c>
      <c r="C9" s="694">
        <v>689025444.90999997</v>
      </c>
      <c r="D9" s="694">
        <v>1852055544.5300002</v>
      </c>
      <c r="E9" s="547">
        <f t="shared" si="0"/>
        <v>2541080989.4400001</v>
      </c>
      <c r="F9" s="694">
        <v>94302849.080000013</v>
      </c>
      <c r="G9" s="694">
        <v>2402701680.6499996</v>
      </c>
      <c r="H9" s="699">
        <f t="shared" si="1"/>
        <v>2497004529.7299995</v>
      </c>
      <c r="J9" s="484"/>
    </row>
    <row r="10" spans="1:11">
      <c r="A10" s="566">
        <v>1.3</v>
      </c>
      <c r="B10" s="548" t="s">
        <v>98</v>
      </c>
      <c r="C10" s="694">
        <v>10404115.209999999</v>
      </c>
      <c r="D10" s="694">
        <v>932941702.11440027</v>
      </c>
      <c r="E10" s="547">
        <f t="shared" si="0"/>
        <v>943345817.32440031</v>
      </c>
      <c r="F10" s="694">
        <v>9268443.129999999</v>
      </c>
      <c r="G10" s="694">
        <v>1288029607.5763998</v>
      </c>
      <c r="H10" s="699">
        <f t="shared" si="1"/>
        <v>1297298050.7063999</v>
      </c>
      <c r="J10" s="484"/>
    </row>
    <row r="11" spans="1:11">
      <c r="A11" s="566">
        <v>2</v>
      </c>
      <c r="B11" s="549" t="s">
        <v>729</v>
      </c>
      <c r="C11" s="694">
        <f>C12</f>
        <v>48982974.880000003</v>
      </c>
      <c r="D11" s="694">
        <f>D12</f>
        <v>9932.5600000023842</v>
      </c>
      <c r="E11" s="547">
        <f t="shared" si="0"/>
        <v>48992907.440000005</v>
      </c>
      <c r="F11" s="694">
        <v>150317280.28999999</v>
      </c>
      <c r="G11" s="694"/>
      <c r="H11" s="699">
        <f t="shared" si="1"/>
        <v>150317280.28999999</v>
      </c>
      <c r="J11" s="484"/>
    </row>
    <row r="12" spans="1:11">
      <c r="A12" s="566">
        <v>2.1</v>
      </c>
      <c r="B12" s="550" t="s">
        <v>730</v>
      </c>
      <c r="C12" s="694">
        <v>48982974.880000003</v>
      </c>
      <c r="D12" s="694">
        <v>9932.5600000023842</v>
      </c>
      <c r="E12" s="547">
        <f t="shared" si="0"/>
        <v>48992907.440000005</v>
      </c>
      <c r="F12" s="694">
        <v>150317280.28999999</v>
      </c>
      <c r="G12" s="694">
        <v>0</v>
      </c>
      <c r="H12" s="699">
        <f t="shared" si="1"/>
        <v>150317280.28999999</v>
      </c>
      <c r="J12" s="484"/>
    </row>
    <row r="13" spans="1:11" ht="21">
      <c r="A13" s="566">
        <v>3</v>
      </c>
      <c r="B13" s="551" t="s">
        <v>731</v>
      </c>
      <c r="C13" s="694"/>
      <c r="D13" s="694"/>
      <c r="E13" s="547">
        <f t="shared" si="0"/>
        <v>0</v>
      </c>
      <c r="F13" s="694"/>
      <c r="G13" s="694"/>
      <c r="H13" s="699">
        <f t="shared" si="1"/>
        <v>0</v>
      </c>
      <c r="J13" s="484"/>
    </row>
    <row r="14" spans="1:11" ht="21">
      <c r="A14" s="566">
        <v>4</v>
      </c>
      <c r="B14" s="552" t="s">
        <v>732</v>
      </c>
      <c r="C14" s="694"/>
      <c r="D14" s="694"/>
      <c r="E14" s="547">
        <f t="shared" si="0"/>
        <v>0</v>
      </c>
      <c r="F14" s="694"/>
      <c r="G14" s="694"/>
      <c r="H14" s="699">
        <f t="shared" si="1"/>
        <v>0</v>
      </c>
      <c r="J14" s="484"/>
    </row>
    <row r="15" spans="1:11" ht="21">
      <c r="A15" s="566">
        <v>5</v>
      </c>
      <c r="B15" s="552" t="s">
        <v>733</v>
      </c>
      <c r="C15" s="695">
        <f>SUM(C16:C18)</f>
        <v>2448173822.1826</v>
      </c>
      <c r="D15" s="695">
        <f>SUM(D16:D18)</f>
        <v>2077242036.6523993</v>
      </c>
      <c r="E15" s="553">
        <f t="shared" si="0"/>
        <v>4525415858.8349991</v>
      </c>
      <c r="F15" s="695">
        <v>2848974083.8400002</v>
      </c>
      <c r="G15" s="695">
        <v>1092335009.6611011</v>
      </c>
      <c r="H15" s="700">
        <f t="shared" si="1"/>
        <v>3941309093.5011015</v>
      </c>
      <c r="J15" s="484"/>
    </row>
    <row r="16" spans="1:11">
      <c r="A16" s="566">
        <v>5.0999999999999996</v>
      </c>
      <c r="B16" s="554" t="s">
        <v>734</v>
      </c>
      <c r="C16" s="694">
        <v>108303.24</v>
      </c>
      <c r="D16" s="694">
        <v>6437636.1544000003</v>
      </c>
      <c r="E16" s="547">
        <f t="shared" si="0"/>
        <v>6545939.3944000006</v>
      </c>
      <c r="F16" s="694">
        <v>108303.24</v>
      </c>
      <c r="G16" s="694">
        <v>4595281.6339018568</v>
      </c>
      <c r="H16" s="699">
        <f t="shared" si="1"/>
        <v>4703584.8739018571</v>
      </c>
      <c r="J16" s="484"/>
    </row>
    <row r="17" spans="1:10">
      <c r="A17" s="566">
        <v>5.2</v>
      </c>
      <c r="B17" s="554" t="s">
        <v>568</v>
      </c>
      <c r="C17" s="694">
        <v>2448065518.9426003</v>
      </c>
      <c r="D17" s="694">
        <v>2070804400.4979992</v>
      </c>
      <c r="E17" s="547">
        <f t="shared" si="0"/>
        <v>4518869919.4405994</v>
      </c>
      <c r="F17" s="694">
        <v>2848865780.6000004</v>
      </c>
      <c r="G17" s="694">
        <v>1087739728.0271993</v>
      </c>
      <c r="H17" s="699">
        <f t="shared" si="1"/>
        <v>3936605508.6271996</v>
      </c>
      <c r="J17" s="484"/>
    </row>
    <row r="18" spans="1:10">
      <c r="A18" s="566">
        <v>5.3</v>
      </c>
      <c r="B18" s="554" t="s">
        <v>735</v>
      </c>
      <c r="C18" s="694"/>
      <c r="D18" s="694"/>
      <c r="E18" s="547">
        <f t="shared" si="0"/>
        <v>0</v>
      </c>
      <c r="F18" s="694"/>
      <c r="G18" s="694"/>
      <c r="H18" s="699">
        <f t="shared" si="1"/>
        <v>0</v>
      </c>
      <c r="J18" s="484"/>
    </row>
    <row r="19" spans="1:10">
      <c r="A19" s="566">
        <v>6</v>
      </c>
      <c r="B19" s="551" t="s">
        <v>736</v>
      </c>
      <c r="C19" s="694">
        <f>SUM(C20:C21)</f>
        <v>10656701723.2612</v>
      </c>
      <c r="D19" s="694">
        <f>SUM(D20:D21)</f>
        <v>7974453154.3710995</v>
      </c>
      <c r="E19" s="547">
        <f t="shared" si="0"/>
        <v>18631154877.632301</v>
      </c>
      <c r="F19" s="694">
        <v>8584664232.1039991</v>
      </c>
      <c r="G19" s="694">
        <v>7291149525.0359344</v>
      </c>
      <c r="H19" s="699">
        <f t="shared" si="1"/>
        <v>15875813757.139935</v>
      </c>
      <c r="J19" s="484"/>
    </row>
    <row r="20" spans="1:10">
      <c r="A20" s="566">
        <v>6.1</v>
      </c>
      <c r="B20" s="554" t="s">
        <v>568</v>
      </c>
      <c r="C20" s="694">
        <v>443590668.16000003</v>
      </c>
      <c r="D20" s="694">
        <v>41664822.672299981</v>
      </c>
      <c r="E20" s="547">
        <f t="shared" si="0"/>
        <v>485255490.83230001</v>
      </c>
      <c r="F20" s="694">
        <v>103078493.15000001</v>
      </c>
      <c r="G20" s="694">
        <v>195307174.66690001</v>
      </c>
      <c r="H20" s="699">
        <f t="shared" si="1"/>
        <v>298385667.81690001</v>
      </c>
      <c r="J20" s="484"/>
    </row>
    <row r="21" spans="1:10">
      <c r="A21" s="566">
        <v>6.2</v>
      </c>
      <c r="B21" s="554" t="s">
        <v>735</v>
      </c>
      <c r="C21" s="694">
        <v>10213111055.1012</v>
      </c>
      <c r="D21" s="694">
        <v>7932788331.6987991</v>
      </c>
      <c r="E21" s="547">
        <f t="shared" si="0"/>
        <v>18145899386.799999</v>
      </c>
      <c r="F21" s="694">
        <v>8481585738.9539995</v>
      </c>
      <c r="G21" s="694">
        <v>7095842350.3690348</v>
      </c>
      <c r="H21" s="699">
        <f t="shared" si="1"/>
        <v>15577428089.323034</v>
      </c>
      <c r="J21" s="484"/>
    </row>
    <row r="22" spans="1:10">
      <c r="A22" s="566">
        <v>7</v>
      </c>
      <c r="B22" s="555" t="s">
        <v>737</v>
      </c>
      <c r="C22" s="694">
        <v>157362371.54397023</v>
      </c>
      <c r="D22" s="694">
        <v>0</v>
      </c>
      <c r="E22" s="547">
        <f t="shared" si="0"/>
        <v>157362371.54397023</v>
      </c>
      <c r="F22" s="694">
        <v>160367613.39397022</v>
      </c>
      <c r="G22" s="694">
        <v>0</v>
      </c>
      <c r="H22" s="699">
        <f t="shared" si="1"/>
        <v>160367613.39397022</v>
      </c>
      <c r="J22" s="484"/>
    </row>
    <row r="23" spans="1:10" ht="21">
      <c r="A23" s="566">
        <v>8</v>
      </c>
      <c r="B23" s="555" t="s">
        <v>738</v>
      </c>
      <c r="C23" s="694">
        <v>28795295.039999999</v>
      </c>
      <c r="D23" s="694">
        <v>0</v>
      </c>
      <c r="E23" s="547">
        <f t="shared" si="0"/>
        <v>28795295.039999999</v>
      </c>
      <c r="F23" s="694">
        <v>43943638.080000043</v>
      </c>
      <c r="G23" s="694">
        <v>0</v>
      </c>
      <c r="H23" s="699">
        <f t="shared" si="1"/>
        <v>43943638.080000043</v>
      </c>
      <c r="J23" s="484"/>
    </row>
    <row r="24" spans="1:10">
      <c r="A24" s="566">
        <v>9</v>
      </c>
      <c r="B24" s="552" t="s">
        <v>739</v>
      </c>
      <c r="C24" s="694">
        <f>SUM(C25:C26)</f>
        <v>627020924.80000007</v>
      </c>
      <c r="D24" s="694">
        <f>SUM(D25:D26)</f>
        <v>0</v>
      </c>
      <c r="E24" s="547">
        <f t="shared" si="0"/>
        <v>627020924.80000007</v>
      </c>
      <c r="F24" s="694">
        <v>602480960.43999994</v>
      </c>
      <c r="G24" s="694">
        <v>0</v>
      </c>
      <c r="H24" s="699">
        <f t="shared" si="1"/>
        <v>602480960.43999994</v>
      </c>
      <c r="J24" s="484"/>
    </row>
    <row r="25" spans="1:10">
      <c r="A25" s="566">
        <v>9.1</v>
      </c>
      <c r="B25" s="556" t="s">
        <v>740</v>
      </c>
      <c r="C25" s="694">
        <v>498173902.73000002</v>
      </c>
      <c r="D25" s="694">
        <v>0</v>
      </c>
      <c r="E25" s="547">
        <f t="shared" si="0"/>
        <v>498173902.73000002</v>
      </c>
      <c r="F25" s="694">
        <v>432211020.45999998</v>
      </c>
      <c r="G25" s="694">
        <v>0</v>
      </c>
      <c r="H25" s="699">
        <f t="shared" si="1"/>
        <v>432211020.45999998</v>
      </c>
      <c r="J25" s="484"/>
    </row>
    <row r="26" spans="1:10">
      <c r="A26" s="566">
        <v>9.1999999999999993</v>
      </c>
      <c r="B26" s="556" t="s">
        <v>741</v>
      </c>
      <c r="C26" s="694">
        <v>128847022.07000001</v>
      </c>
      <c r="D26" s="694">
        <v>0</v>
      </c>
      <c r="E26" s="547">
        <f t="shared" si="0"/>
        <v>128847022.07000001</v>
      </c>
      <c r="F26" s="694">
        <v>170269939.97999999</v>
      </c>
      <c r="G26" s="694">
        <v>0</v>
      </c>
      <c r="H26" s="699">
        <f t="shared" si="1"/>
        <v>170269939.97999999</v>
      </c>
      <c r="J26" s="484"/>
    </row>
    <row r="27" spans="1:10">
      <c r="A27" s="566">
        <v>10</v>
      </c>
      <c r="B27" s="552" t="s">
        <v>36</v>
      </c>
      <c r="C27" s="694">
        <f>SUM(C28:C29)</f>
        <v>164932492.87</v>
      </c>
      <c r="D27" s="694">
        <f>SUM(D28:D29)</f>
        <v>0</v>
      </c>
      <c r="E27" s="547">
        <f t="shared" si="0"/>
        <v>164932492.87</v>
      </c>
      <c r="F27" s="694">
        <v>152580473.72</v>
      </c>
      <c r="G27" s="694">
        <v>0</v>
      </c>
      <c r="H27" s="699">
        <f t="shared" si="1"/>
        <v>152580473.72</v>
      </c>
      <c r="J27" s="484"/>
    </row>
    <row r="28" spans="1:10">
      <c r="A28" s="566">
        <v>10.1</v>
      </c>
      <c r="B28" s="556" t="s">
        <v>742</v>
      </c>
      <c r="C28" s="694">
        <v>33331342.84</v>
      </c>
      <c r="D28" s="694">
        <v>0</v>
      </c>
      <c r="E28" s="547">
        <f t="shared" si="0"/>
        <v>33331342.84</v>
      </c>
      <c r="F28" s="694">
        <v>33331342.84</v>
      </c>
      <c r="G28" s="694">
        <v>0</v>
      </c>
      <c r="H28" s="699">
        <f t="shared" si="1"/>
        <v>33331342.84</v>
      </c>
      <c r="J28" s="484"/>
    </row>
    <row r="29" spans="1:10">
      <c r="A29" s="566">
        <v>10.199999999999999</v>
      </c>
      <c r="B29" s="556" t="s">
        <v>743</v>
      </c>
      <c r="C29" s="694">
        <v>131601150.03</v>
      </c>
      <c r="D29" s="694">
        <v>0</v>
      </c>
      <c r="E29" s="547">
        <f t="shared" si="0"/>
        <v>131601150.03</v>
      </c>
      <c r="F29" s="694">
        <v>119249130.88</v>
      </c>
      <c r="G29" s="694">
        <v>0</v>
      </c>
      <c r="H29" s="699">
        <f t="shared" si="1"/>
        <v>119249130.88</v>
      </c>
      <c r="J29" s="484"/>
    </row>
    <row r="30" spans="1:10">
      <c r="A30" s="566">
        <v>11</v>
      </c>
      <c r="B30" s="552" t="s">
        <v>744</v>
      </c>
      <c r="C30" s="694"/>
      <c r="D30" s="694">
        <f>SUM(D31:D32)</f>
        <v>0</v>
      </c>
      <c r="E30" s="547">
        <f t="shared" si="0"/>
        <v>0</v>
      </c>
      <c r="F30" s="694">
        <v>0</v>
      </c>
      <c r="G30" s="694">
        <v>0</v>
      </c>
      <c r="H30" s="699">
        <f t="shared" si="1"/>
        <v>0</v>
      </c>
      <c r="J30" s="484"/>
    </row>
    <row r="31" spans="1:10">
      <c r="A31" s="566">
        <v>11.1</v>
      </c>
      <c r="B31" s="556" t="s">
        <v>745</v>
      </c>
      <c r="C31" s="694"/>
      <c r="D31" s="694">
        <v>0</v>
      </c>
      <c r="E31" s="547">
        <f t="shared" si="0"/>
        <v>0</v>
      </c>
      <c r="F31" s="694">
        <v>0</v>
      </c>
      <c r="G31" s="694">
        <v>0</v>
      </c>
      <c r="H31" s="699">
        <f t="shared" si="1"/>
        <v>0</v>
      </c>
      <c r="J31" s="484"/>
    </row>
    <row r="32" spans="1:10">
      <c r="A32" s="566">
        <v>11.2</v>
      </c>
      <c r="B32" s="556" t="s">
        <v>746</v>
      </c>
      <c r="C32" s="694"/>
      <c r="D32" s="694">
        <v>0</v>
      </c>
      <c r="E32" s="547">
        <f t="shared" si="0"/>
        <v>0</v>
      </c>
      <c r="F32" s="694">
        <v>0</v>
      </c>
      <c r="G32" s="694">
        <v>0</v>
      </c>
      <c r="H32" s="699">
        <f t="shared" si="1"/>
        <v>0</v>
      </c>
      <c r="J32" s="484"/>
    </row>
    <row r="33" spans="1:10">
      <c r="A33" s="566">
        <v>13</v>
      </c>
      <c r="B33" s="552" t="s">
        <v>99</v>
      </c>
      <c r="C33" s="694">
        <v>477098978.50549954</v>
      </c>
      <c r="D33" s="694">
        <v>95529994.770900071</v>
      </c>
      <c r="E33" s="547">
        <f t="shared" si="0"/>
        <v>572628973.27639961</v>
      </c>
      <c r="F33" s="694">
        <v>205326084.38742793</v>
      </c>
      <c r="G33" s="694">
        <v>61145659.938199937</v>
      </c>
      <c r="H33" s="699">
        <f t="shared" si="1"/>
        <v>266471744.32562786</v>
      </c>
      <c r="J33" s="484"/>
    </row>
    <row r="34" spans="1:10">
      <c r="A34" s="566">
        <v>13.1</v>
      </c>
      <c r="B34" s="557" t="s">
        <v>747</v>
      </c>
      <c r="C34" s="694">
        <v>228099382.21000001</v>
      </c>
      <c r="D34" s="694">
        <v>0</v>
      </c>
      <c r="E34" s="547">
        <f t="shared" si="0"/>
        <v>228099382.21000001</v>
      </c>
      <c r="F34" s="694">
        <v>73927281.829999998</v>
      </c>
      <c r="G34" s="694">
        <v>0</v>
      </c>
      <c r="H34" s="699">
        <f t="shared" si="1"/>
        <v>73927281.829999998</v>
      </c>
      <c r="J34" s="484"/>
    </row>
    <row r="35" spans="1:10">
      <c r="A35" s="566">
        <v>13.2</v>
      </c>
      <c r="B35" s="557" t="s">
        <v>748</v>
      </c>
      <c r="C35" s="694">
        <v>0</v>
      </c>
      <c r="D35" s="694">
        <v>0</v>
      </c>
      <c r="E35" s="547">
        <f t="shared" si="0"/>
        <v>0</v>
      </c>
      <c r="F35" s="694">
        <v>0</v>
      </c>
      <c r="G35" s="694">
        <v>0</v>
      </c>
      <c r="H35" s="699">
        <f t="shared" si="1"/>
        <v>0</v>
      </c>
      <c r="J35" s="484"/>
    </row>
    <row r="36" spans="1:10">
      <c r="A36" s="566">
        <v>14</v>
      </c>
      <c r="B36" s="558" t="s">
        <v>749</v>
      </c>
      <c r="C36" s="694">
        <f>SUM(C7,C11,C13,C14,C15,C19,C22,C23,C24,C27,C30,C33)</f>
        <v>15588283853.455271</v>
      </c>
      <c r="D36" s="694">
        <f>SUM(D7,D11,D13,D14,D15,D19,D22,D23,D24,D27,D30,D33)</f>
        <v>13442922566.088799</v>
      </c>
      <c r="E36" s="547">
        <f>C36+D36</f>
        <v>29031206419.544067</v>
      </c>
      <c r="F36" s="694">
        <f>SUM(F7,F11,F13,F14,F15,F19,F22,F23,F24,F27,F30,F33)</f>
        <v>13108908812.541399</v>
      </c>
      <c r="G36" s="694">
        <f>SUM(G7,G11,G13,G14,G15,G19,G22,G23,G24,G27,G30,G33)</f>
        <v>12659595713.421635</v>
      </c>
      <c r="H36" s="699">
        <f t="shared" si="1"/>
        <v>25768504525.963036</v>
      </c>
      <c r="I36" s="484"/>
      <c r="J36" s="484"/>
    </row>
    <row r="37" spans="1:10">
      <c r="A37" s="566"/>
      <c r="B37" s="559" t="s">
        <v>104</v>
      </c>
      <c r="C37" s="778"/>
      <c r="D37" s="778"/>
      <c r="E37" s="778"/>
      <c r="F37" s="778"/>
      <c r="G37" s="778"/>
      <c r="H37" s="779"/>
      <c r="J37" s="484"/>
    </row>
    <row r="38" spans="1:10">
      <c r="A38" s="566">
        <v>15</v>
      </c>
      <c r="B38" s="555" t="s">
        <v>750</v>
      </c>
      <c r="C38" s="694">
        <f>C39</f>
        <v>6076870.9300000016</v>
      </c>
      <c r="D38" s="694">
        <f>D39</f>
        <v>20997872</v>
      </c>
      <c r="E38" s="547">
        <f>C38+D38</f>
        <v>27074742.93</v>
      </c>
      <c r="F38" s="694">
        <f>F39</f>
        <v>11515934.879999999</v>
      </c>
      <c r="G38" s="694">
        <f>G39</f>
        <v>38331904</v>
      </c>
      <c r="H38" s="699">
        <f>F38+G38</f>
        <v>49847838.879999995</v>
      </c>
      <c r="J38" s="484"/>
    </row>
    <row r="39" spans="1:10">
      <c r="A39" s="566">
        <v>15.1</v>
      </c>
      <c r="B39" s="550" t="s">
        <v>730</v>
      </c>
      <c r="C39" s="694">
        <v>6076870.9300000016</v>
      </c>
      <c r="D39" s="694">
        <v>20997872</v>
      </c>
      <c r="E39" s="547">
        <f t="shared" ref="E39:E52" si="2">C39+D39</f>
        <v>27074742.93</v>
      </c>
      <c r="F39" s="694">
        <v>11515934.879999999</v>
      </c>
      <c r="G39" s="694">
        <v>38331904</v>
      </c>
      <c r="H39" s="699">
        <f t="shared" ref="H39:H53" si="3">F39+G39</f>
        <v>49847838.879999995</v>
      </c>
      <c r="J39" s="484"/>
    </row>
    <row r="40" spans="1:10" ht="21">
      <c r="A40" s="566">
        <v>16</v>
      </c>
      <c r="B40" s="555" t="s">
        <v>751</v>
      </c>
      <c r="C40" s="694"/>
      <c r="D40" s="694"/>
      <c r="E40" s="547">
        <f t="shared" si="2"/>
        <v>0</v>
      </c>
      <c r="F40" s="694"/>
      <c r="G40" s="694"/>
      <c r="H40" s="699">
        <f t="shared" si="3"/>
        <v>0</v>
      </c>
      <c r="J40" s="484"/>
    </row>
    <row r="41" spans="1:10" ht="21">
      <c r="A41" s="566">
        <v>17</v>
      </c>
      <c r="B41" s="555" t="s">
        <v>752</v>
      </c>
      <c r="C41" s="694">
        <f>SUM(C42:C45)</f>
        <v>11560527218.7565</v>
      </c>
      <c r="D41" s="694">
        <f>SUM(D42:D45)</f>
        <v>12005326704.484398</v>
      </c>
      <c r="E41" s="547">
        <f t="shared" si="2"/>
        <v>23565853923.240898</v>
      </c>
      <c r="F41" s="701">
        <f>SUM(F42:F45)</f>
        <v>9482084095.0105648</v>
      </c>
      <c r="G41" s="701">
        <f>SUM(G42:G45)</f>
        <v>11547119962.386396</v>
      </c>
      <c r="H41" s="699">
        <f t="shared" si="3"/>
        <v>21029204057.396961</v>
      </c>
      <c r="J41" s="484"/>
    </row>
    <row r="42" spans="1:10">
      <c r="A42" s="566">
        <v>17.100000000000001</v>
      </c>
      <c r="B42" s="564" t="s">
        <v>753</v>
      </c>
      <c r="C42" s="701">
        <v>10566322385.5765</v>
      </c>
      <c r="D42" s="701">
        <v>10891652531.234398</v>
      </c>
      <c r="E42" s="547">
        <f t="shared" si="2"/>
        <v>21457974916.810898</v>
      </c>
      <c r="F42" s="701">
        <v>6592943027.2105656</v>
      </c>
      <c r="G42" s="701">
        <v>10391134966.906397</v>
      </c>
      <c r="H42" s="699">
        <f t="shared" si="3"/>
        <v>16984077994.116962</v>
      </c>
      <c r="J42" s="484"/>
    </row>
    <row r="43" spans="1:10">
      <c r="A43" s="566">
        <v>17.2</v>
      </c>
      <c r="B43" s="548" t="s">
        <v>100</v>
      </c>
      <c r="C43" s="701">
        <v>990499334.63999999</v>
      </c>
      <c r="D43" s="701">
        <v>924361871.21999991</v>
      </c>
      <c r="E43" s="547">
        <f t="shared" si="2"/>
        <v>1914861205.8599999</v>
      </c>
      <c r="F43" s="701">
        <v>2885441575.7500005</v>
      </c>
      <c r="G43" s="701">
        <v>634872019.30999994</v>
      </c>
      <c r="H43" s="699">
        <f t="shared" si="3"/>
        <v>3520313595.0600004</v>
      </c>
      <c r="J43" s="484"/>
    </row>
    <row r="44" spans="1:10">
      <c r="A44" s="566">
        <v>17.3</v>
      </c>
      <c r="B44" s="564" t="s">
        <v>754</v>
      </c>
      <c r="C44" s="701">
        <v>0</v>
      </c>
      <c r="D44" s="701">
        <v>68912002.690000013</v>
      </c>
      <c r="E44" s="547">
        <f t="shared" si="2"/>
        <v>68912002.690000013</v>
      </c>
      <c r="F44" s="701">
        <v>0</v>
      </c>
      <c r="G44" s="701">
        <v>436873761.22999996</v>
      </c>
      <c r="H44" s="699">
        <f t="shared" si="3"/>
        <v>436873761.22999996</v>
      </c>
      <c r="J44" s="484"/>
    </row>
    <row r="45" spans="1:10">
      <c r="A45" s="566">
        <v>17.399999999999999</v>
      </c>
      <c r="B45" s="564" t="s">
        <v>755</v>
      </c>
      <c r="C45" s="701">
        <v>3705498.54</v>
      </c>
      <c r="D45" s="701">
        <v>120400299.33999999</v>
      </c>
      <c r="E45" s="547">
        <f t="shared" si="2"/>
        <v>124105797.88</v>
      </c>
      <c r="F45" s="701">
        <v>3699492.05</v>
      </c>
      <c r="G45" s="701">
        <v>84239214.939999998</v>
      </c>
      <c r="H45" s="699">
        <f t="shared" si="3"/>
        <v>87938706.989999995</v>
      </c>
      <c r="J45" s="484"/>
    </row>
    <row r="46" spans="1:10">
      <c r="A46" s="566">
        <v>18</v>
      </c>
      <c r="B46" s="561" t="s">
        <v>756</v>
      </c>
      <c r="C46" s="694">
        <v>1109926.27</v>
      </c>
      <c r="D46" s="694">
        <v>5134799.8573999982</v>
      </c>
      <c r="E46" s="547">
        <f t="shared" si="2"/>
        <v>6244726.1273999978</v>
      </c>
      <c r="F46" s="701">
        <v>1588192.91</v>
      </c>
      <c r="G46" s="701">
        <v>2962828.4640999995</v>
      </c>
      <c r="H46" s="699">
        <f t="shared" si="3"/>
        <v>4551021.3740999997</v>
      </c>
      <c r="J46" s="484"/>
    </row>
    <row r="47" spans="1:10">
      <c r="A47" s="566">
        <v>19</v>
      </c>
      <c r="B47" s="561" t="s">
        <v>757</v>
      </c>
      <c r="C47" s="696">
        <f>SUM(C48:C49)</f>
        <v>155925605.65483564</v>
      </c>
      <c r="D47" s="694">
        <f>SUM(D48:D49)</f>
        <v>0</v>
      </c>
      <c r="E47" s="547">
        <f t="shared" si="2"/>
        <v>155925605.65483564</v>
      </c>
      <c r="F47" s="696">
        <f>SUM(F48:F49)</f>
        <v>21405520.25</v>
      </c>
      <c r="G47" s="694">
        <f>SUM(G48:G49)</f>
        <v>0</v>
      </c>
      <c r="H47" s="699">
        <f t="shared" si="3"/>
        <v>21405520.25</v>
      </c>
      <c r="J47" s="484"/>
    </row>
    <row r="48" spans="1:10">
      <c r="A48" s="566">
        <v>19.100000000000001</v>
      </c>
      <c r="B48" s="562" t="s">
        <v>758</v>
      </c>
      <c r="C48" s="694">
        <v>140184043.35203636</v>
      </c>
      <c r="D48" s="694">
        <v>0</v>
      </c>
      <c r="E48" s="547">
        <f t="shared" si="2"/>
        <v>140184043.35203636</v>
      </c>
      <c r="F48" s="694">
        <v>9642671.5299999993</v>
      </c>
      <c r="G48" s="694">
        <v>0</v>
      </c>
      <c r="H48" s="699">
        <f t="shared" si="3"/>
        <v>9642671.5299999993</v>
      </c>
      <c r="J48" s="484"/>
    </row>
    <row r="49" spans="1:10">
      <c r="A49" s="566">
        <v>19.2</v>
      </c>
      <c r="B49" s="562" t="s">
        <v>759</v>
      </c>
      <c r="C49" s="694">
        <v>15741562.302799283</v>
      </c>
      <c r="D49" s="694">
        <v>0</v>
      </c>
      <c r="E49" s="547">
        <f t="shared" si="2"/>
        <v>15741562.302799283</v>
      </c>
      <c r="F49" s="694">
        <v>11762848.720000001</v>
      </c>
      <c r="G49" s="694">
        <v>0</v>
      </c>
      <c r="H49" s="699">
        <f t="shared" si="3"/>
        <v>11762848.720000001</v>
      </c>
      <c r="J49" s="484"/>
    </row>
    <row r="50" spans="1:10">
      <c r="A50" s="566">
        <v>20</v>
      </c>
      <c r="B50" s="558" t="s">
        <v>101</v>
      </c>
      <c r="C50" s="694">
        <v>0</v>
      </c>
      <c r="D50" s="694">
        <v>894703985.12000012</v>
      </c>
      <c r="E50" s="547">
        <f t="shared" si="2"/>
        <v>894703985.12000012</v>
      </c>
      <c r="F50" s="694">
        <v>0</v>
      </c>
      <c r="G50" s="694">
        <v>861055081.42000008</v>
      </c>
      <c r="H50" s="699">
        <f t="shared" si="3"/>
        <v>861055081.42000008</v>
      </c>
      <c r="J50" s="484"/>
    </row>
    <row r="51" spans="1:10">
      <c r="A51" s="566">
        <v>21</v>
      </c>
      <c r="B51" s="549" t="s">
        <v>89</v>
      </c>
      <c r="C51" s="694">
        <v>169100582.75500715</v>
      </c>
      <c r="D51" s="694">
        <v>124923764.93200004</v>
      </c>
      <c r="E51" s="547">
        <f t="shared" si="2"/>
        <v>294024347.68700719</v>
      </c>
      <c r="F51" s="694">
        <v>136317482.13529998</v>
      </c>
      <c r="G51" s="694">
        <v>52331136.640000015</v>
      </c>
      <c r="H51" s="699">
        <f t="shared" si="3"/>
        <v>188648618.7753</v>
      </c>
      <c r="J51" s="484"/>
    </row>
    <row r="52" spans="1:10">
      <c r="A52" s="566">
        <v>21.1</v>
      </c>
      <c r="B52" s="548" t="s">
        <v>760</v>
      </c>
      <c r="C52" s="694">
        <v>3668040.75</v>
      </c>
      <c r="D52" s="694"/>
      <c r="E52" s="547">
        <f t="shared" si="2"/>
        <v>3668040.75</v>
      </c>
      <c r="F52" s="694">
        <v>2009606.98</v>
      </c>
      <c r="G52" s="694"/>
      <c r="H52" s="699">
        <f t="shared" si="3"/>
        <v>2009606.98</v>
      </c>
      <c r="J52" s="484"/>
    </row>
    <row r="53" spans="1:10">
      <c r="A53" s="566">
        <v>22</v>
      </c>
      <c r="B53" s="558" t="s">
        <v>761</v>
      </c>
      <c r="C53" s="694">
        <f>SUM(C38,C40,C41,C46,C47,C50,C51)</f>
        <v>11892740204.366343</v>
      </c>
      <c r="D53" s="694">
        <f>SUM(D38,D40,D41,D46,D47,D50,D51)</f>
        <v>13051087126.393799</v>
      </c>
      <c r="E53" s="547">
        <f>C53+D53</f>
        <v>24943827330.760139</v>
      </c>
      <c r="F53" s="694">
        <f>SUM(F38,F40,F41,F46,F47,F50,F51)</f>
        <v>9652911225.1858635</v>
      </c>
      <c r="G53" s="694">
        <f>SUM(G38,G40,G41,G46,G47,G50,G51)</f>
        <v>12501800912.910496</v>
      </c>
      <c r="H53" s="699">
        <f t="shared" si="3"/>
        <v>22154712138.096359</v>
      </c>
      <c r="I53" s="484"/>
      <c r="J53" s="484"/>
    </row>
    <row r="54" spans="1:10">
      <c r="A54" s="566"/>
      <c r="B54" s="559" t="s">
        <v>762</v>
      </c>
      <c r="C54" s="778"/>
      <c r="D54" s="778"/>
      <c r="E54" s="778"/>
      <c r="F54" s="778"/>
      <c r="G54" s="778"/>
      <c r="H54" s="779"/>
      <c r="J54" s="484"/>
    </row>
    <row r="55" spans="1:10">
      <c r="A55" s="566">
        <v>23</v>
      </c>
      <c r="B55" s="558" t="s">
        <v>105</v>
      </c>
      <c r="C55" s="694">
        <v>27993660.18</v>
      </c>
      <c r="D55" s="694"/>
      <c r="E55" s="547">
        <f>C55+D55</f>
        <v>27993660.18</v>
      </c>
      <c r="F55" s="694">
        <v>27993660.18</v>
      </c>
      <c r="G55" s="694"/>
      <c r="H55" s="699">
        <f>F55+G55</f>
        <v>27993660.18</v>
      </c>
      <c r="J55" s="484"/>
    </row>
    <row r="56" spans="1:10">
      <c r="A56" s="566">
        <v>24</v>
      </c>
      <c r="B56" s="558" t="s">
        <v>763</v>
      </c>
      <c r="C56" s="694"/>
      <c r="D56" s="694"/>
      <c r="E56" s="547">
        <f t="shared" ref="E56:E69" si="4">C56+D56</f>
        <v>0</v>
      </c>
      <c r="F56" s="694"/>
      <c r="G56" s="694"/>
      <c r="H56" s="699">
        <f t="shared" ref="H56:H69" si="5">F56+G56</f>
        <v>0</v>
      </c>
      <c r="J56" s="484"/>
    </row>
    <row r="57" spans="1:10">
      <c r="A57" s="566">
        <v>25</v>
      </c>
      <c r="B57" s="563" t="s">
        <v>102</v>
      </c>
      <c r="C57" s="694">
        <v>252311118.03999999</v>
      </c>
      <c r="D57" s="694"/>
      <c r="E57" s="547">
        <f t="shared" si="4"/>
        <v>252311118.03999999</v>
      </c>
      <c r="F57" s="694">
        <v>389947468.08999997</v>
      </c>
      <c r="G57" s="694"/>
      <c r="H57" s="699">
        <f t="shared" si="5"/>
        <v>389947468.08999997</v>
      </c>
      <c r="J57" s="484"/>
    </row>
    <row r="58" spans="1:10">
      <c r="A58" s="566">
        <v>26</v>
      </c>
      <c r="B58" s="561" t="s">
        <v>764</v>
      </c>
      <c r="C58" s="694">
        <v>-10173</v>
      </c>
      <c r="D58" s="694"/>
      <c r="E58" s="547">
        <f t="shared" si="4"/>
        <v>-10173</v>
      </c>
      <c r="F58" s="694">
        <v>-10173</v>
      </c>
      <c r="G58" s="694"/>
      <c r="H58" s="699">
        <f t="shared" si="5"/>
        <v>-10173</v>
      </c>
      <c r="J58" s="484"/>
    </row>
    <row r="59" spans="1:10" ht="21">
      <c r="A59" s="566">
        <v>27</v>
      </c>
      <c r="B59" s="561" t="s">
        <v>765</v>
      </c>
      <c r="C59" s="694">
        <f>SUM(C60:C61)</f>
        <v>0</v>
      </c>
      <c r="D59" s="694">
        <f>SUM(D60:D61)</f>
        <v>0</v>
      </c>
      <c r="E59" s="547">
        <f t="shared" si="4"/>
        <v>0</v>
      </c>
      <c r="F59" s="694">
        <f>SUM(F60:F61)</f>
        <v>0</v>
      </c>
      <c r="G59" s="694">
        <f>SUM(G60:G61)</f>
        <v>0</v>
      </c>
      <c r="H59" s="699">
        <f t="shared" si="5"/>
        <v>0</v>
      </c>
      <c r="J59" s="484"/>
    </row>
    <row r="60" spans="1:10">
      <c r="A60" s="566">
        <v>27.1</v>
      </c>
      <c r="B60" s="564" t="s">
        <v>766</v>
      </c>
      <c r="C60" s="694"/>
      <c r="D60" s="694"/>
      <c r="E60" s="547">
        <f t="shared" si="4"/>
        <v>0</v>
      </c>
      <c r="F60" s="694"/>
      <c r="G60" s="694"/>
      <c r="H60" s="699">
        <f t="shared" si="5"/>
        <v>0</v>
      </c>
      <c r="J60" s="484"/>
    </row>
    <row r="61" spans="1:10">
      <c r="A61" s="566">
        <v>27.2</v>
      </c>
      <c r="B61" s="560" t="s">
        <v>767</v>
      </c>
      <c r="C61" s="694"/>
      <c r="D61" s="694"/>
      <c r="E61" s="547">
        <f t="shared" si="4"/>
        <v>0</v>
      </c>
      <c r="F61" s="694"/>
      <c r="G61" s="694"/>
      <c r="H61" s="699">
        <f t="shared" si="5"/>
        <v>0</v>
      </c>
      <c r="J61" s="484"/>
    </row>
    <row r="62" spans="1:10">
      <c r="A62" s="566">
        <v>28</v>
      </c>
      <c r="B62" s="549" t="s">
        <v>768</v>
      </c>
      <c r="C62" s="694">
        <v>-113514556.6337229</v>
      </c>
      <c r="D62" s="694"/>
      <c r="E62" s="547">
        <f t="shared" si="4"/>
        <v>-113514556.6337229</v>
      </c>
      <c r="F62" s="694">
        <v>-217247668.73372293</v>
      </c>
      <c r="G62" s="694"/>
      <c r="H62" s="699">
        <f t="shared" si="5"/>
        <v>-217247668.73372293</v>
      </c>
      <c r="J62" s="484"/>
    </row>
    <row r="63" spans="1:10">
      <c r="A63" s="566">
        <v>29</v>
      </c>
      <c r="B63" s="561" t="s">
        <v>769</v>
      </c>
      <c r="C63" s="694">
        <f>SUM(C64:C66)</f>
        <v>31727328.587299995</v>
      </c>
      <c r="D63" s="694">
        <f>SUM(D64:D66)</f>
        <v>0</v>
      </c>
      <c r="E63" s="547">
        <f t="shared" si="4"/>
        <v>31727328.587299995</v>
      </c>
      <c r="F63" s="694">
        <f>SUM(F64:F66)</f>
        <v>2906366.1999999946</v>
      </c>
      <c r="G63" s="694">
        <f>SUM(G64:G66)</f>
        <v>0</v>
      </c>
      <c r="H63" s="699">
        <f t="shared" si="5"/>
        <v>2906366.1999999946</v>
      </c>
      <c r="J63" s="484"/>
    </row>
    <row r="64" spans="1:10">
      <c r="A64" s="566">
        <v>29.1</v>
      </c>
      <c r="B64" s="554" t="s">
        <v>770</v>
      </c>
      <c r="C64" s="694">
        <v>2358668.17</v>
      </c>
      <c r="D64" s="694"/>
      <c r="E64" s="547">
        <f t="shared" si="4"/>
        <v>2358668.17</v>
      </c>
      <c r="F64" s="694">
        <v>2358668.17</v>
      </c>
      <c r="G64" s="694"/>
      <c r="H64" s="699">
        <f t="shared" si="5"/>
        <v>2358668.17</v>
      </c>
      <c r="J64" s="484"/>
    </row>
    <row r="65" spans="1:10" ht="31.5">
      <c r="A65" s="566">
        <v>29.2</v>
      </c>
      <c r="B65" s="564" t="s">
        <v>771</v>
      </c>
      <c r="C65" s="694">
        <v>2211831.9</v>
      </c>
      <c r="D65" s="694"/>
      <c r="E65" s="547">
        <f t="shared" si="4"/>
        <v>2211831.9</v>
      </c>
      <c r="F65" s="694">
        <v>621110.19999999995</v>
      </c>
      <c r="G65" s="694"/>
      <c r="H65" s="699">
        <f t="shared" si="5"/>
        <v>621110.19999999995</v>
      </c>
      <c r="J65" s="484"/>
    </row>
    <row r="66" spans="1:10" ht="21">
      <c r="A66" s="566">
        <v>29.3</v>
      </c>
      <c r="B66" s="556" t="s">
        <v>772</v>
      </c>
      <c r="C66" s="694">
        <v>27156828.517299995</v>
      </c>
      <c r="D66" s="694"/>
      <c r="E66" s="547">
        <f t="shared" si="4"/>
        <v>27156828.517299995</v>
      </c>
      <c r="F66" s="694">
        <v>-73412.170000005281</v>
      </c>
      <c r="G66" s="694"/>
      <c r="H66" s="699">
        <f t="shared" si="5"/>
        <v>-73412.170000005281</v>
      </c>
      <c r="J66" s="484"/>
    </row>
    <row r="67" spans="1:10">
      <c r="A67" s="566">
        <v>30</v>
      </c>
      <c r="B67" s="552" t="s">
        <v>103</v>
      </c>
      <c r="C67" s="694">
        <v>3888871711.6103463</v>
      </c>
      <c r="D67" s="694"/>
      <c r="E67" s="547">
        <f t="shared" si="4"/>
        <v>3888871711.6103463</v>
      </c>
      <c r="F67" s="694">
        <v>3410202735.1303968</v>
      </c>
      <c r="G67" s="694"/>
      <c r="H67" s="699">
        <f t="shared" si="5"/>
        <v>3410202735.1303968</v>
      </c>
      <c r="J67" s="484"/>
    </row>
    <row r="68" spans="1:10">
      <c r="A68" s="566">
        <v>31</v>
      </c>
      <c r="B68" s="565" t="s">
        <v>773</v>
      </c>
      <c r="C68" s="694">
        <f>SUM(C55,C56,C57,C58,C59,C62,C63,C67)</f>
        <v>4087379088.7839231</v>
      </c>
      <c r="D68" s="694">
        <f>SUM(D55,D56,D57,D58,D59,D62,D63,D67)</f>
        <v>0</v>
      </c>
      <c r="E68" s="547">
        <f t="shared" si="4"/>
        <v>4087379088.7839231</v>
      </c>
      <c r="F68" s="694">
        <f>SUM(F55,F56,F57,F58,F59,F62,F63,F67)</f>
        <v>3613792387.8666739</v>
      </c>
      <c r="G68" s="694">
        <f>SUM(G55,G56,G57,G58,G59,G62,G63,G67)</f>
        <v>0</v>
      </c>
      <c r="H68" s="699">
        <f t="shared" si="5"/>
        <v>3613792387.8666739</v>
      </c>
      <c r="I68" s="484"/>
      <c r="J68" s="484"/>
    </row>
    <row r="69" spans="1:10" ht="15.75" thickBot="1">
      <c r="A69" s="567">
        <v>32</v>
      </c>
      <c r="B69" s="568" t="s">
        <v>774</v>
      </c>
      <c r="C69" s="697">
        <f>SUM(C53,C68)</f>
        <v>15980119293.150265</v>
      </c>
      <c r="D69" s="697">
        <f>SUM(D53,D68)</f>
        <v>13051087126.393799</v>
      </c>
      <c r="E69" s="569">
        <f t="shared" si="4"/>
        <v>29031206419.544064</v>
      </c>
      <c r="F69" s="697">
        <f>SUM(F53,F68)</f>
        <v>13266703613.052538</v>
      </c>
      <c r="G69" s="697">
        <f>SUM(G53,G68)</f>
        <v>12501800912.910496</v>
      </c>
      <c r="H69" s="569">
        <f t="shared" si="5"/>
        <v>25768504525.963036</v>
      </c>
      <c r="J69" s="484"/>
    </row>
    <row r="70" spans="1:10">
      <c r="J70" s="484"/>
    </row>
    <row r="71" spans="1:10">
      <c r="H71" s="484">
        <f>H36-H69</f>
        <v>0</v>
      </c>
      <c r="J71" s="484"/>
    </row>
  </sheetData>
  <mergeCells count="7">
    <mergeCell ref="C37:H37"/>
    <mergeCell ref="C54:H54"/>
    <mergeCell ref="A4:A6"/>
    <mergeCell ref="B4:B5"/>
    <mergeCell ref="C4:E4"/>
    <mergeCell ref="F4:H4"/>
    <mergeCell ref="C6:H6"/>
  </mergeCells>
  <pageMargins left="0.7" right="0.7" top="0.75" bottom="0.75" header="0.3" footer="0.3"/>
  <pageSetup paperSize="9" scale="49" orientation="portrait" r:id="rId1"/>
  <colBreaks count="1" manualBreakCount="1">
    <brk id="8"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5"/>
  <sheetViews>
    <sheetView topLeftCell="A64" zoomScaleNormal="100" workbookViewId="0">
      <selection sqref="A1:C1"/>
    </sheetView>
  </sheetViews>
  <sheetFormatPr defaultColWidth="43.5703125" defaultRowHeight="11.25"/>
  <cols>
    <col min="1" max="1" width="8" style="125" customWidth="1"/>
    <col min="2" max="2" width="66.140625" style="126" customWidth="1"/>
    <col min="3" max="3" width="131.42578125" style="127" customWidth="1"/>
    <col min="4" max="5" width="10.28515625" style="118" customWidth="1"/>
    <col min="6" max="6" width="67.5703125" style="118" customWidth="1"/>
    <col min="7" max="16384" width="43.5703125" style="118"/>
  </cols>
  <sheetData>
    <row r="1" spans="1:3" ht="12.75" thickTop="1" thickBot="1">
      <c r="A1" s="896" t="s">
        <v>186</v>
      </c>
      <c r="B1" s="897"/>
      <c r="C1" s="898"/>
    </row>
    <row r="2" spans="1:3" ht="26.25" customHeight="1">
      <c r="A2" s="327"/>
      <c r="B2" s="899" t="s">
        <v>187</v>
      </c>
      <c r="C2" s="899"/>
    </row>
    <row r="3" spans="1:3" s="123" customFormat="1" ht="11.25" customHeight="1">
      <c r="A3" s="122"/>
      <c r="B3" s="899" t="s">
        <v>262</v>
      </c>
      <c r="C3" s="899"/>
    </row>
    <row r="4" spans="1:3" ht="12" customHeight="1" thickBot="1">
      <c r="A4" s="900" t="s">
        <v>266</v>
      </c>
      <c r="B4" s="901"/>
      <c r="C4" s="902"/>
    </row>
    <row r="5" spans="1:3" ht="12" thickTop="1">
      <c r="A5" s="119"/>
      <c r="B5" s="903" t="s">
        <v>188</v>
      </c>
      <c r="C5" s="904"/>
    </row>
    <row r="6" spans="1:3">
      <c r="A6" s="327"/>
      <c r="B6" s="905" t="s">
        <v>263</v>
      </c>
      <c r="C6" s="906"/>
    </row>
    <row r="7" spans="1:3">
      <c r="A7" s="327"/>
      <c r="B7" s="905" t="s">
        <v>189</v>
      </c>
      <c r="C7" s="906"/>
    </row>
    <row r="8" spans="1:3">
      <c r="A8" s="327"/>
      <c r="B8" s="905" t="s">
        <v>264</v>
      </c>
      <c r="C8" s="906"/>
    </row>
    <row r="9" spans="1:3">
      <c r="A9" s="327"/>
      <c r="B9" s="911" t="s">
        <v>265</v>
      </c>
      <c r="C9" s="912"/>
    </row>
    <row r="10" spans="1:3">
      <c r="A10" s="327"/>
      <c r="B10" s="907" t="s">
        <v>190</v>
      </c>
      <c r="C10" s="908" t="s">
        <v>190</v>
      </c>
    </row>
    <row r="11" spans="1:3">
      <c r="A11" s="327"/>
      <c r="B11" s="907" t="s">
        <v>191</v>
      </c>
      <c r="C11" s="908" t="s">
        <v>191</v>
      </c>
    </row>
    <row r="12" spans="1:3">
      <c r="A12" s="327"/>
      <c r="B12" s="907" t="s">
        <v>192</v>
      </c>
      <c r="C12" s="908" t="s">
        <v>192</v>
      </c>
    </row>
    <row r="13" spans="1:3">
      <c r="A13" s="327"/>
      <c r="B13" s="907" t="s">
        <v>193</v>
      </c>
      <c r="C13" s="908" t="s">
        <v>193</v>
      </c>
    </row>
    <row r="14" spans="1:3">
      <c r="A14" s="327"/>
      <c r="B14" s="907" t="s">
        <v>194</v>
      </c>
      <c r="C14" s="908" t="s">
        <v>194</v>
      </c>
    </row>
    <row r="15" spans="1:3" ht="21.75" customHeight="1">
      <c r="A15" s="327"/>
      <c r="B15" s="907" t="s">
        <v>195</v>
      </c>
      <c r="C15" s="908" t="s">
        <v>195</v>
      </c>
    </row>
    <row r="16" spans="1:3">
      <c r="A16" s="327"/>
      <c r="B16" s="907" t="s">
        <v>196</v>
      </c>
      <c r="C16" s="908" t="s">
        <v>197</v>
      </c>
    </row>
    <row r="17" spans="1:6">
      <c r="A17" s="327"/>
      <c r="B17" s="907" t="s">
        <v>198</v>
      </c>
      <c r="C17" s="908" t="s">
        <v>199</v>
      </c>
    </row>
    <row r="18" spans="1:6">
      <c r="A18" s="327"/>
      <c r="B18" s="907" t="s">
        <v>200</v>
      </c>
      <c r="C18" s="908" t="s">
        <v>201</v>
      </c>
    </row>
    <row r="19" spans="1:6">
      <c r="A19" s="327"/>
      <c r="B19" s="907" t="s">
        <v>202</v>
      </c>
      <c r="C19" s="908" t="s">
        <v>202</v>
      </c>
    </row>
    <row r="20" spans="1:6">
      <c r="A20" s="327"/>
      <c r="B20" s="909" t="s">
        <v>956</v>
      </c>
      <c r="C20" s="910" t="s">
        <v>203</v>
      </c>
    </row>
    <row r="21" spans="1:6">
      <c r="A21" s="327"/>
      <c r="B21" s="907" t="s">
        <v>945</v>
      </c>
      <c r="C21" s="908" t="s">
        <v>204</v>
      </c>
    </row>
    <row r="22" spans="1:6" ht="23.25" customHeight="1">
      <c r="A22" s="327"/>
      <c r="B22" s="907" t="s">
        <v>205</v>
      </c>
      <c r="C22" s="908" t="s">
        <v>206</v>
      </c>
      <c r="F22" s="481"/>
    </row>
    <row r="23" spans="1:6">
      <c r="A23" s="327"/>
      <c r="B23" s="907" t="s">
        <v>207</v>
      </c>
      <c r="C23" s="908" t="s">
        <v>207</v>
      </c>
    </row>
    <row r="24" spans="1:6">
      <c r="A24" s="327"/>
      <c r="B24" s="907" t="s">
        <v>208</v>
      </c>
      <c r="C24" s="908" t="s">
        <v>209</v>
      </c>
    </row>
    <row r="25" spans="1:6" ht="12" thickBot="1">
      <c r="A25" s="120"/>
      <c r="B25" s="918" t="s">
        <v>210</v>
      </c>
      <c r="C25" s="919"/>
    </row>
    <row r="26" spans="1:6" ht="12.75" thickTop="1" thickBot="1">
      <c r="A26" s="900" t="s">
        <v>843</v>
      </c>
      <c r="B26" s="901"/>
      <c r="C26" s="902"/>
    </row>
    <row r="27" spans="1:6" ht="12.75" thickTop="1" thickBot="1">
      <c r="A27" s="121"/>
      <c r="B27" s="920" t="s">
        <v>844</v>
      </c>
      <c r="C27" s="921"/>
    </row>
    <row r="28" spans="1:6" ht="12.75" thickTop="1" thickBot="1">
      <c r="A28" s="900" t="s">
        <v>267</v>
      </c>
      <c r="B28" s="901"/>
      <c r="C28" s="902"/>
    </row>
    <row r="29" spans="1:6" ht="12" thickTop="1">
      <c r="A29" s="119"/>
      <c r="B29" s="922" t="s">
        <v>847</v>
      </c>
      <c r="C29" s="923" t="s">
        <v>211</v>
      </c>
    </row>
    <row r="30" spans="1:6">
      <c r="A30" s="327"/>
      <c r="B30" s="913" t="s">
        <v>215</v>
      </c>
      <c r="C30" s="914" t="s">
        <v>212</v>
      </c>
    </row>
    <row r="31" spans="1:6">
      <c r="A31" s="327"/>
      <c r="B31" s="913" t="s">
        <v>845</v>
      </c>
      <c r="C31" s="914" t="s">
        <v>213</v>
      </c>
    </row>
    <row r="32" spans="1:6">
      <c r="A32" s="327"/>
      <c r="B32" s="913" t="s">
        <v>846</v>
      </c>
      <c r="C32" s="914" t="s">
        <v>214</v>
      </c>
    </row>
    <row r="33" spans="1:3">
      <c r="A33" s="327"/>
      <c r="B33" s="913" t="s">
        <v>218</v>
      </c>
      <c r="C33" s="914" t="s">
        <v>219</v>
      </c>
    </row>
    <row r="34" spans="1:3">
      <c r="A34" s="327"/>
      <c r="B34" s="913" t="s">
        <v>848</v>
      </c>
      <c r="C34" s="914" t="s">
        <v>216</v>
      </c>
    </row>
    <row r="35" spans="1:3">
      <c r="A35" s="327"/>
      <c r="B35" s="913" t="s">
        <v>849</v>
      </c>
      <c r="C35" s="914" t="s">
        <v>217</v>
      </c>
    </row>
    <row r="36" spans="1:3">
      <c r="A36" s="327"/>
      <c r="B36" s="915" t="s">
        <v>850</v>
      </c>
      <c r="C36" s="916"/>
    </row>
    <row r="37" spans="1:3" ht="24.75" customHeight="1">
      <c r="A37" s="327"/>
      <c r="B37" s="913" t="s">
        <v>851</v>
      </c>
      <c r="C37" s="914" t="s">
        <v>220</v>
      </c>
    </row>
    <row r="38" spans="1:3" ht="23.25" customHeight="1">
      <c r="A38" s="327"/>
      <c r="B38" s="913" t="s">
        <v>852</v>
      </c>
      <c r="C38" s="914" t="s">
        <v>221</v>
      </c>
    </row>
    <row r="39" spans="1:3" ht="23.25" customHeight="1">
      <c r="A39" s="340"/>
      <c r="B39" s="915" t="s">
        <v>853</v>
      </c>
      <c r="C39" s="917"/>
    </row>
    <row r="40" spans="1:3" ht="12" customHeight="1">
      <c r="A40" s="327"/>
      <c r="B40" s="913" t="s">
        <v>854</v>
      </c>
      <c r="C40" s="914"/>
    </row>
    <row r="41" spans="1:3" ht="12" thickBot="1">
      <c r="A41" s="900" t="s">
        <v>268</v>
      </c>
      <c r="B41" s="901"/>
      <c r="C41" s="902"/>
    </row>
    <row r="42" spans="1:3" ht="12" thickTop="1">
      <c r="A42" s="119"/>
      <c r="B42" s="903" t="s">
        <v>298</v>
      </c>
      <c r="C42" s="904" t="s">
        <v>222</v>
      </c>
    </row>
    <row r="43" spans="1:3">
      <c r="A43" s="327"/>
      <c r="B43" s="905" t="s">
        <v>297</v>
      </c>
      <c r="C43" s="906"/>
    </row>
    <row r="44" spans="1:3" ht="23.25" customHeight="1" thickBot="1">
      <c r="A44" s="120"/>
      <c r="B44" s="924" t="s">
        <v>223</v>
      </c>
      <c r="C44" s="925" t="s">
        <v>224</v>
      </c>
    </row>
    <row r="45" spans="1:3" ht="11.25" customHeight="1" thickTop="1" thickBot="1">
      <c r="A45" s="900" t="s">
        <v>269</v>
      </c>
      <c r="B45" s="901"/>
      <c r="C45" s="902"/>
    </row>
    <row r="46" spans="1:3" ht="26.25" customHeight="1" thickTop="1">
      <c r="A46" s="327"/>
      <c r="B46" s="905" t="s">
        <v>270</v>
      </c>
      <c r="C46" s="906"/>
    </row>
    <row r="47" spans="1:3" ht="12" thickBot="1">
      <c r="A47" s="900" t="s">
        <v>271</v>
      </c>
      <c r="B47" s="901"/>
      <c r="C47" s="902"/>
    </row>
    <row r="48" spans="1:3" ht="12" thickTop="1">
      <c r="A48" s="119"/>
      <c r="B48" s="903" t="s">
        <v>225</v>
      </c>
      <c r="C48" s="904" t="s">
        <v>225</v>
      </c>
    </row>
    <row r="49" spans="1:3" ht="11.25" customHeight="1">
      <c r="A49" s="327"/>
      <c r="B49" s="905" t="s">
        <v>226</v>
      </c>
      <c r="C49" s="906" t="s">
        <v>226</v>
      </c>
    </row>
    <row r="50" spans="1:3">
      <c r="A50" s="327"/>
      <c r="B50" s="905" t="s">
        <v>227</v>
      </c>
      <c r="C50" s="906" t="s">
        <v>227</v>
      </c>
    </row>
    <row r="51" spans="1:3" ht="11.25" customHeight="1">
      <c r="A51" s="327"/>
      <c r="B51" s="905" t="s">
        <v>856</v>
      </c>
      <c r="C51" s="906" t="s">
        <v>228</v>
      </c>
    </row>
    <row r="52" spans="1:3" ht="33.6" customHeight="1">
      <c r="A52" s="327"/>
      <c r="B52" s="905" t="s">
        <v>229</v>
      </c>
      <c r="C52" s="906" t="s">
        <v>229</v>
      </c>
    </row>
    <row r="53" spans="1:3" ht="11.25" customHeight="1">
      <c r="A53" s="327"/>
      <c r="B53" s="905" t="s">
        <v>318</v>
      </c>
      <c r="C53" s="906" t="s">
        <v>230</v>
      </c>
    </row>
    <row r="54" spans="1:3" ht="11.25" customHeight="1" thickBot="1">
      <c r="A54" s="900" t="s">
        <v>272</v>
      </c>
      <c r="B54" s="901"/>
      <c r="C54" s="902"/>
    </row>
    <row r="55" spans="1:3" ht="12" thickTop="1">
      <c r="A55" s="119"/>
      <c r="B55" s="903" t="s">
        <v>225</v>
      </c>
      <c r="C55" s="904" t="s">
        <v>225</v>
      </c>
    </row>
    <row r="56" spans="1:3">
      <c r="A56" s="327"/>
      <c r="B56" s="905" t="s">
        <v>231</v>
      </c>
      <c r="C56" s="906" t="s">
        <v>231</v>
      </c>
    </row>
    <row r="57" spans="1:3">
      <c r="A57" s="327"/>
      <c r="B57" s="905" t="s">
        <v>275</v>
      </c>
      <c r="C57" s="906" t="s">
        <v>232</v>
      </c>
    </row>
    <row r="58" spans="1:3">
      <c r="A58" s="327"/>
      <c r="B58" s="905" t="s">
        <v>233</v>
      </c>
      <c r="C58" s="906" t="s">
        <v>233</v>
      </c>
    </row>
    <row r="59" spans="1:3">
      <c r="A59" s="327"/>
      <c r="B59" s="905" t="s">
        <v>234</v>
      </c>
      <c r="C59" s="906" t="s">
        <v>234</v>
      </c>
    </row>
    <row r="60" spans="1:3">
      <c r="A60" s="327"/>
      <c r="B60" s="905" t="s">
        <v>235</v>
      </c>
      <c r="C60" s="906" t="s">
        <v>235</v>
      </c>
    </row>
    <row r="61" spans="1:3">
      <c r="A61" s="327"/>
      <c r="B61" s="905" t="s">
        <v>276</v>
      </c>
      <c r="C61" s="906" t="s">
        <v>236</v>
      </c>
    </row>
    <row r="62" spans="1:3">
      <c r="A62" s="327"/>
      <c r="B62" s="905" t="s">
        <v>237</v>
      </c>
      <c r="C62" s="906" t="s">
        <v>237</v>
      </c>
    </row>
    <row r="63" spans="1:3" ht="12" thickBot="1">
      <c r="A63" s="120"/>
      <c r="B63" s="924" t="s">
        <v>238</v>
      </c>
      <c r="C63" s="925" t="s">
        <v>238</v>
      </c>
    </row>
    <row r="64" spans="1:3" ht="11.25" customHeight="1" thickTop="1">
      <c r="A64" s="928" t="s">
        <v>273</v>
      </c>
      <c r="B64" s="929"/>
      <c r="C64" s="930"/>
    </row>
    <row r="65" spans="1:3" ht="12" thickBot="1">
      <c r="A65" s="120"/>
      <c r="B65" s="924" t="s">
        <v>239</v>
      </c>
      <c r="C65" s="925" t="s">
        <v>239</v>
      </c>
    </row>
    <row r="66" spans="1:3" ht="11.25" customHeight="1" thickTop="1" thickBot="1">
      <c r="A66" s="900" t="s">
        <v>274</v>
      </c>
      <c r="B66" s="901"/>
      <c r="C66" s="902"/>
    </row>
    <row r="67" spans="1:3" ht="12" thickTop="1">
      <c r="A67" s="119"/>
      <c r="B67" s="903" t="s">
        <v>240</v>
      </c>
      <c r="C67" s="904" t="s">
        <v>240</v>
      </c>
    </row>
    <row r="68" spans="1:3">
      <c r="A68" s="327"/>
      <c r="B68" s="905" t="s">
        <v>858</v>
      </c>
      <c r="C68" s="906" t="s">
        <v>241</v>
      </c>
    </row>
    <row r="69" spans="1:3">
      <c r="A69" s="327"/>
      <c r="B69" s="905" t="s">
        <v>242</v>
      </c>
      <c r="C69" s="906" t="s">
        <v>242</v>
      </c>
    </row>
    <row r="70" spans="1:3" ht="54.95" customHeight="1">
      <c r="A70" s="327"/>
      <c r="B70" s="926" t="s">
        <v>687</v>
      </c>
      <c r="C70" s="927" t="s">
        <v>243</v>
      </c>
    </row>
    <row r="71" spans="1:3" ht="33.75" customHeight="1">
      <c r="A71" s="327"/>
      <c r="B71" s="926" t="s">
        <v>277</v>
      </c>
      <c r="C71" s="927" t="s">
        <v>244</v>
      </c>
    </row>
    <row r="72" spans="1:3" ht="15.75" customHeight="1">
      <c r="A72" s="327"/>
      <c r="B72" s="926" t="s">
        <v>859</v>
      </c>
      <c r="C72" s="927" t="s">
        <v>245</v>
      </c>
    </row>
    <row r="73" spans="1:3">
      <c r="A73" s="327"/>
      <c r="B73" s="905" t="s">
        <v>246</v>
      </c>
      <c r="C73" s="906" t="s">
        <v>246</v>
      </c>
    </row>
    <row r="74" spans="1:3" ht="12" thickBot="1">
      <c r="A74" s="120"/>
      <c r="B74" s="924" t="s">
        <v>247</v>
      </c>
      <c r="C74" s="925" t="s">
        <v>247</v>
      </c>
    </row>
    <row r="75" spans="1:3" ht="12" thickTop="1">
      <c r="A75" s="928" t="s">
        <v>301</v>
      </c>
      <c r="B75" s="929"/>
      <c r="C75" s="930"/>
    </row>
    <row r="76" spans="1:3">
      <c r="A76" s="327"/>
      <c r="B76" s="905" t="s">
        <v>239</v>
      </c>
      <c r="C76" s="906"/>
    </row>
    <row r="77" spans="1:3">
      <c r="A77" s="327"/>
      <c r="B77" s="905" t="s">
        <v>299</v>
      </c>
      <c r="C77" s="906"/>
    </row>
    <row r="78" spans="1:3">
      <c r="A78" s="327"/>
      <c r="B78" s="905" t="s">
        <v>300</v>
      </c>
      <c r="C78" s="906"/>
    </row>
    <row r="79" spans="1:3">
      <c r="A79" s="928" t="s">
        <v>302</v>
      </c>
      <c r="B79" s="929"/>
      <c r="C79" s="930"/>
    </row>
    <row r="80" spans="1:3">
      <c r="A80" s="327"/>
      <c r="B80" s="905" t="s">
        <v>239</v>
      </c>
      <c r="C80" s="906"/>
    </row>
    <row r="81" spans="1:3">
      <c r="A81" s="327"/>
      <c r="B81" s="905" t="s">
        <v>303</v>
      </c>
      <c r="C81" s="906"/>
    </row>
    <row r="82" spans="1:3" ht="79.5" customHeight="1">
      <c r="A82" s="327"/>
      <c r="B82" s="905" t="s">
        <v>317</v>
      </c>
      <c r="C82" s="906"/>
    </row>
    <row r="83" spans="1:3" ht="53.25" customHeight="1">
      <c r="A83" s="327"/>
      <c r="B83" s="905" t="s">
        <v>316</v>
      </c>
      <c r="C83" s="906"/>
    </row>
    <row r="84" spans="1:3">
      <c r="A84" s="327"/>
      <c r="B84" s="905" t="s">
        <v>304</v>
      </c>
      <c r="C84" s="906"/>
    </row>
    <row r="85" spans="1:3">
      <c r="A85" s="327"/>
      <c r="B85" s="905" t="s">
        <v>305</v>
      </c>
      <c r="C85" s="906"/>
    </row>
    <row r="86" spans="1:3">
      <c r="A86" s="327"/>
      <c r="B86" s="905" t="s">
        <v>306</v>
      </c>
      <c r="C86" s="906"/>
    </row>
    <row r="87" spans="1:3">
      <c r="A87" s="928" t="s">
        <v>307</v>
      </c>
      <c r="B87" s="929"/>
      <c r="C87" s="930"/>
    </row>
    <row r="88" spans="1:3">
      <c r="A88" s="327"/>
      <c r="B88" s="905" t="s">
        <v>239</v>
      </c>
      <c r="C88" s="906"/>
    </row>
    <row r="89" spans="1:3">
      <c r="A89" s="327"/>
      <c r="B89" s="905" t="s">
        <v>309</v>
      </c>
      <c r="C89" s="906"/>
    </row>
    <row r="90" spans="1:3" ht="12" customHeight="1">
      <c r="A90" s="327"/>
      <c r="B90" s="905" t="s">
        <v>310</v>
      </c>
      <c r="C90" s="906"/>
    </row>
    <row r="91" spans="1:3">
      <c r="A91" s="327"/>
      <c r="B91" s="905" t="s">
        <v>311</v>
      </c>
      <c r="C91" s="906"/>
    </row>
    <row r="92" spans="1:3" ht="24.75" customHeight="1">
      <c r="A92" s="327"/>
      <c r="B92" s="931" t="s">
        <v>347</v>
      </c>
      <c r="C92" s="932"/>
    </row>
    <row r="93" spans="1:3" ht="24" customHeight="1">
      <c r="A93" s="327"/>
      <c r="B93" s="931" t="s">
        <v>348</v>
      </c>
      <c r="C93" s="932"/>
    </row>
    <row r="94" spans="1:3" ht="13.5" customHeight="1">
      <c r="A94" s="327"/>
      <c r="B94" s="933" t="s">
        <v>312</v>
      </c>
      <c r="C94" s="934"/>
    </row>
    <row r="95" spans="1:3" ht="11.25" customHeight="1" thickBot="1">
      <c r="A95" s="935" t="s">
        <v>343</v>
      </c>
      <c r="B95" s="936"/>
      <c r="C95" s="937"/>
    </row>
    <row r="96" spans="1:3" ht="12.75" thickTop="1" thickBot="1">
      <c r="A96" s="944" t="s">
        <v>248</v>
      </c>
      <c r="B96" s="944"/>
      <c r="C96" s="944"/>
    </row>
    <row r="97" spans="1:3">
      <c r="A97" s="193">
        <v>2</v>
      </c>
      <c r="B97" s="312" t="s">
        <v>323</v>
      </c>
      <c r="C97" s="312" t="s">
        <v>344</v>
      </c>
    </row>
    <row r="98" spans="1:3">
      <c r="A98" s="124">
        <v>3</v>
      </c>
      <c r="B98" s="313" t="s">
        <v>324</v>
      </c>
      <c r="C98" s="314" t="s">
        <v>345</v>
      </c>
    </row>
    <row r="99" spans="1:3">
      <c r="A99" s="124">
        <v>4</v>
      </c>
      <c r="B99" s="313" t="s">
        <v>325</v>
      </c>
      <c r="C99" s="314" t="s">
        <v>349</v>
      </c>
    </row>
    <row r="100" spans="1:3" ht="11.25" customHeight="1">
      <c r="A100" s="124">
        <v>5</v>
      </c>
      <c r="B100" s="313" t="s">
        <v>326</v>
      </c>
      <c r="C100" s="314" t="s">
        <v>346</v>
      </c>
    </row>
    <row r="101" spans="1:3" ht="12" customHeight="1">
      <c r="A101" s="124">
        <v>6</v>
      </c>
      <c r="B101" s="313" t="s">
        <v>341</v>
      </c>
      <c r="C101" s="314" t="s">
        <v>327</v>
      </c>
    </row>
    <row r="102" spans="1:3" ht="12" customHeight="1">
      <c r="A102" s="124">
        <v>7</v>
      </c>
      <c r="B102" s="313" t="s">
        <v>328</v>
      </c>
      <c r="C102" s="314" t="s">
        <v>342</v>
      </c>
    </row>
    <row r="103" spans="1:3">
      <c r="A103" s="124">
        <v>8</v>
      </c>
      <c r="B103" s="313" t="s">
        <v>333</v>
      </c>
      <c r="C103" s="314" t="s">
        <v>353</v>
      </c>
    </row>
    <row r="104" spans="1:3" ht="11.25" customHeight="1">
      <c r="A104" s="928" t="s">
        <v>313</v>
      </c>
      <c r="B104" s="929"/>
      <c r="C104" s="930"/>
    </row>
    <row r="105" spans="1:3" ht="12" customHeight="1">
      <c r="A105" s="327"/>
      <c r="B105" s="905" t="s">
        <v>239</v>
      </c>
      <c r="C105" s="906"/>
    </row>
    <row r="106" spans="1:3">
      <c r="A106" s="928" t="s">
        <v>488</v>
      </c>
      <c r="B106" s="929"/>
      <c r="C106" s="930"/>
    </row>
    <row r="107" spans="1:3" ht="12" customHeight="1">
      <c r="A107" s="327"/>
      <c r="B107" s="905" t="s">
        <v>490</v>
      </c>
      <c r="C107" s="906"/>
    </row>
    <row r="108" spans="1:3">
      <c r="A108" s="327"/>
      <c r="B108" s="905" t="s">
        <v>491</v>
      </c>
      <c r="C108" s="906"/>
    </row>
    <row r="109" spans="1:3">
      <c r="A109" s="327"/>
      <c r="B109" s="905" t="s">
        <v>489</v>
      </c>
      <c r="C109" s="906"/>
    </row>
    <row r="110" spans="1:3">
      <c r="A110" s="938" t="s">
        <v>723</v>
      </c>
      <c r="B110" s="938"/>
      <c r="C110" s="938"/>
    </row>
    <row r="111" spans="1:3">
      <c r="A111" s="939" t="s">
        <v>186</v>
      </c>
      <c r="B111" s="939"/>
      <c r="C111" s="939"/>
    </row>
    <row r="112" spans="1:3">
      <c r="A112" s="463">
        <v>1</v>
      </c>
      <c r="B112" s="940" t="s">
        <v>606</v>
      </c>
      <c r="C112" s="941"/>
    </row>
    <row r="113" spans="1:3">
      <c r="A113" s="463">
        <v>2</v>
      </c>
      <c r="B113" s="942" t="s">
        <v>607</v>
      </c>
      <c r="C113" s="943"/>
    </row>
    <row r="114" spans="1:3">
      <c r="A114" s="463">
        <v>3</v>
      </c>
      <c r="B114" s="940" t="s">
        <v>933</v>
      </c>
      <c r="C114" s="941"/>
    </row>
    <row r="115" spans="1:3">
      <c r="A115" s="463">
        <v>4</v>
      </c>
      <c r="B115" s="940" t="s">
        <v>932</v>
      </c>
      <c r="C115" s="941"/>
    </row>
    <row r="116" spans="1:3">
      <c r="A116" s="463">
        <v>5</v>
      </c>
      <c r="B116" s="467" t="s">
        <v>931</v>
      </c>
      <c r="C116" s="466"/>
    </row>
    <row r="117" spans="1:3">
      <c r="A117" s="463">
        <v>6</v>
      </c>
      <c r="B117" s="940" t="s">
        <v>943</v>
      </c>
      <c r="C117" s="941"/>
    </row>
    <row r="118" spans="1:3" ht="48.6" customHeight="1">
      <c r="A118" s="463">
        <v>7</v>
      </c>
      <c r="B118" s="940" t="s">
        <v>944</v>
      </c>
      <c r="C118" s="941"/>
    </row>
    <row r="119" spans="1:3">
      <c r="A119" s="437">
        <v>8</v>
      </c>
      <c r="B119" s="434" t="s">
        <v>633</v>
      </c>
      <c r="C119" s="460" t="s">
        <v>930</v>
      </c>
    </row>
    <row r="120" spans="1:3" ht="22.5">
      <c r="A120" s="463">
        <v>9.01</v>
      </c>
      <c r="B120" s="434" t="s">
        <v>517</v>
      </c>
      <c r="C120" s="447" t="s">
        <v>682</v>
      </c>
    </row>
    <row r="121" spans="1:3" ht="33.75">
      <c r="A121" s="463">
        <v>9.02</v>
      </c>
      <c r="B121" s="434" t="s">
        <v>518</v>
      </c>
      <c r="C121" s="447" t="s">
        <v>685</v>
      </c>
    </row>
    <row r="122" spans="1:3">
      <c r="A122" s="463">
        <v>9.0299999999999994</v>
      </c>
      <c r="B122" s="450" t="s">
        <v>867</v>
      </c>
      <c r="C122" s="450" t="s">
        <v>608</v>
      </c>
    </row>
    <row r="123" spans="1:3">
      <c r="A123" s="463">
        <v>9.0399999999999991</v>
      </c>
      <c r="B123" s="434" t="s">
        <v>519</v>
      </c>
      <c r="C123" s="450" t="s">
        <v>609</v>
      </c>
    </row>
    <row r="124" spans="1:3">
      <c r="A124" s="463">
        <v>9.0500000000000007</v>
      </c>
      <c r="B124" s="434" t="s">
        <v>520</v>
      </c>
      <c r="C124" s="450" t="s">
        <v>610</v>
      </c>
    </row>
    <row r="125" spans="1:3" ht="22.5">
      <c r="A125" s="463">
        <v>9.06</v>
      </c>
      <c r="B125" s="434" t="s">
        <v>521</v>
      </c>
      <c r="C125" s="450" t="s">
        <v>611</v>
      </c>
    </row>
    <row r="126" spans="1:3">
      <c r="A126" s="463">
        <v>9.07</v>
      </c>
      <c r="B126" s="465" t="s">
        <v>522</v>
      </c>
      <c r="C126" s="450" t="s">
        <v>612</v>
      </c>
    </row>
    <row r="127" spans="1:3" ht="22.5">
      <c r="A127" s="463">
        <v>9.08</v>
      </c>
      <c r="B127" s="434" t="s">
        <v>523</v>
      </c>
      <c r="C127" s="450" t="s">
        <v>613</v>
      </c>
    </row>
    <row r="128" spans="1:3" ht="22.5">
      <c r="A128" s="463">
        <v>9.09</v>
      </c>
      <c r="B128" s="434" t="s">
        <v>524</v>
      </c>
      <c r="C128" s="450" t="s">
        <v>614</v>
      </c>
    </row>
    <row r="129" spans="1:3">
      <c r="A129" s="464">
        <v>9.1</v>
      </c>
      <c r="B129" s="434" t="s">
        <v>525</v>
      </c>
      <c r="C129" s="450" t="s">
        <v>615</v>
      </c>
    </row>
    <row r="130" spans="1:3">
      <c r="A130" s="463">
        <v>9.11</v>
      </c>
      <c r="B130" s="434" t="s">
        <v>526</v>
      </c>
      <c r="C130" s="450" t="s">
        <v>616</v>
      </c>
    </row>
    <row r="131" spans="1:3">
      <c r="A131" s="463">
        <v>9.1199999999999992</v>
      </c>
      <c r="B131" s="434" t="s">
        <v>527</v>
      </c>
      <c r="C131" s="450" t="s">
        <v>617</v>
      </c>
    </row>
    <row r="132" spans="1:3">
      <c r="A132" s="463">
        <v>9.1300000000000008</v>
      </c>
      <c r="B132" s="434" t="s">
        <v>528</v>
      </c>
      <c r="C132" s="450" t="s">
        <v>618</v>
      </c>
    </row>
    <row r="133" spans="1:3">
      <c r="A133" s="463">
        <v>9.14</v>
      </c>
      <c r="B133" s="434" t="s">
        <v>529</v>
      </c>
      <c r="C133" s="450" t="s">
        <v>619</v>
      </c>
    </row>
    <row r="134" spans="1:3">
      <c r="A134" s="463">
        <v>9.15</v>
      </c>
      <c r="B134" s="434" t="s">
        <v>530</v>
      </c>
      <c r="C134" s="450" t="s">
        <v>620</v>
      </c>
    </row>
    <row r="135" spans="1:3" ht="22.5">
      <c r="A135" s="463">
        <v>9.16</v>
      </c>
      <c r="B135" s="434" t="s">
        <v>531</v>
      </c>
      <c r="C135" s="450" t="s">
        <v>621</v>
      </c>
    </row>
    <row r="136" spans="1:3">
      <c r="A136" s="463">
        <v>9.17</v>
      </c>
      <c r="B136" s="450" t="s">
        <v>532</v>
      </c>
      <c r="C136" s="450" t="s">
        <v>622</v>
      </c>
    </row>
    <row r="137" spans="1:3" ht="22.5">
      <c r="A137" s="463">
        <v>9.18</v>
      </c>
      <c r="B137" s="434" t="s">
        <v>533</v>
      </c>
      <c r="C137" s="450" t="s">
        <v>623</v>
      </c>
    </row>
    <row r="138" spans="1:3">
      <c r="A138" s="463">
        <v>9.19</v>
      </c>
      <c r="B138" s="434" t="s">
        <v>534</v>
      </c>
      <c r="C138" s="450" t="s">
        <v>624</v>
      </c>
    </row>
    <row r="139" spans="1:3">
      <c r="A139" s="464">
        <v>9.1999999999999993</v>
      </c>
      <c r="B139" s="434" t="s">
        <v>535</v>
      </c>
      <c r="C139" s="450" t="s">
        <v>625</v>
      </c>
    </row>
    <row r="140" spans="1:3">
      <c r="A140" s="463">
        <v>9.2100000000000009</v>
      </c>
      <c r="B140" s="434" t="s">
        <v>536</v>
      </c>
      <c r="C140" s="450" t="s">
        <v>626</v>
      </c>
    </row>
    <row r="141" spans="1:3">
      <c r="A141" s="463">
        <v>9.2200000000000006</v>
      </c>
      <c r="B141" s="434" t="s">
        <v>537</v>
      </c>
      <c r="C141" s="450" t="s">
        <v>627</v>
      </c>
    </row>
    <row r="142" spans="1:3" ht="22.5">
      <c r="A142" s="463">
        <v>9.23</v>
      </c>
      <c r="B142" s="434" t="s">
        <v>538</v>
      </c>
      <c r="C142" s="450" t="s">
        <v>628</v>
      </c>
    </row>
    <row r="143" spans="1:3" ht="22.5">
      <c r="A143" s="463">
        <v>9.24</v>
      </c>
      <c r="B143" s="434" t="s">
        <v>539</v>
      </c>
      <c r="C143" s="450" t="s">
        <v>629</v>
      </c>
    </row>
    <row r="144" spans="1:3">
      <c r="A144" s="463">
        <v>9.2500000000000107</v>
      </c>
      <c r="B144" s="434" t="s">
        <v>540</v>
      </c>
      <c r="C144" s="450" t="s">
        <v>630</v>
      </c>
    </row>
    <row r="145" spans="1:3" ht="22.5">
      <c r="A145" s="463">
        <v>9.2600000000000193</v>
      </c>
      <c r="B145" s="434" t="s">
        <v>631</v>
      </c>
      <c r="C145" s="462" t="s">
        <v>632</v>
      </c>
    </row>
    <row r="146" spans="1:3" s="328" customFormat="1" ht="22.5">
      <c r="A146" s="463">
        <v>9.2700000000000298</v>
      </c>
      <c r="B146" s="434" t="s">
        <v>99</v>
      </c>
      <c r="C146" s="462" t="s">
        <v>683</v>
      </c>
    </row>
    <row r="147" spans="1:3" s="328" customFormat="1">
      <c r="A147" s="438"/>
      <c r="B147" s="946" t="s">
        <v>634</v>
      </c>
      <c r="C147" s="947"/>
    </row>
    <row r="148" spans="1:3" s="328" customFormat="1">
      <c r="A148" s="437">
        <v>1</v>
      </c>
      <c r="B148" s="948" t="s">
        <v>929</v>
      </c>
      <c r="C148" s="949"/>
    </row>
    <row r="149" spans="1:3" s="328" customFormat="1">
      <c r="A149" s="437">
        <v>2</v>
      </c>
      <c r="B149" s="948" t="s">
        <v>684</v>
      </c>
      <c r="C149" s="949"/>
    </row>
    <row r="150" spans="1:3" s="328" customFormat="1">
      <c r="A150" s="437">
        <v>3</v>
      </c>
      <c r="B150" s="948" t="s">
        <v>681</v>
      </c>
      <c r="C150" s="949"/>
    </row>
    <row r="151" spans="1:3" s="328" customFormat="1">
      <c r="A151" s="438"/>
      <c r="B151" s="946" t="s">
        <v>635</v>
      </c>
      <c r="C151" s="947"/>
    </row>
    <row r="152" spans="1:3" s="328" customFormat="1">
      <c r="A152" s="437">
        <v>1</v>
      </c>
      <c r="B152" s="957" t="s">
        <v>928</v>
      </c>
      <c r="C152" s="958"/>
    </row>
    <row r="153" spans="1:3" s="328" customFormat="1">
      <c r="A153" s="437">
        <v>2</v>
      </c>
      <c r="B153" s="434" t="s">
        <v>865</v>
      </c>
      <c r="C153" s="460" t="s">
        <v>948</v>
      </c>
    </row>
    <row r="154" spans="1:3" ht="22.5">
      <c r="A154" s="437">
        <v>3</v>
      </c>
      <c r="B154" s="434" t="s">
        <v>864</v>
      </c>
      <c r="C154" s="460" t="s">
        <v>927</v>
      </c>
    </row>
    <row r="155" spans="1:3">
      <c r="A155" s="437">
        <v>4</v>
      </c>
      <c r="B155" s="434" t="s">
        <v>510</v>
      </c>
      <c r="C155" s="434" t="s">
        <v>949</v>
      </c>
    </row>
    <row r="156" spans="1:3" ht="24.95" customHeight="1">
      <c r="A156" s="438"/>
      <c r="B156" s="946" t="s">
        <v>636</v>
      </c>
      <c r="C156" s="947"/>
    </row>
    <row r="157" spans="1:3" ht="33.75">
      <c r="A157" s="437"/>
      <c r="B157" s="434" t="s">
        <v>916</v>
      </c>
      <c r="C157" s="439" t="s">
        <v>950</v>
      </c>
    </row>
    <row r="158" spans="1:3">
      <c r="A158" s="438"/>
      <c r="B158" s="946" t="s">
        <v>637</v>
      </c>
      <c r="C158" s="947"/>
    </row>
    <row r="159" spans="1:3" ht="39" customHeight="1">
      <c r="A159" s="438"/>
      <c r="B159" s="955" t="s">
        <v>926</v>
      </c>
      <c r="C159" s="956"/>
    </row>
    <row r="160" spans="1:3">
      <c r="A160" s="438" t="s">
        <v>638</v>
      </c>
      <c r="B160" s="461" t="s">
        <v>548</v>
      </c>
      <c r="C160" s="452" t="s">
        <v>639</v>
      </c>
    </row>
    <row r="161" spans="1:3">
      <c r="A161" s="438" t="s">
        <v>368</v>
      </c>
      <c r="B161" s="458" t="s">
        <v>549</v>
      </c>
      <c r="C161" s="460" t="s">
        <v>925</v>
      </c>
    </row>
    <row r="162" spans="1:3" ht="22.5">
      <c r="A162" s="438" t="s">
        <v>375</v>
      </c>
      <c r="B162" s="452" t="s">
        <v>550</v>
      </c>
      <c r="C162" s="460" t="s">
        <v>640</v>
      </c>
    </row>
    <row r="163" spans="1:3">
      <c r="A163" s="438" t="s">
        <v>641</v>
      </c>
      <c r="B163" s="458" t="s">
        <v>551</v>
      </c>
      <c r="C163" s="459" t="s">
        <v>642</v>
      </c>
    </row>
    <row r="164" spans="1:3" ht="22.5">
      <c r="A164" s="438" t="s">
        <v>643</v>
      </c>
      <c r="B164" s="458" t="s">
        <v>880</v>
      </c>
      <c r="C164" s="457" t="s">
        <v>924</v>
      </c>
    </row>
    <row r="165" spans="1:3" ht="22.5">
      <c r="A165" s="438" t="s">
        <v>376</v>
      </c>
      <c r="B165" s="458" t="s">
        <v>552</v>
      </c>
      <c r="C165" s="457" t="s">
        <v>645</v>
      </c>
    </row>
    <row r="166" spans="1:3" ht="22.5">
      <c r="A166" s="438" t="s">
        <v>644</v>
      </c>
      <c r="B166" s="455" t="s">
        <v>555</v>
      </c>
      <c r="C166" s="456" t="s">
        <v>652</v>
      </c>
    </row>
    <row r="167" spans="1:3" ht="22.5">
      <c r="A167" s="438" t="s">
        <v>646</v>
      </c>
      <c r="B167" s="455" t="s">
        <v>553</v>
      </c>
      <c r="C167" s="457" t="s">
        <v>648</v>
      </c>
    </row>
    <row r="168" spans="1:3" ht="26.45" customHeight="1">
      <c r="A168" s="438" t="s">
        <v>647</v>
      </c>
      <c r="B168" s="455" t="s">
        <v>554</v>
      </c>
      <c r="C168" s="456" t="s">
        <v>650</v>
      </c>
    </row>
    <row r="169" spans="1:3" ht="22.5">
      <c r="A169" s="438" t="s">
        <v>649</v>
      </c>
      <c r="B169" s="432" t="s">
        <v>556</v>
      </c>
      <c r="C169" s="456" t="s">
        <v>654</v>
      </c>
    </row>
    <row r="170" spans="1:3" ht="22.5">
      <c r="A170" s="438" t="s">
        <v>651</v>
      </c>
      <c r="B170" s="455" t="s">
        <v>557</v>
      </c>
      <c r="C170" s="454" t="s">
        <v>655</v>
      </c>
    </row>
    <row r="171" spans="1:3">
      <c r="A171" s="438" t="s">
        <v>653</v>
      </c>
      <c r="B171" s="453" t="s">
        <v>558</v>
      </c>
      <c r="C171" s="452" t="s">
        <v>656</v>
      </c>
    </row>
    <row r="172" spans="1:3" ht="22.5">
      <c r="A172" s="438"/>
      <c r="B172" s="451" t="s">
        <v>923</v>
      </c>
      <c r="C172" s="450" t="s">
        <v>657</v>
      </c>
    </row>
    <row r="173" spans="1:3" ht="22.5">
      <c r="A173" s="438"/>
      <c r="B173" s="451" t="s">
        <v>922</v>
      </c>
      <c r="C173" s="450" t="s">
        <v>658</v>
      </c>
    </row>
    <row r="174" spans="1:3" ht="22.5">
      <c r="A174" s="438"/>
      <c r="B174" s="451" t="s">
        <v>921</v>
      </c>
      <c r="C174" s="450" t="s">
        <v>659</v>
      </c>
    </row>
    <row r="175" spans="1:3">
      <c r="A175" s="438"/>
      <c r="B175" s="946" t="s">
        <v>660</v>
      </c>
      <c r="C175" s="947"/>
    </row>
    <row r="176" spans="1:3">
      <c r="A176" s="438"/>
      <c r="B176" s="948" t="s">
        <v>920</v>
      </c>
      <c r="C176" s="949"/>
    </row>
    <row r="177" spans="1:3">
      <c r="A177" s="437">
        <v>1</v>
      </c>
      <c r="B177" s="450" t="s">
        <v>562</v>
      </c>
      <c r="C177" s="450" t="s">
        <v>562</v>
      </c>
    </row>
    <row r="178" spans="1:3" ht="33.75">
      <c r="A178" s="437">
        <v>2</v>
      </c>
      <c r="B178" s="450" t="s">
        <v>661</v>
      </c>
      <c r="C178" s="450" t="s">
        <v>662</v>
      </c>
    </row>
    <row r="179" spans="1:3">
      <c r="A179" s="437">
        <v>3</v>
      </c>
      <c r="B179" s="450" t="s">
        <v>564</v>
      </c>
      <c r="C179" s="450" t="s">
        <v>663</v>
      </c>
    </row>
    <row r="180" spans="1:3" ht="22.5">
      <c r="A180" s="437">
        <v>4</v>
      </c>
      <c r="B180" s="450" t="s">
        <v>565</v>
      </c>
      <c r="C180" s="450" t="s">
        <v>664</v>
      </c>
    </row>
    <row r="181" spans="1:3" ht="22.5">
      <c r="A181" s="437">
        <v>5</v>
      </c>
      <c r="B181" s="450" t="s">
        <v>566</v>
      </c>
      <c r="C181" s="450" t="s">
        <v>686</v>
      </c>
    </row>
    <row r="182" spans="1:3" ht="45">
      <c r="A182" s="437">
        <v>6</v>
      </c>
      <c r="B182" s="450" t="s">
        <v>567</v>
      </c>
      <c r="C182" s="450" t="s">
        <v>665</v>
      </c>
    </row>
    <row r="183" spans="1:3">
      <c r="A183" s="438"/>
      <c r="B183" s="946" t="s">
        <v>666</v>
      </c>
      <c r="C183" s="947"/>
    </row>
    <row r="184" spans="1:3">
      <c r="A184" s="438"/>
      <c r="B184" s="950" t="s">
        <v>919</v>
      </c>
      <c r="C184" s="951"/>
    </row>
    <row r="185" spans="1:3" ht="22.5">
      <c r="A185" s="438">
        <v>1.1000000000000001</v>
      </c>
      <c r="B185" s="449" t="s">
        <v>572</v>
      </c>
      <c r="C185" s="447" t="s">
        <v>667</v>
      </c>
    </row>
    <row r="186" spans="1:3" ht="50.1" customHeight="1">
      <c r="A186" s="438" t="s">
        <v>157</v>
      </c>
      <c r="B186" s="433" t="s">
        <v>573</v>
      </c>
      <c r="C186" s="447" t="s">
        <v>668</v>
      </c>
    </row>
    <row r="187" spans="1:3">
      <c r="A187" s="438" t="s">
        <v>574</v>
      </c>
      <c r="B187" s="448" t="s">
        <v>575</v>
      </c>
      <c r="C187" s="952" t="s">
        <v>918</v>
      </c>
    </row>
    <row r="188" spans="1:3">
      <c r="A188" s="438" t="s">
        <v>576</v>
      </c>
      <c r="B188" s="448" t="s">
        <v>577</v>
      </c>
      <c r="C188" s="952"/>
    </row>
    <row r="189" spans="1:3">
      <c r="A189" s="438" t="s">
        <v>578</v>
      </c>
      <c r="B189" s="448" t="s">
        <v>579</v>
      </c>
      <c r="C189" s="952"/>
    </row>
    <row r="190" spans="1:3">
      <c r="A190" s="438" t="s">
        <v>580</v>
      </c>
      <c r="B190" s="448" t="s">
        <v>581</v>
      </c>
      <c r="C190" s="952"/>
    </row>
    <row r="191" spans="1:3" ht="25.5" customHeight="1">
      <c r="A191" s="438">
        <v>1.2</v>
      </c>
      <c r="B191" s="446" t="s">
        <v>894</v>
      </c>
      <c r="C191" s="431" t="s">
        <v>951</v>
      </c>
    </row>
    <row r="192" spans="1:3" ht="22.5">
      <c r="A192" s="438" t="s">
        <v>583</v>
      </c>
      <c r="B192" s="441" t="s">
        <v>584</v>
      </c>
      <c r="C192" s="444" t="s">
        <v>669</v>
      </c>
    </row>
    <row r="193" spans="1:4" ht="22.5">
      <c r="A193" s="438" t="s">
        <v>585</v>
      </c>
      <c r="B193" s="445" t="s">
        <v>586</v>
      </c>
      <c r="C193" s="444" t="s">
        <v>670</v>
      </c>
    </row>
    <row r="194" spans="1:4" ht="26.1" customHeight="1">
      <c r="A194" s="438" t="s">
        <v>587</v>
      </c>
      <c r="B194" s="443" t="s">
        <v>588</v>
      </c>
      <c r="C194" s="431" t="s">
        <v>671</v>
      </c>
    </row>
    <row r="195" spans="1:4" ht="22.5">
      <c r="A195" s="438" t="s">
        <v>589</v>
      </c>
      <c r="B195" s="442" t="s">
        <v>590</v>
      </c>
      <c r="C195" s="431" t="s">
        <v>672</v>
      </c>
      <c r="D195" s="329"/>
    </row>
    <row r="196" spans="1:4" ht="22.5">
      <c r="A196" s="438">
        <v>1.4</v>
      </c>
      <c r="B196" s="441" t="s">
        <v>679</v>
      </c>
      <c r="C196" s="440" t="s">
        <v>673</v>
      </c>
      <c r="D196" s="330"/>
    </row>
    <row r="197" spans="1:4" ht="12.75">
      <c r="A197" s="438">
        <v>1.5</v>
      </c>
      <c r="B197" s="441" t="s">
        <v>680</v>
      </c>
      <c r="C197" s="440" t="s">
        <v>673</v>
      </c>
      <c r="D197" s="331"/>
    </row>
    <row r="198" spans="1:4" ht="12.75">
      <c r="A198" s="438"/>
      <c r="B198" s="938" t="s">
        <v>674</v>
      </c>
      <c r="C198" s="938"/>
      <c r="D198" s="331"/>
    </row>
    <row r="199" spans="1:4" ht="12.75">
      <c r="A199" s="438"/>
      <c r="B199" s="950" t="s">
        <v>917</v>
      </c>
      <c r="C199" s="950"/>
      <c r="D199" s="331"/>
    </row>
    <row r="200" spans="1:4" ht="12.75">
      <c r="A200" s="437"/>
      <c r="B200" s="434" t="s">
        <v>916</v>
      </c>
      <c r="C200" s="439" t="s">
        <v>948</v>
      </c>
      <c r="D200" s="331"/>
    </row>
    <row r="201" spans="1:4" ht="12.75">
      <c r="A201" s="438"/>
      <c r="B201" s="938" t="s">
        <v>675</v>
      </c>
      <c r="C201" s="938"/>
      <c r="D201" s="332"/>
    </row>
    <row r="202" spans="1:4" ht="12.75">
      <c r="A202" s="437"/>
      <c r="B202" s="953" t="s">
        <v>915</v>
      </c>
      <c r="C202" s="953"/>
      <c r="D202" s="333"/>
    </row>
    <row r="203" spans="1:4" ht="12.75">
      <c r="B203" s="938" t="s">
        <v>713</v>
      </c>
      <c r="C203" s="938"/>
      <c r="D203" s="334"/>
    </row>
    <row r="204" spans="1:4" ht="22.5">
      <c r="A204" s="433">
        <v>1</v>
      </c>
      <c r="B204" s="434" t="s">
        <v>689</v>
      </c>
      <c r="C204" s="431" t="s">
        <v>701</v>
      </c>
      <c r="D204" s="333"/>
    </row>
    <row r="205" spans="1:4" ht="18" customHeight="1">
      <c r="A205" s="433">
        <v>2</v>
      </c>
      <c r="B205" s="434" t="s">
        <v>690</v>
      </c>
      <c r="C205" s="431" t="s">
        <v>702</v>
      </c>
      <c r="D205" s="334"/>
    </row>
    <row r="206" spans="1:4" ht="22.5">
      <c r="A206" s="433">
        <v>3</v>
      </c>
      <c r="B206" s="434" t="s">
        <v>691</v>
      </c>
      <c r="C206" s="434" t="s">
        <v>703</v>
      </c>
      <c r="D206" s="335"/>
    </row>
    <row r="207" spans="1:4" ht="12.75">
      <c r="A207" s="433">
        <v>4</v>
      </c>
      <c r="B207" s="434" t="s">
        <v>692</v>
      </c>
      <c r="C207" s="434" t="s">
        <v>704</v>
      </c>
      <c r="D207" s="335"/>
    </row>
    <row r="208" spans="1:4" ht="22.5">
      <c r="A208" s="433">
        <v>5</v>
      </c>
      <c r="B208" s="434" t="s">
        <v>693</v>
      </c>
      <c r="C208" s="434" t="s">
        <v>705</v>
      </c>
    </row>
    <row r="209" spans="1:3" ht="24.6" customHeight="1">
      <c r="A209" s="433">
        <v>6</v>
      </c>
      <c r="B209" s="434" t="s">
        <v>694</v>
      </c>
      <c r="C209" s="434" t="s">
        <v>706</v>
      </c>
    </row>
    <row r="210" spans="1:3" ht="22.5">
      <c r="A210" s="433">
        <v>7</v>
      </c>
      <c r="B210" s="434" t="s">
        <v>695</v>
      </c>
      <c r="C210" s="434" t="s">
        <v>707</v>
      </c>
    </row>
    <row r="211" spans="1:3">
      <c r="A211" s="433">
        <v>7.1</v>
      </c>
      <c r="B211" s="436" t="s">
        <v>696</v>
      </c>
      <c r="C211" s="434" t="s">
        <v>708</v>
      </c>
    </row>
    <row r="212" spans="1:3" ht="22.5">
      <c r="A212" s="433">
        <v>7.2</v>
      </c>
      <c r="B212" s="436" t="s">
        <v>697</v>
      </c>
      <c r="C212" s="434" t="s">
        <v>709</v>
      </c>
    </row>
    <row r="213" spans="1:3">
      <c r="A213" s="433">
        <v>7.3</v>
      </c>
      <c r="B213" s="435" t="s">
        <v>698</v>
      </c>
      <c r="C213" s="434" t="s">
        <v>710</v>
      </c>
    </row>
    <row r="214" spans="1:3" ht="39.6" customHeight="1">
      <c r="A214" s="433">
        <v>8</v>
      </c>
      <c r="B214" s="434" t="s">
        <v>699</v>
      </c>
      <c r="C214" s="431" t="s">
        <v>711</v>
      </c>
    </row>
    <row r="215" spans="1:3">
      <c r="A215" s="433">
        <v>9</v>
      </c>
      <c r="B215" s="434" t="s">
        <v>700</v>
      </c>
      <c r="C215" s="431" t="s">
        <v>712</v>
      </c>
    </row>
    <row r="216" spans="1:3" ht="22.5">
      <c r="A216" s="476">
        <v>10.1</v>
      </c>
      <c r="B216" s="477" t="s">
        <v>720</v>
      </c>
      <c r="C216" s="468" t="s">
        <v>721</v>
      </c>
    </row>
    <row r="217" spans="1:3">
      <c r="A217" s="954"/>
      <c r="B217" s="478" t="s">
        <v>907</v>
      </c>
      <c r="C217" s="431" t="s">
        <v>914</v>
      </c>
    </row>
    <row r="218" spans="1:3">
      <c r="A218" s="954"/>
      <c r="B218" s="432" t="s">
        <v>571</v>
      </c>
      <c r="C218" s="431" t="s">
        <v>913</v>
      </c>
    </row>
    <row r="219" spans="1:3">
      <c r="A219" s="954"/>
      <c r="B219" s="432" t="s">
        <v>906</v>
      </c>
      <c r="C219" s="431" t="s">
        <v>952</v>
      </c>
    </row>
    <row r="220" spans="1:3">
      <c r="A220" s="954"/>
      <c r="B220" s="432" t="s">
        <v>714</v>
      </c>
      <c r="C220" s="431" t="s">
        <v>912</v>
      </c>
    </row>
    <row r="221" spans="1:3" ht="22.5">
      <c r="A221" s="954"/>
      <c r="B221" s="432" t="s">
        <v>718</v>
      </c>
      <c r="C221" s="447" t="s">
        <v>911</v>
      </c>
    </row>
    <row r="222" spans="1:3" ht="33.75">
      <c r="A222" s="954"/>
      <c r="B222" s="432" t="s">
        <v>717</v>
      </c>
      <c r="C222" s="431" t="s">
        <v>910</v>
      </c>
    </row>
    <row r="223" spans="1:3">
      <c r="A223" s="954"/>
      <c r="B223" s="432" t="s">
        <v>953</v>
      </c>
      <c r="C223" s="431" t="s">
        <v>909</v>
      </c>
    </row>
    <row r="224" spans="1:3" ht="22.5">
      <c r="A224" s="954"/>
      <c r="B224" s="432" t="s">
        <v>954</v>
      </c>
      <c r="C224" s="431" t="s">
        <v>908</v>
      </c>
    </row>
    <row r="225" spans="1:3" ht="12.75">
      <c r="A225" s="469"/>
      <c r="B225" s="470"/>
      <c r="C225" s="471"/>
    </row>
    <row r="226" spans="1:3" ht="12.75">
      <c r="A226" s="469"/>
      <c r="B226" s="471"/>
      <c r="C226" s="472"/>
    </row>
    <row r="227" spans="1:3" ht="12.75">
      <c r="A227" s="469"/>
      <c r="B227" s="471"/>
      <c r="C227" s="472"/>
    </row>
    <row r="228" spans="1:3" ht="12.75">
      <c r="A228" s="469"/>
      <c r="B228" s="473"/>
      <c r="C228" s="472"/>
    </row>
    <row r="229" spans="1:3" ht="12.75">
      <c r="A229" s="945"/>
      <c r="B229" s="474"/>
      <c r="C229" s="472"/>
    </row>
    <row r="230" spans="1:3" ht="12.75">
      <c r="A230" s="945"/>
      <c r="B230" s="474"/>
      <c r="C230" s="472"/>
    </row>
    <row r="231" spans="1:3" ht="12.75">
      <c r="A231" s="945"/>
      <c r="B231" s="474"/>
      <c r="C231" s="472"/>
    </row>
    <row r="232" spans="1:3" ht="12.75">
      <c r="A232" s="945"/>
      <c r="B232" s="474"/>
      <c r="C232" s="475"/>
    </row>
    <row r="233" spans="1:3" ht="40.5" customHeight="1">
      <c r="A233" s="945"/>
      <c r="B233" s="474"/>
      <c r="C233" s="472"/>
    </row>
    <row r="234" spans="1:3" ht="24" customHeight="1">
      <c r="A234" s="945"/>
      <c r="B234" s="474"/>
      <c r="C234" s="472"/>
    </row>
    <row r="235" spans="1:3" ht="12.75">
      <c r="A235" s="945"/>
      <c r="B235" s="474"/>
      <c r="C235" s="472"/>
    </row>
  </sheetData>
  <mergeCells count="131">
    <mergeCell ref="B156:C156"/>
    <mergeCell ref="B158:C158"/>
    <mergeCell ref="B159:C159"/>
    <mergeCell ref="B115:C115"/>
    <mergeCell ref="B117:C117"/>
    <mergeCell ref="B118:C118"/>
    <mergeCell ref="B147:C147"/>
    <mergeCell ref="B148:C148"/>
    <mergeCell ref="B149:C149"/>
    <mergeCell ref="B150:C150"/>
    <mergeCell ref="B151:C151"/>
    <mergeCell ref="B152:C152"/>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09:C109"/>
    <mergeCell ref="A110:C110"/>
    <mergeCell ref="A111:C111"/>
    <mergeCell ref="B112:C112"/>
    <mergeCell ref="B113:C113"/>
    <mergeCell ref="B114:C114"/>
    <mergeCell ref="A96:C96"/>
    <mergeCell ref="A104:C104"/>
    <mergeCell ref="B105:C105"/>
    <mergeCell ref="A106:C106"/>
    <mergeCell ref="B107:C107"/>
    <mergeCell ref="B108:C108"/>
    <mergeCell ref="B90:C90"/>
    <mergeCell ref="B91:C91"/>
    <mergeCell ref="B92:C92"/>
    <mergeCell ref="B93:C93"/>
    <mergeCell ref="B94:C94"/>
    <mergeCell ref="A95:C95"/>
    <mergeCell ref="B84:C84"/>
    <mergeCell ref="B85:C85"/>
    <mergeCell ref="B86:C86"/>
    <mergeCell ref="A87:C87"/>
    <mergeCell ref="B88:C88"/>
    <mergeCell ref="B89:C89"/>
    <mergeCell ref="B78:C78"/>
    <mergeCell ref="A79:C79"/>
    <mergeCell ref="B80:C80"/>
    <mergeCell ref="B81:C81"/>
    <mergeCell ref="B82:C82"/>
    <mergeCell ref="B83:C83"/>
    <mergeCell ref="B72:C72"/>
    <mergeCell ref="B73:C73"/>
    <mergeCell ref="B74:C74"/>
    <mergeCell ref="A75:C75"/>
    <mergeCell ref="B76:C76"/>
    <mergeCell ref="B77:C77"/>
    <mergeCell ref="A66:C66"/>
    <mergeCell ref="B67:C67"/>
    <mergeCell ref="B68:C68"/>
    <mergeCell ref="B69:C69"/>
    <mergeCell ref="B70:C70"/>
    <mergeCell ref="B71:C71"/>
    <mergeCell ref="B60:C60"/>
    <mergeCell ref="B61:C61"/>
    <mergeCell ref="B62:C62"/>
    <mergeCell ref="B63:C63"/>
    <mergeCell ref="A64:C64"/>
    <mergeCell ref="B65:C65"/>
    <mergeCell ref="A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A45:C45"/>
    <mergeCell ref="B46:C46"/>
    <mergeCell ref="A47:C47"/>
    <mergeCell ref="B37:C37"/>
    <mergeCell ref="B38:C38"/>
    <mergeCell ref="B40:C40"/>
    <mergeCell ref="A41:C41"/>
    <mergeCell ref="B35:C35"/>
    <mergeCell ref="B33:C33"/>
    <mergeCell ref="B36:C36"/>
    <mergeCell ref="B39:C39"/>
    <mergeCell ref="B25:C25"/>
    <mergeCell ref="A26:C26"/>
    <mergeCell ref="B27:C27"/>
    <mergeCell ref="A28:C28"/>
    <mergeCell ref="B29:C29"/>
    <mergeCell ref="B30:C30"/>
    <mergeCell ref="B22:C22"/>
    <mergeCell ref="B23:C23"/>
    <mergeCell ref="B24:C24"/>
    <mergeCell ref="B16:C16"/>
    <mergeCell ref="B17:C17"/>
    <mergeCell ref="B18:C18"/>
    <mergeCell ref="B31:C31"/>
    <mergeCell ref="B32:C32"/>
    <mergeCell ref="B34:C34"/>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s>
  <conditionalFormatting sqref="B225">
    <cfRule type="duplicateValues" dxfId="7" priority="5"/>
    <cfRule type="duplicateValues" dxfId="6" priority="6"/>
  </conditionalFormatting>
  <conditionalFormatting sqref="B225">
    <cfRule type="duplicateValues" dxfId="5" priority="7"/>
  </conditionalFormatting>
  <conditionalFormatting sqref="B225">
    <cfRule type="duplicateValues" dxfId="4" priority="8"/>
  </conditionalFormatting>
  <conditionalFormatting sqref="B213">
    <cfRule type="duplicateValues" dxfId="3" priority="1"/>
    <cfRule type="duplicateValues" dxfId="2" priority="2"/>
  </conditionalFormatting>
  <conditionalFormatting sqref="B213">
    <cfRule type="duplicateValues" dxfId="1" priority="3"/>
  </conditionalFormatting>
  <conditionalFormatting sqref="B213">
    <cfRule type="duplicateValues" dxfId="0" priority="4"/>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45"/>
  <sheetViews>
    <sheetView zoomScaleNormal="100" zoomScaleSheetLayoutView="85" workbookViewId="0"/>
  </sheetViews>
  <sheetFormatPr defaultRowHeight="15"/>
  <cols>
    <col min="2" max="2" width="93.85546875" customWidth="1"/>
    <col min="3" max="4" width="17.85546875" style="484" customWidth="1"/>
    <col min="5" max="5" width="17.85546875" style="507" customWidth="1"/>
    <col min="6" max="7" width="17.85546875" style="484" customWidth="1"/>
    <col min="8" max="8" width="17.85546875" style="507" customWidth="1"/>
  </cols>
  <sheetData>
    <row r="1" spans="1:8" ht="15.75">
      <c r="A1" s="13" t="s">
        <v>108</v>
      </c>
      <c r="B1" s="262" t="str">
        <f>Info!C2</f>
        <v>სს ”საქართველოს ბანკი”</v>
      </c>
      <c r="C1" s="721"/>
      <c r="D1" s="721"/>
      <c r="E1" s="491"/>
      <c r="F1" s="692"/>
      <c r="G1" s="482"/>
      <c r="H1" s="491"/>
    </row>
    <row r="2" spans="1:8" ht="15.75">
      <c r="A2" s="13" t="s">
        <v>109</v>
      </c>
      <c r="B2" s="275">
        <f>'1. key ratios'!B2</f>
        <v>45199</v>
      </c>
      <c r="C2" s="693"/>
      <c r="D2" s="483"/>
      <c r="E2" s="542"/>
      <c r="F2" s="693"/>
      <c r="G2" s="483"/>
      <c r="H2" s="542"/>
    </row>
    <row r="3" spans="1:8" ht="16.5" thickBot="1">
      <c r="A3" s="13"/>
      <c r="B3" s="12"/>
      <c r="C3" s="693"/>
      <c r="D3" s="483"/>
      <c r="E3" s="542"/>
      <c r="F3" s="693"/>
      <c r="G3" s="483"/>
      <c r="H3" s="542"/>
    </row>
    <row r="4" spans="1:8">
      <c r="A4" s="780" t="s">
        <v>25</v>
      </c>
      <c r="B4" s="786" t="s">
        <v>166</v>
      </c>
      <c r="C4" s="788" t="s">
        <v>114</v>
      </c>
      <c r="D4" s="788"/>
      <c r="E4" s="788"/>
      <c r="F4" s="788" t="s">
        <v>115</v>
      </c>
      <c r="G4" s="788"/>
      <c r="H4" s="789"/>
    </row>
    <row r="5" spans="1:8">
      <c r="A5" s="781"/>
      <c r="B5" s="787"/>
      <c r="C5" s="544" t="s">
        <v>26</v>
      </c>
      <c r="D5" s="544" t="s">
        <v>88</v>
      </c>
      <c r="E5" s="757" t="s">
        <v>66</v>
      </c>
      <c r="F5" s="544" t="s">
        <v>26</v>
      </c>
      <c r="G5" s="544" t="s">
        <v>88</v>
      </c>
      <c r="H5" s="765" t="s">
        <v>66</v>
      </c>
    </row>
    <row r="6" spans="1:8">
      <c r="A6" s="722">
        <v>1</v>
      </c>
      <c r="B6" s="758" t="s">
        <v>775</v>
      </c>
      <c r="C6" s="694">
        <f>SUM(C7:C12)</f>
        <v>1354754705.6885636</v>
      </c>
      <c r="D6" s="694">
        <f>SUM(D7:D12)</f>
        <v>589711592.49130011</v>
      </c>
      <c r="E6" s="759">
        <f>C6+D6</f>
        <v>1944466298.1798637</v>
      </c>
      <c r="F6" s="694">
        <f>SUM(F7:F12)</f>
        <v>1192641757.6241</v>
      </c>
      <c r="G6" s="694">
        <f>SUM(G7:G12)</f>
        <v>400013616.53739983</v>
      </c>
      <c r="H6" s="766">
        <f>F6+G6</f>
        <v>1592655374.1614997</v>
      </c>
    </row>
    <row r="7" spans="1:8">
      <c r="A7" s="722">
        <v>1.1000000000000001</v>
      </c>
      <c r="B7" s="564" t="s">
        <v>729</v>
      </c>
      <c r="C7" s="694"/>
      <c r="D7" s="694"/>
      <c r="E7" s="759">
        <f t="shared" ref="E7:E45" si="0">C7+D7</f>
        <v>0</v>
      </c>
      <c r="F7" s="694"/>
      <c r="G7" s="694"/>
      <c r="H7" s="766">
        <f t="shared" ref="H7:H45" si="1">F7+G7</f>
        <v>0</v>
      </c>
    </row>
    <row r="8" spans="1:8" ht="21">
      <c r="A8" s="722">
        <v>1.2</v>
      </c>
      <c r="B8" s="564" t="s">
        <v>776</v>
      </c>
      <c r="C8" s="694"/>
      <c r="D8" s="694"/>
      <c r="E8" s="759">
        <f t="shared" si="0"/>
        <v>0</v>
      </c>
      <c r="F8" s="694"/>
      <c r="G8" s="694"/>
      <c r="H8" s="766">
        <f t="shared" si="1"/>
        <v>0</v>
      </c>
    </row>
    <row r="9" spans="1:8" ht="21">
      <c r="A9" s="722">
        <v>1.3</v>
      </c>
      <c r="B9" s="564" t="s">
        <v>777</v>
      </c>
      <c r="C9" s="694"/>
      <c r="D9" s="694"/>
      <c r="E9" s="759">
        <f t="shared" si="0"/>
        <v>0</v>
      </c>
      <c r="F9" s="694"/>
      <c r="G9" s="694"/>
      <c r="H9" s="766">
        <f t="shared" si="1"/>
        <v>0</v>
      </c>
    </row>
    <row r="10" spans="1:8">
      <c r="A10" s="722">
        <v>1.4</v>
      </c>
      <c r="B10" s="564" t="s">
        <v>733</v>
      </c>
      <c r="C10" s="694">
        <v>161928865.78999999</v>
      </c>
      <c r="D10" s="694">
        <v>67743691.699999988</v>
      </c>
      <c r="E10" s="759">
        <f t="shared" si="0"/>
        <v>229672557.48999998</v>
      </c>
      <c r="F10" s="694">
        <v>205684892.12</v>
      </c>
      <c r="G10" s="694">
        <v>6453136.5500000119</v>
      </c>
      <c r="H10" s="766">
        <f t="shared" si="1"/>
        <v>212138028.67000002</v>
      </c>
    </row>
    <row r="11" spans="1:8">
      <c r="A11" s="722">
        <v>1.5</v>
      </c>
      <c r="B11" s="564" t="s">
        <v>736</v>
      </c>
      <c r="C11" s="694">
        <v>1190615604.9163771</v>
      </c>
      <c r="D11" s="694">
        <v>521967900.79130012</v>
      </c>
      <c r="E11" s="759">
        <f t="shared" si="0"/>
        <v>1712583505.7076771</v>
      </c>
      <c r="F11" s="694">
        <v>984403865.50409997</v>
      </c>
      <c r="G11" s="694">
        <v>393560479.98739982</v>
      </c>
      <c r="H11" s="766">
        <f t="shared" si="1"/>
        <v>1377964345.4914999</v>
      </c>
    </row>
    <row r="12" spans="1:8">
      <c r="A12" s="722">
        <v>1.6</v>
      </c>
      <c r="B12" s="564" t="s">
        <v>99</v>
      </c>
      <c r="C12" s="694">
        <v>2210234.9821864404</v>
      </c>
      <c r="D12" s="694"/>
      <c r="E12" s="759">
        <f t="shared" si="0"/>
        <v>2210234.9821864404</v>
      </c>
      <c r="F12" s="694">
        <v>2553000</v>
      </c>
      <c r="G12" s="694"/>
      <c r="H12" s="766">
        <f t="shared" si="1"/>
        <v>2553000</v>
      </c>
    </row>
    <row r="13" spans="1:8">
      <c r="A13" s="722">
        <v>2</v>
      </c>
      <c r="B13" s="758" t="s">
        <v>778</v>
      </c>
      <c r="C13" s="694">
        <v>-678776545.63999999</v>
      </c>
      <c r="D13" s="694">
        <v>-125811421.11019985</v>
      </c>
      <c r="E13" s="759">
        <f t="shared" si="0"/>
        <v>-804587966.75019979</v>
      </c>
      <c r="F13" s="694">
        <f>SUM(F14:F17)</f>
        <v>-625198056.63999999</v>
      </c>
      <c r="G13" s="694">
        <f>SUM(G14:G17)</f>
        <v>-139930836.45990002</v>
      </c>
      <c r="H13" s="766">
        <f t="shared" si="1"/>
        <v>-765128893.09990001</v>
      </c>
    </row>
    <row r="14" spans="1:8">
      <c r="A14" s="722">
        <v>2.1</v>
      </c>
      <c r="B14" s="564" t="s">
        <v>779</v>
      </c>
      <c r="C14" s="694"/>
      <c r="D14" s="694"/>
      <c r="E14" s="759">
        <f t="shared" si="0"/>
        <v>0</v>
      </c>
      <c r="F14" s="694"/>
      <c r="G14" s="694"/>
      <c r="H14" s="766">
        <f t="shared" si="1"/>
        <v>0</v>
      </c>
    </row>
    <row r="15" spans="1:8" ht="21">
      <c r="A15" s="722">
        <v>2.2000000000000002</v>
      </c>
      <c r="B15" s="564" t="s">
        <v>780</v>
      </c>
      <c r="C15" s="694"/>
      <c r="D15" s="694"/>
      <c r="E15" s="759">
        <f t="shared" si="0"/>
        <v>0</v>
      </c>
      <c r="F15" s="694"/>
      <c r="G15" s="694"/>
      <c r="H15" s="766">
        <f t="shared" si="1"/>
        <v>0</v>
      </c>
    </row>
    <row r="16" spans="1:8">
      <c r="A16" s="722">
        <v>2.2999999999999998</v>
      </c>
      <c r="B16" s="564" t="s">
        <v>781</v>
      </c>
      <c r="C16" s="694">
        <v>-682362363.40999997</v>
      </c>
      <c r="D16" s="694">
        <v>-105042564.64019985</v>
      </c>
      <c r="E16" s="759">
        <f t="shared" si="0"/>
        <v>-787404928.05019987</v>
      </c>
      <c r="F16" s="694">
        <v>-621785106.75999999</v>
      </c>
      <c r="G16" s="694">
        <v>-159330686.22990003</v>
      </c>
      <c r="H16" s="766">
        <f t="shared" si="1"/>
        <v>-781115792.98989999</v>
      </c>
    </row>
    <row r="17" spans="1:8">
      <c r="A17" s="722">
        <v>2.4</v>
      </c>
      <c r="B17" s="564" t="s">
        <v>782</v>
      </c>
      <c r="C17" s="694">
        <v>3585817.77</v>
      </c>
      <c r="D17" s="694">
        <v>-20768856.469999999</v>
      </c>
      <c r="E17" s="759">
        <f t="shared" si="0"/>
        <v>-17183038.699999999</v>
      </c>
      <c r="F17" s="694">
        <v>-3412949.88</v>
      </c>
      <c r="G17" s="694">
        <v>19399849.77</v>
      </c>
      <c r="H17" s="766">
        <f t="shared" si="1"/>
        <v>15986899.890000001</v>
      </c>
    </row>
    <row r="18" spans="1:8">
      <c r="A18" s="722">
        <v>3</v>
      </c>
      <c r="B18" s="758" t="s">
        <v>783</v>
      </c>
      <c r="C18" s="694"/>
      <c r="D18" s="694"/>
      <c r="E18" s="759">
        <f t="shared" si="0"/>
        <v>0</v>
      </c>
      <c r="F18" s="694"/>
      <c r="G18" s="694"/>
      <c r="H18" s="766">
        <f t="shared" si="1"/>
        <v>0</v>
      </c>
    </row>
    <row r="19" spans="1:8">
      <c r="A19" s="722">
        <v>4</v>
      </c>
      <c r="B19" s="758" t="s">
        <v>784</v>
      </c>
      <c r="C19" s="694">
        <v>311375274.96000004</v>
      </c>
      <c r="D19" s="694">
        <v>139965884.05069995</v>
      </c>
      <c r="E19" s="759">
        <f t="shared" si="0"/>
        <v>451341159.01069999</v>
      </c>
      <c r="F19" s="694">
        <v>241326311.60000002</v>
      </c>
      <c r="G19" s="694">
        <v>116096688.39999998</v>
      </c>
      <c r="H19" s="766">
        <f t="shared" si="1"/>
        <v>357423000</v>
      </c>
    </row>
    <row r="20" spans="1:8">
      <c r="A20" s="722">
        <v>5</v>
      </c>
      <c r="B20" s="758" t="s">
        <v>785</v>
      </c>
      <c r="C20" s="694">
        <v>-70226653.949999988</v>
      </c>
      <c r="D20" s="694">
        <v>-143790019</v>
      </c>
      <c r="E20" s="759">
        <f t="shared" si="0"/>
        <v>-214016672.94999999</v>
      </c>
      <c r="F20" s="694">
        <v>-77378802.230000004</v>
      </c>
      <c r="G20" s="694">
        <v>-108178826.51000001</v>
      </c>
      <c r="H20" s="766">
        <f t="shared" si="1"/>
        <v>-185557628.74000001</v>
      </c>
    </row>
    <row r="21" spans="1:8" ht="31.5">
      <c r="A21" s="722">
        <v>6</v>
      </c>
      <c r="B21" s="758" t="s">
        <v>786</v>
      </c>
      <c r="C21" s="694">
        <v>0</v>
      </c>
      <c r="D21" s="694"/>
      <c r="E21" s="759">
        <f t="shared" si="0"/>
        <v>0</v>
      </c>
      <c r="F21" s="694">
        <v>0</v>
      </c>
      <c r="G21" s="694"/>
      <c r="H21" s="766">
        <f t="shared" si="1"/>
        <v>0</v>
      </c>
    </row>
    <row r="22" spans="1:8" ht="21">
      <c r="A22" s="722">
        <v>7</v>
      </c>
      <c r="B22" s="758" t="s">
        <v>787</v>
      </c>
      <c r="C22" s="694"/>
      <c r="D22" s="694"/>
      <c r="E22" s="759">
        <f t="shared" si="0"/>
        <v>0</v>
      </c>
      <c r="F22" s="694"/>
      <c r="G22" s="694"/>
      <c r="H22" s="766">
        <f t="shared" si="1"/>
        <v>0</v>
      </c>
    </row>
    <row r="23" spans="1:8" ht="21">
      <c r="A23" s="722">
        <v>8</v>
      </c>
      <c r="B23" s="760" t="s">
        <v>788</v>
      </c>
      <c r="C23" s="694">
        <v>18596588.879999999</v>
      </c>
      <c r="D23" s="694"/>
      <c r="E23" s="759">
        <f t="shared" si="0"/>
        <v>18596588.879999999</v>
      </c>
      <c r="F23" s="694">
        <v>-5347000</v>
      </c>
      <c r="G23" s="694"/>
      <c r="H23" s="766">
        <f t="shared" si="1"/>
        <v>-5347000</v>
      </c>
    </row>
    <row r="24" spans="1:8" ht="40.5" customHeight="1">
      <c r="A24" s="722">
        <v>9</v>
      </c>
      <c r="B24" s="760" t="s">
        <v>789</v>
      </c>
      <c r="C24" s="694">
        <v>0</v>
      </c>
      <c r="D24" s="694"/>
      <c r="E24" s="759">
        <f t="shared" si="0"/>
        <v>0</v>
      </c>
      <c r="F24" s="694">
        <v>0</v>
      </c>
      <c r="G24" s="694"/>
      <c r="H24" s="766">
        <f t="shared" si="1"/>
        <v>0</v>
      </c>
    </row>
    <row r="25" spans="1:8">
      <c r="A25" s="722">
        <v>10</v>
      </c>
      <c r="B25" s="758" t="s">
        <v>790</v>
      </c>
      <c r="C25" s="694">
        <v>243656019.56700027</v>
      </c>
      <c r="D25" s="694">
        <v>0</v>
      </c>
      <c r="E25" s="759">
        <f t="shared" si="0"/>
        <v>243656019.56700027</v>
      </c>
      <c r="F25" s="694">
        <v>289186000</v>
      </c>
      <c r="G25" s="694">
        <v>0</v>
      </c>
      <c r="H25" s="766">
        <f t="shared" si="1"/>
        <v>289186000</v>
      </c>
    </row>
    <row r="26" spans="1:8" ht="21">
      <c r="A26" s="722">
        <v>11</v>
      </c>
      <c r="B26" s="758" t="s">
        <v>791</v>
      </c>
      <c r="C26" s="694">
        <v>70683618.459999993</v>
      </c>
      <c r="D26" s="694"/>
      <c r="E26" s="759">
        <f t="shared" si="0"/>
        <v>70683618.459999993</v>
      </c>
      <c r="F26" s="694">
        <v>4795768.5200000005</v>
      </c>
      <c r="G26" s="694"/>
      <c r="H26" s="766">
        <f t="shared" si="1"/>
        <v>4795768.5200000005</v>
      </c>
    </row>
    <row r="27" spans="1:8">
      <c r="A27" s="722">
        <v>12</v>
      </c>
      <c r="B27" s="758" t="s">
        <v>792</v>
      </c>
      <c r="C27" s="694">
        <v>6421493.2799999993</v>
      </c>
      <c r="D27" s="694"/>
      <c r="E27" s="759">
        <f t="shared" si="0"/>
        <v>6421493.2799999993</v>
      </c>
      <c r="F27" s="694">
        <v>4284977.47</v>
      </c>
      <c r="G27" s="694"/>
      <c r="H27" s="766">
        <f t="shared" si="1"/>
        <v>4284977.47</v>
      </c>
    </row>
    <row r="28" spans="1:8">
      <c r="A28" s="722">
        <v>13</v>
      </c>
      <c r="B28" s="758" t="s">
        <v>793</v>
      </c>
      <c r="C28" s="694">
        <v>-336202.8013658523</v>
      </c>
      <c r="D28" s="694"/>
      <c r="E28" s="759">
        <f t="shared" si="0"/>
        <v>-336202.8013658523</v>
      </c>
      <c r="F28" s="694">
        <v>-1693440.2615932082</v>
      </c>
      <c r="G28" s="694"/>
      <c r="H28" s="766">
        <f t="shared" si="1"/>
        <v>-1693440.2615932082</v>
      </c>
    </row>
    <row r="29" spans="1:8">
      <c r="A29" s="722">
        <v>14</v>
      </c>
      <c r="B29" s="758" t="s">
        <v>794</v>
      </c>
      <c r="C29" s="694">
        <f>SUM(C30:C31)</f>
        <v>-354860390.51300001</v>
      </c>
      <c r="D29" s="694">
        <f>SUM(D30:D31)</f>
        <v>0</v>
      </c>
      <c r="E29" s="759">
        <f t="shared" si="0"/>
        <v>-354860390.51300001</v>
      </c>
      <c r="F29" s="694">
        <f>SUM(F30:F31)</f>
        <v>-307906802.94999999</v>
      </c>
      <c r="G29" s="694">
        <f>SUM(G30:G31)</f>
        <v>0</v>
      </c>
      <c r="H29" s="766">
        <f t="shared" si="1"/>
        <v>-307906802.94999999</v>
      </c>
    </row>
    <row r="30" spans="1:8">
      <c r="A30" s="722">
        <v>14.1</v>
      </c>
      <c r="B30" s="556" t="s">
        <v>795</v>
      </c>
      <c r="C30" s="694">
        <v>-250704356.67300001</v>
      </c>
      <c r="D30" s="694"/>
      <c r="E30" s="759">
        <f t="shared" si="0"/>
        <v>-250704356.67300001</v>
      </c>
      <c r="F30" s="694">
        <v>-224212815.74000001</v>
      </c>
      <c r="G30" s="694"/>
      <c r="H30" s="766">
        <f t="shared" si="1"/>
        <v>-224212815.74000001</v>
      </c>
    </row>
    <row r="31" spans="1:8">
      <c r="A31" s="722">
        <v>14.2</v>
      </c>
      <c r="B31" s="556" t="s">
        <v>796</v>
      </c>
      <c r="C31" s="694">
        <v>-104156033.84</v>
      </c>
      <c r="D31" s="694"/>
      <c r="E31" s="759">
        <f t="shared" si="0"/>
        <v>-104156033.84</v>
      </c>
      <c r="F31" s="694">
        <v>-83693987.209999993</v>
      </c>
      <c r="G31" s="694"/>
      <c r="H31" s="766">
        <f t="shared" si="1"/>
        <v>-83693987.209999993</v>
      </c>
    </row>
    <row r="32" spans="1:8">
      <c r="A32" s="722">
        <v>15</v>
      </c>
      <c r="B32" s="761" t="s">
        <v>797</v>
      </c>
      <c r="C32" s="694">
        <v>-72525486.870000005</v>
      </c>
      <c r="D32" s="694"/>
      <c r="E32" s="759">
        <f t="shared" si="0"/>
        <v>-72525486.870000005</v>
      </c>
      <c r="F32" s="694">
        <v>-65600094.850000001</v>
      </c>
      <c r="G32" s="694"/>
      <c r="H32" s="766">
        <f t="shared" si="1"/>
        <v>-65600094.850000001</v>
      </c>
    </row>
    <row r="33" spans="1:8">
      <c r="A33" s="722">
        <v>16</v>
      </c>
      <c r="B33" s="552" t="s">
        <v>798</v>
      </c>
      <c r="C33" s="694">
        <v>-13011664.869999999</v>
      </c>
      <c r="D33" s="694">
        <v>1570033.56</v>
      </c>
      <c r="E33" s="759">
        <f t="shared" si="0"/>
        <v>-11441631.309999999</v>
      </c>
      <c r="F33" s="694">
        <v>-20422666.219999999</v>
      </c>
      <c r="G33" s="694">
        <v>437030.10000000003</v>
      </c>
      <c r="H33" s="766">
        <f t="shared" si="1"/>
        <v>-19985636.119999997</v>
      </c>
    </row>
    <row r="34" spans="1:8">
      <c r="A34" s="722">
        <v>17</v>
      </c>
      <c r="B34" s="758" t="s">
        <v>799</v>
      </c>
      <c r="C34" s="694">
        <f>C35+C36</f>
        <v>-591596.68000000005</v>
      </c>
      <c r="D34" s="694">
        <f>SUM(D35:D36)</f>
        <v>-964669.83609999984</v>
      </c>
      <c r="E34" s="759">
        <f t="shared" si="0"/>
        <v>-1556266.5160999999</v>
      </c>
      <c r="F34" s="694">
        <f>F35+F36</f>
        <v>-463556.12359999988</v>
      </c>
      <c r="G34" s="694">
        <f>SUM(G35:G36)</f>
        <v>0</v>
      </c>
      <c r="H34" s="766">
        <f t="shared" si="1"/>
        <v>-463556.12359999988</v>
      </c>
    </row>
    <row r="35" spans="1:8">
      <c r="A35" s="722">
        <v>17.100000000000001</v>
      </c>
      <c r="B35" s="556" t="s">
        <v>800</v>
      </c>
      <c r="C35" s="694">
        <v>-591596.68000000005</v>
      </c>
      <c r="D35" s="694">
        <v>-964669.83609999984</v>
      </c>
      <c r="E35" s="759">
        <f t="shared" si="0"/>
        <v>-1556266.5160999999</v>
      </c>
      <c r="F35" s="694">
        <v>-338058.68359999987</v>
      </c>
      <c r="G35" s="694"/>
      <c r="H35" s="766">
        <f t="shared" si="1"/>
        <v>-338058.68359999987</v>
      </c>
    </row>
    <row r="36" spans="1:8">
      <c r="A36" s="722">
        <v>17.2</v>
      </c>
      <c r="B36" s="556" t="s">
        <v>801</v>
      </c>
      <c r="C36" s="694">
        <v>0</v>
      </c>
      <c r="D36" s="694"/>
      <c r="E36" s="759">
        <f t="shared" si="0"/>
        <v>0</v>
      </c>
      <c r="F36" s="694">
        <v>-125497.44</v>
      </c>
      <c r="G36" s="694"/>
      <c r="H36" s="766">
        <f t="shared" si="1"/>
        <v>-125497.44</v>
      </c>
    </row>
    <row r="37" spans="1:8" ht="21">
      <c r="A37" s="722">
        <v>18</v>
      </c>
      <c r="B37" s="762" t="s">
        <v>802</v>
      </c>
      <c r="C37" s="694">
        <f>SUM(C38:C39)</f>
        <v>-88008584.415450543</v>
      </c>
      <c r="D37" s="694">
        <f>SUM(D38:D39)</f>
        <v>-18092215.717135359</v>
      </c>
      <c r="E37" s="759">
        <f t="shared" si="0"/>
        <v>-106100800.1325859</v>
      </c>
      <c r="F37" s="694">
        <f>SUM(F38:F39)</f>
        <v>-77390541.573702976</v>
      </c>
      <c r="G37" s="694">
        <f>SUM(G38:G39)</f>
        <v>0</v>
      </c>
      <c r="H37" s="766">
        <f t="shared" si="1"/>
        <v>-77390541.573702976</v>
      </c>
    </row>
    <row r="38" spans="1:8">
      <c r="A38" s="722">
        <v>18.100000000000001</v>
      </c>
      <c r="B38" s="564" t="s">
        <v>803</v>
      </c>
      <c r="C38" s="694">
        <v>1361094.6</v>
      </c>
      <c r="D38" s="694"/>
      <c r="E38" s="759">
        <f t="shared" si="0"/>
        <v>1361094.6</v>
      </c>
      <c r="F38" s="694">
        <v>-3543504.26</v>
      </c>
      <c r="G38" s="694"/>
      <c r="H38" s="766">
        <f t="shared" si="1"/>
        <v>-3543504.26</v>
      </c>
    </row>
    <row r="39" spans="1:8">
      <c r="A39" s="722">
        <v>18.2</v>
      </c>
      <c r="B39" s="564" t="s">
        <v>804</v>
      </c>
      <c r="C39" s="694">
        <v>-89369679.015450537</v>
      </c>
      <c r="D39" s="694">
        <v>-18092215.717135359</v>
      </c>
      <c r="E39" s="759">
        <f t="shared" si="0"/>
        <v>-107461894.73258589</v>
      </c>
      <c r="F39" s="694">
        <v>-73847037.313702971</v>
      </c>
      <c r="G39" s="694"/>
      <c r="H39" s="766">
        <f t="shared" si="1"/>
        <v>-73847037.313702971</v>
      </c>
    </row>
    <row r="40" spans="1:8" ht="21">
      <c r="A40" s="722">
        <v>19</v>
      </c>
      <c r="B40" s="762" t="s">
        <v>805</v>
      </c>
      <c r="C40" s="694"/>
      <c r="D40" s="694"/>
      <c r="E40" s="759">
        <f t="shared" si="0"/>
        <v>0</v>
      </c>
      <c r="F40" s="694"/>
      <c r="G40" s="694"/>
      <c r="H40" s="766">
        <f t="shared" si="1"/>
        <v>0</v>
      </c>
    </row>
    <row r="41" spans="1:8">
      <c r="A41" s="722">
        <v>20</v>
      </c>
      <c r="B41" s="762" t="s">
        <v>806</v>
      </c>
      <c r="C41" s="694">
        <v>-11187314.309099982</v>
      </c>
      <c r="D41" s="694">
        <v>0</v>
      </c>
      <c r="E41" s="759">
        <f t="shared" si="0"/>
        <v>-11187314.309099982</v>
      </c>
      <c r="F41" s="694">
        <v>-11868808.529999999</v>
      </c>
      <c r="G41" s="694"/>
      <c r="H41" s="766">
        <f t="shared" si="1"/>
        <v>-11868808.529999999</v>
      </c>
    </row>
    <row r="42" spans="1:8" ht="21">
      <c r="A42" s="722">
        <v>21</v>
      </c>
      <c r="B42" s="763" t="s">
        <v>807</v>
      </c>
      <c r="C42" s="694"/>
      <c r="D42" s="694"/>
      <c r="E42" s="759">
        <f t="shared" si="0"/>
        <v>0</v>
      </c>
      <c r="F42" s="694"/>
      <c r="G42" s="694"/>
      <c r="H42" s="766">
        <f t="shared" si="1"/>
        <v>0</v>
      </c>
    </row>
    <row r="43" spans="1:8">
      <c r="A43" s="722">
        <v>22</v>
      </c>
      <c r="B43" s="764" t="s">
        <v>808</v>
      </c>
      <c r="C43" s="694">
        <f>SUM(C6,C13,C18,C19,C20,C21,C22,C23,C24,C25,C26,C27,C28,C29,C32,C33,C34,C37,C40,C41,C42)</f>
        <v>715963260.78664756</v>
      </c>
      <c r="D43" s="694">
        <f>SUM(D6,D13,D18,D19,D20,D21,D22,D23,D24,D25,D26,D27,D28,D29,D32,D33,D34,D37,D40,D41,D42)</f>
        <v>442589184.43856478</v>
      </c>
      <c r="E43" s="759">
        <f t="shared" si="0"/>
        <v>1158552445.2252123</v>
      </c>
      <c r="F43" s="694">
        <f>SUM(F6,F13,F18,F19,F20,F21,F22,F23,F24,F25,F26,F27,F28,F29,F32,F33,F34,F37,F40,F41,F42)</f>
        <v>538965045.83520389</v>
      </c>
      <c r="G43" s="694">
        <f>SUM(G6,G13,G18,G19,G20,G21,G22,G23,G24,G25,G26,G27,G28,G29,G32,G33,G34,G37,G40,G41,G42)</f>
        <v>268437672.06749982</v>
      </c>
      <c r="H43" s="766">
        <f t="shared" si="1"/>
        <v>807402717.90270376</v>
      </c>
    </row>
    <row r="44" spans="1:8">
      <c r="A44" s="722">
        <v>23</v>
      </c>
      <c r="B44" s="764" t="s">
        <v>809</v>
      </c>
      <c r="C44" s="694">
        <v>176590917.19999999</v>
      </c>
      <c r="D44" s="694"/>
      <c r="E44" s="759">
        <f t="shared" si="0"/>
        <v>176590917.19999999</v>
      </c>
      <c r="F44" s="694">
        <v>80199975.269999996</v>
      </c>
      <c r="G44" s="694"/>
      <c r="H44" s="766">
        <f t="shared" si="1"/>
        <v>80199975.269999996</v>
      </c>
    </row>
    <row r="45" spans="1:8" ht="15.75" thickBot="1">
      <c r="A45" s="767">
        <v>24</v>
      </c>
      <c r="B45" s="768" t="s">
        <v>810</v>
      </c>
      <c r="C45" s="697">
        <f>C43-C44</f>
        <v>539372343.58664751</v>
      </c>
      <c r="D45" s="697">
        <f>D43-D44</f>
        <v>442589184.43856478</v>
      </c>
      <c r="E45" s="769">
        <f t="shared" si="0"/>
        <v>981961528.02521229</v>
      </c>
      <c r="F45" s="697">
        <f>F43-F44</f>
        <v>458765070.56520391</v>
      </c>
      <c r="G45" s="697">
        <f>G43-G44</f>
        <v>268437672.06749982</v>
      </c>
      <c r="H45" s="770">
        <f t="shared" si="1"/>
        <v>727202742.63270378</v>
      </c>
    </row>
  </sheetData>
  <mergeCells count="4">
    <mergeCell ref="B4:B5"/>
    <mergeCell ref="C4:E4"/>
    <mergeCell ref="F4:H4"/>
    <mergeCell ref="A4:A5"/>
  </mergeCells>
  <pageMargins left="0.7" right="0.7" top="0.75" bottom="0.75" header="0.3" footer="0.3"/>
  <pageSetup paperSize="9" scale="4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zoomScaleNormal="100" workbookViewId="0"/>
  </sheetViews>
  <sheetFormatPr defaultRowHeight="15"/>
  <cols>
    <col min="1" max="1" width="8.7109375" style="338"/>
    <col min="2" max="2" width="87.5703125" bestFit="1" customWidth="1"/>
    <col min="3" max="3" width="20" customWidth="1"/>
    <col min="4" max="4" width="17" customWidth="1"/>
    <col min="5" max="5" width="20.85546875" customWidth="1"/>
    <col min="6" max="6" width="20" customWidth="1"/>
    <col min="7" max="7" width="17" customWidth="1"/>
    <col min="8" max="8" width="20.85546875" customWidth="1"/>
  </cols>
  <sheetData>
    <row r="1" spans="1:8" ht="15.75">
      <c r="A1" s="13" t="s">
        <v>108</v>
      </c>
      <c r="B1" s="262" t="str">
        <f>Info!C2</f>
        <v>სს ”საქართველოს ბანკი”</v>
      </c>
      <c r="C1" s="190"/>
      <c r="D1" s="190">
        <v>0</v>
      </c>
      <c r="F1" s="190"/>
      <c r="G1" s="190"/>
    </row>
    <row r="2" spans="1:8" ht="15.75">
      <c r="A2" s="13" t="s">
        <v>109</v>
      </c>
      <c r="B2" s="275">
        <f>'1. key ratios'!B2</f>
        <v>45199</v>
      </c>
      <c r="C2" s="14"/>
      <c r="D2" s="14"/>
      <c r="E2" s="1"/>
      <c r="F2" s="14"/>
      <c r="G2" s="14"/>
      <c r="H2" s="1"/>
    </row>
    <row r="3" spans="1:8" ht="16.5" thickBot="1">
      <c r="A3" s="13"/>
      <c r="B3" s="12"/>
      <c r="C3" s="14"/>
      <c r="D3" s="14"/>
      <c r="E3" s="1"/>
      <c r="F3" s="14"/>
      <c r="G3" s="14"/>
      <c r="H3" s="1"/>
    </row>
    <row r="4" spans="1:8" ht="15.75">
      <c r="A4" s="780" t="s">
        <v>25</v>
      </c>
      <c r="B4" s="790" t="s">
        <v>151</v>
      </c>
      <c r="C4" s="792" t="s">
        <v>114</v>
      </c>
      <c r="D4" s="792"/>
      <c r="E4" s="792"/>
      <c r="F4" s="792" t="s">
        <v>115</v>
      </c>
      <c r="G4" s="792"/>
      <c r="H4" s="793"/>
    </row>
    <row r="5" spans="1:8">
      <c r="A5" s="781"/>
      <c r="B5" s="791"/>
      <c r="C5" s="741" t="s">
        <v>26</v>
      </c>
      <c r="D5" s="741" t="s">
        <v>88</v>
      </c>
      <c r="E5" s="741" t="s">
        <v>66</v>
      </c>
      <c r="F5" s="741" t="s">
        <v>26</v>
      </c>
      <c r="G5" s="741" t="s">
        <v>88</v>
      </c>
      <c r="H5" s="750" t="s">
        <v>66</v>
      </c>
    </row>
    <row r="6" spans="1:8" ht="15.75">
      <c r="A6" s="566">
        <v>1</v>
      </c>
      <c r="B6" s="743" t="s">
        <v>811</v>
      </c>
      <c r="C6" s="543"/>
      <c r="D6" s="543"/>
      <c r="E6" s="742">
        <f t="shared" ref="E6:E43" si="0">C6+D6</f>
        <v>0</v>
      </c>
      <c r="F6" s="543"/>
      <c r="G6" s="543"/>
      <c r="H6" s="751">
        <f t="shared" ref="H6:H43" si="1">F6+G6</f>
        <v>0</v>
      </c>
    </row>
    <row r="7" spans="1:8" ht="15.75">
      <c r="A7" s="566">
        <v>2</v>
      </c>
      <c r="B7" s="743" t="s">
        <v>176</v>
      </c>
      <c r="C7" s="543"/>
      <c r="D7" s="543"/>
      <c r="E7" s="742">
        <f t="shared" si="0"/>
        <v>0</v>
      </c>
      <c r="F7" s="543"/>
      <c r="G7" s="543"/>
      <c r="H7" s="751">
        <f t="shared" si="1"/>
        <v>0</v>
      </c>
    </row>
    <row r="8" spans="1:8" ht="15.75">
      <c r="A8" s="566">
        <v>3</v>
      </c>
      <c r="B8" s="743" t="s">
        <v>178</v>
      </c>
      <c r="C8" s="543">
        <f>C9+C10</f>
        <v>821518971.91000009</v>
      </c>
      <c r="D8" s="543">
        <f>D9+D10</f>
        <v>626051116.38319993</v>
      </c>
      <c r="E8" s="742">
        <f t="shared" si="0"/>
        <v>1447570088.2932</v>
      </c>
      <c r="F8" s="543">
        <f>F9+F10</f>
        <v>918713333.80999994</v>
      </c>
      <c r="G8" s="543">
        <f>G9+G10</f>
        <v>699890344.54149997</v>
      </c>
      <c r="H8" s="751">
        <f>F8+G8</f>
        <v>1618603678.3515</v>
      </c>
    </row>
    <row r="9" spans="1:8" ht="15.75">
      <c r="A9" s="566">
        <v>3.1</v>
      </c>
      <c r="B9" s="744" t="s">
        <v>812</v>
      </c>
      <c r="C9" s="543">
        <v>369785346.85000002</v>
      </c>
      <c r="D9" s="543">
        <v>256292384.69</v>
      </c>
      <c r="E9" s="742">
        <f t="shared" si="0"/>
        <v>626077731.53999996</v>
      </c>
      <c r="F9" s="543">
        <v>371135070.31</v>
      </c>
      <c r="G9" s="543">
        <v>259399562.91999999</v>
      </c>
      <c r="H9" s="751">
        <f t="shared" si="1"/>
        <v>630534633.23000002</v>
      </c>
    </row>
    <row r="10" spans="1:8" ht="15.75">
      <c r="A10" s="566">
        <v>3.2</v>
      </c>
      <c r="B10" s="744" t="s">
        <v>813</v>
      </c>
      <c r="C10" s="543">
        <v>451733625.06</v>
      </c>
      <c r="D10" s="543">
        <v>369758731.69319999</v>
      </c>
      <c r="E10" s="742">
        <f t="shared" si="0"/>
        <v>821492356.75320005</v>
      </c>
      <c r="F10" s="543">
        <v>547578263.5</v>
      </c>
      <c r="G10" s="543">
        <v>440490781.62150002</v>
      </c>
      <c r="H10" s="751">
        <f t="shared" si="1"/>
        <v>988069045.12150002</v>
      </c>
    </row>
    <row r="11" spans="1:8" ht="15.75" customHeight="1">
      <c r="A11" s="566">
        <v>4</v>
      </c>
      <c r="B11" s="743" t="s">
        <v>177</v>
      </c>
      <c r="C11" s="543">
        <f>C12+C13</f>
        <v>1624337000</v>
      </c>
      <c r="D11" s="543">
        <f>D12+D13</f>
        <v>0</v>
      </c>
      <c r="E11" s="742">
        <f t="shared" si="0"/>
        <v>1624337000</v>
      </c>
      <c r="F11" s="543">
        <f>F12+F13</f>
        <v>3017570000</v>
      </c>
      <c r="G11" s="543">
        <f>G12+G13</f>
        <v>0</v>
      </c>
      <c r="H11" s="751">
        <f t="shared" si="1"/>
        <v>3017570000</v>
      </c>
    </row>
    <row r="12" spans="1:8" ht="15.75">
      <c r="A12" s="566">
        <v>4.0999999999999996</v>
      </c>
      <c r="B12" s="744" t="s">
        <v>814</v>
      </c>
      <c r="C12" s="543">
        <v>1624337000</v>
      </c>
      <c r="D12" s="543"/>
      <c r="E12" s="742">
        <f t="shared" si="0"/>
        <v>1624337000</v>
      </c>
      <c r="F12" s="543">
        <v>3017570000</v>
      </c>
      <c r="G12" s="543">
        <v>0</v>
      </c>
      <c r="H12" s="751">
        <f t="shared" si="1"/>
        <v>3017570000</v>
      </c>
    </row>
    <row r="13" spans="1:8" ht="15.75">
      <c r="A13" s="566">
        <v>4.2</v>
      </c>
      <c r="B13" s="744" t="s">
        <v>815</v>
      </c>
      <c r="C13" s="543"/>
      <c r="D13" s="543"/>
      <c r="E13" s="742">
        <f t="shared" si="0"/>
        <v>0</v>
      </c>
      <c r="F13" s="543"/>
      <c r="G13" s="543"/>
      <c r="H13" s="751">
        <f t="shared" si="1"/>
        <v>0</v>
      </c>
    </row>
    <row r="14" spans="1:8" ht="15.75">
      <c r="A14" s="566">
        <v>5</v>
      </c>
      <c r="B14" s="745" t="s">
        <v>816</v>
      </c>
      <c r="C14" s="543">
        <f>C15+C16+C17+C23+C24+C25+C26</f>
        <v>18529923241.670002</v>
      </c>
      <c r="D14" s="543">
        <f>D15+D16+D17+D23+D24+D25+D26</f>
        <v>19447853203.43</v>
      </c>
      <c r="E14" s="742">
        <f t="shared" si="0"/>
        <v>37977776445.100006</v>
      </c>
      <c r="F14" s="543">
        <f>F15+F16+F17+F23+F24+F25+F26</f>
        <v>15296167653.179998</v>
      </c>
      <c r="G14" s="543">
        <f>G15+G16+G17+G23+G24+G25+G26</f>
        <v>19221149584.890003</v>
      </c>
      <c r="H14" s="751">
        <f t="shared" si="1"/>
        <v>34517317238.07</v>
      </c>
    </row>
    <row r="15" spans="1:8" ht="15.75">
      <c r="A15" s="566">
        <v>5.0999999999999996</v>
      </c>
      <c r="B15" s="746" t="s">
        <v>817</v>
      </c>
      <c r="C15" s="543">
        <v>511482806.70000005</v>
      </c>
      <c r="D15" s="543">
        <v>183442770.11000001</v>
      </c>
      <c r="E15" s="742">
        <f t="shared" si="0"/>
        <v>694925576.81000006</v>
      </c>
      <c r="F15" s="543">
        <v>196708669.05000001</v>
      </c>
      <c r="G15" s="543">
        <v>198496709.5</v>
      </c>
      <c r="H15" s="751">
        <f t="shared" si="1"/>
        <v>395205378.55000001</v>
      </c>
    </row>
    <row r="16" spans="1:8" ht="15.75">
      <c r="A16" s="566">
        <v>5.2</v>
      </c>
      <c r="B16" s="746" t="s">
        <v>818</v>
      </c>
      <c r="C16" s="543">
        <v>175892167.11000001</v>
      </c>
      <c r="D16" s="543">
        <v>145677.26999999999</v>
      </c>
      <c r="E16" s="742">
        <f t="shared" si="0"/>
        <v>176037844.38000003</v>
      </c>
      <c r="F16" s="543">
        <v>189957432.18000001</v>
      </c>
      <c r="G16" s="543">
        <v>238692.66</v>
      </c>
      <c r="H16" s="751">
        <f t="shared" si="1"/>
        <v>190196124.84</v>
      </c>
    </row>
    <row r="17" spans="1:8" ht="15.75">
      <c r="A17" s="566">
        <v>5.3</v>
      </c>
      <c r="B17" s="746" t="s">
        <v>819</v>
      </c>
      <c r="C17" s="543">
        <f>SUM(C18:C22)</f>
        <v>15323533912.27</v>
      </c>
      <c r="D17" s="543">
        <f>SUM(D18:D22)</f>
        <v>14756753897.84</v>
      </c>
      <c r="E17" s="742">
        <f>C17+D17</f>
        <v>30080287810.110001</v>
      </c>
      <c r="F17" s="543">
        <f>SUM(F18:F23)</f>
        <v>12114043067.75</v>
      </c>
      <c r="G17" s="543">
        <f>SUM(G18:G23)</f>
        <v>13855216894.790001</v>
      </c>
      <c r="H17" s="751">
        <f t="shared" si="1"/>
        <v>25969259962.540001</v>
      </c>
    </row>
    <row r="18" spans="1:8" ht="15.75">
      <c r="A18" s="566" t="s">
        <v>179</v>
      </c>
      <c r="B18" s="747" t="s">
        <v>820</v>
      </c>
      <c r="C18" s="543">
        <v>10743180847.950001</v>
      </c>
      <c r="D18" s="543">
        <v>5474897662.9399996</v>
      </c>
      <c r="E18" s="742">
        <f t="shared" si="0"/>
        <v>16218078510.889999</v>
      </c>
      <c r="F18" s="543">
        <v>8356626440.7799997</v>
      </c>
      <c r="G18" s="543">
        <v>5408250984.7600002</v>
      </c>
      <c r="H18" s="751">
        <f t="shared" si="1"/>
        <v>13764877425.540001</v>
      </c>
    </row>
    <row r="19" spans="1:8" ht="15.75">
      <c r="A19" s="566" t="s">
        <v>180</v>
      </c>
      <c r="B19" s="748" t="s">
        <v>821</v>
      </c>
      <c r="C19" s="543">
        <v>3208276922.2600002</v>
      </c>
      <c r="D19" s="543">
        <v>7618954298.1300001</v>
      </c>
      <c r="E19" s="742">
        <f t="shared" si="0"/>
        <v>10827231220.389999</v>
      </c>
      <c r="F19" s="543">
        <v>2206497457.6700001</v>
      </c>
      <c r="G19" s="543">
        <v>6443679747.5600004</v>
      </c>
      <c r="H19" s="751">
        <f t="shared" si="1"/>
        <v>8650177205.2299995</v>
      </c>
    </row>
    <row r="20" spans="1:8" ht="15.75">
      <c r="A20" s="566" t="s">
        <v>181</v>
      </c>
      <c r="B20" s="748" t="s">
        <v>822</v>
      </c>
      <c r="C20" s="543">
        <v>0</v>
      </c>
      <c r="D20" s="543">
        <v>0</v>
      </c>
      <c r="E20" s="742">
        <f t="shared" si="0"/>
        <v>0</v>
      </c>
      <c r="F20" s="543">
        <v>0</v>
      </c>
      <c r="G20" s="543">
        <v>0</v>
      </c>
      <c r="H20" s="751">
        <f t="shared" si="1"/>
        <v>0</v>
      </c>
    </row>
    <row r="21" spans="1:8" ht="15.75">
      <c r="A21" s="566" t="s">
        <v>182</v>
      </c>
      <c r="B21" s="748" t="s">
        <v>823</v>
      </c>
      <c r="C21" s="543">
        <v>1372076142.0599999</v>
      </c>
      <c r="D21" s="543">
        <v>1662901936.77</v>
      </c>
      <c r="E21" s="742">
        <f t="shared" si="0"/>
        <v>3034978078.8299999</v>
      </c>
      <c r="F21" s="543">
        <v>1243366027.1500001</v>
      </c>
      <c r="G21" s="543">
        <v>1766238028.2</v>
      </c>
      <c r="H21" s="751">
        <f t="shared" si="1"/>
        <v>3009604055.3500004</v>
      </c>
    </row>
    <row r="22" spans="1:8" ht="15.75">
      <c r="A22" s="566" t="s">
        <v>183</v>
      </c>
      <c r="B22" s="748" t="s">
        <v>540</v>
      </c>
      <c r="C22" s="543">
        <v>0</v>
      </c>
      <c r="D22" s="543">
        <v>0</v>
      </c>
      <c r="E22" s="742">
        <f t="shared" si="0"/>
        <v>0</v>
      </c>
      <c r="F22" s="543">
        <v>0</v>
      </c>
      <c r="G22" s="543">
        <v>0</v>
      </c>
      <c r="H22" s="751">
        <f t="shared" si="1"/>
        <v>0</v>
      </c>
    </row>
    <row r="23" spans="1:8" ht="15.75">
      <c r="A23" s="566">
        <v>5.4</v>
      </c>
      <c r="B23" s="746" t="s">
        <v>824</v>
      </c>
      <c r="C23" s="543">
        <v>198832833.68000001</v>
      </c>
      <c r="D23" s="543">
        <v>194135966.47</v>
      </c>
      <c r="E23" s="742">
        <f t="shared" si="0"/>
        <v>392968800.14999998</v>
      </c>
      <c r="F23" s="543">
        <v>307553142.14999998</v>
      </c>
      <c r="G23" s="543">
        <v>237048134.27000001</v>
      </c>
      <c r="H23" s="751">
        <f t="shared" si="1"/>
        <v>544601276.41999996</v>
      </c>
    </row>
    <row r="24" spans="1:8" ht="15.75">
      <c r="A24" s="566">
        <v>5.5</v>
      </c>
      <c r="B24" s="746" t="s">
        <v>825</v>
      </c>
      <c r="C24" s="543">
        <v>0</v>
      </c>
      <c r="D24" s="543">
        <v>0</v>
      </c>
      <c r="E24" s="742">
        <f t="shared" si="0"/>
        <v>0</v>
      </c>
      <c r="F24" s="543">
        <v>0</v>
      </c>
      <c r="G24" s="543">
        <v>0</v>
      </c>
      <c r="H24" s="751">
        <f t="shared" si="1"/>
        <v>0</v>
      </c>
    </row>
    <row r="25" spans="1:8" ht="15.75">
      <c r="A25" s="566">
        <v>5.6</v>
      </c>
      <c r="B25" s="746" t="s">
        <v>826</v>
      </c>
      <c r="C25" s="543">
        <v>257858080.84</v>
      </c>
      <c r="D25" s="543">
        <v>1157380927.9200001</v>
      </c>
      <c r="E25" s="742">
        <f t="shared" si="0"/>
        <v>1415239008.76</v>
      </c>
      <c r="F25" s="543">
        <v>257300492.30000001</v>
      </c>
      <c r="G25" s="543">
        <v>1374691708.77</v>
      </c>
      <c r="H25" s="751">
        <f t="shared" si="1"/>
        <v>1631992201.0699999</v>
      </c>
    </row>
    <row r="26" spans="1:8" ht="15.75">
      <c r="A26" s="566">
        <v>5.7</v>
      </c>
      <c r="B26" s="746" t="s">
        <v>540</v>
      </c>
      <c r="C26" s="543">
        <v>2062323441.0699999</v>
      </c>
      <c r="D26" s="543">
        <v>3155993963.8200002</v>
      </c>
      <c r="E26" s="742">
        <f t="shared" si="0"/>
        <v>5218317404.8900003</v>
      </c>
      <c r="F26" s="543">
        <v>2230604849.75</v>
      </c>
      <c r="G26" s="543">
        <v>3555457444.9000001</v>
      </c>
      <c r="H26" s="751">
        <f t="shared" si="1"/>
        <v>5786062294.6499996</v>
      </c>
    </row>
    <row r="27" spans="1:8" ht="15.75">
      <c r="A27" s="566">
        <v>6</v>
      </c>
      <c r="B27" s="745" t="s">
        <v>827</v>
      </c>
      <c r="C27" s="543">
        <v>487482090.41999996</v>
      </c>
      <c r="D27" s="543">
        <v>360664506.23019993</v>
      </c>
      <c r="E27" s="742">
        <f t="shared" si="0"/>
        <v>848146596.65019989</v>
      </c>
      <c r="F27" s="543">
        <v>415264069.26999998</v>
      </c>
      <c r="G27" s="543">
        <v>325902360.01310003</v>
      </c>
      <c r="H27" s="751">
        <f t="shared" si="1"/>
        <v>741166429.28310001</v>
      </c>
    </row>
    <row r="28" spans="1:8" ht="15.75">
      <c r="A28" s="566">
        <v>7</v>
      </c>
      <c r="B28" s="745" t="s">
        <v>828</v>
      </c>
      <c r="C28" s="543">
        <v>1184636731.5</v>
      </c>
      <c r="D28" s="543">
        <v>683115665.56490004</v>
      </c>
      <c r="E28" s="742">
        <f t="shared" si="0"/>
        <v>1867752397.0648999</v>
      </c>
      <c r="F28" s="543">
        <v>936130193.26999998</v>
      </c>
      <c r="G28" s="543">
        <v>684415273.20229995</v>
      </c>
      <c r="H28" s="751">
        <f t="shared" si="1"/>
        <v>1620545466.4723001</v>
      </c>
    </row>
    <row r="29" spans="1:8" ht="15.75">
      <c r="A29" s="566">
        <v>8</v>
      </c>
      <c r="B29" s="745" t="s">
        <v>829</v>
      </c>
      <c r="C29" s="543">
        <v>0</v>
      </c>
      <c r="D29" s="543">
        <v>61305301.324200004</v>
      </c>
      <c r="E29" s="742">
        <f t="shared" si="0"/>
        <v>61305301.324200004</v>
      </c>
      <c r="F29" s="543">
        <v>0</v>
      </c>
      <c r="G29" s="543">
        <v>108108275.23</v>
      </c>
      <c r="H29" s="751">
        <f t="shared" si="1"/>
        <v>108108275.23</v>
      </c>
    </row>
    <row r="30" spans="1:8" ht="15.75">
      <c r="A30" s="566">
        <v>9</v>
      </c>
      <c r="B30" s="743" t="s">
        <v>184</v>
      </c>
      <c r="C30" s="543">
        <f>C31+C32+C33+C34+C35+C36+C37</f>
        <v>426111950.04999977</v>
      </c>
      <c r="D30" s="543">
        <f>D31+D32+D33+D34+D35+D36+D37</f>
        <v>4978006647.1424513</v>
      </c>
      <c r="E30" s="742">
        <f t="shared" si="0"/>
        <v>5404118597.1924515</v>
      </c>
      <c r="F30" s="543">
        <f>F31+F32+F33+F34+F35+F36+F37</f>
        <v>468520643.79999995</v>
      </c>
      <c r="G30" s="543">
        <f>G31+G32+G33+G34+G35+G36+G37</f>
        <v>5369463752.9536667</v>
      </c>
      <c r="H30" s="751">
        <f t="shared" si="1"/>
        <v>5837984396.7536669</v>
      </c>
    </row>
    <row r="31" spans="1:8" ht="25.5">
      <c r="A31" s="566">
        <v>9.1</v>
      </c>
      <c r="B31" s="744" t="s">
        <v>830</v>
      </c>
      <c r="C31" s="543">
        <v>374774030.69999975</v>
      </c>
      <c r="D31" s="543">
        <v>2343719582.3587003</v>
      </c>
      <c r="E31" s="742">
        <f t="shared" si="0"/>
        <v>2718493613.0587001</v>
      </c>
      <c r="F31" s="543">
        <v>386019267.72999996</v>
      </c>
      <c r="G31" s="543">
        <v>2800507407.524312</v>
      </c>
      <c r="H31" s="751">
        <f t="shared" si="1"/>
        <v>3186526675.254312</v>
      </c>
    </row>
    <row r="32" spans="1:8" ht="25.5">
      <c r="A32" s="566">
        <v>9.1999999999999993</v>
      </c>
      <c r="B32" s="744" t="s">
        <v>831</v>
      </c>
      <c r="C32" s="543">
        <v>51337919.350000001</v>
      </c>
      <c r="D32" s="543">
        <v>2634287064.783751</v>
      </c>
      <c r="E32" s="742">
        <f t="shared" si="0"/>
        <v>2685624984.1337509</v>
      </c>
      <c r="F32" s="543">
        <v>82501376.069999993</v>
      </c>
      <c r="G32" s="543">
        <v>2568956345.4293551</v>
      </c>
      <c r="H32" s="751">
        <f t="shared" si="1"/>
        <v>2651457721.4993553</v>
      </c>
    </row>
    <row r="33" spans="1:8" ht="15.75" customHeight="1">
      <c r="A33" s="566">
        <v>9.3000000000000007</v>
      </c>
      <c r="B33" s="744" t="s">
        <v>832</v>
      </c>
      <c r="C33" s="543"/>
      <c r="D33" s="543"/>
      <c r="E33" s="742">
        <f t="shared" si="0"/>
        <v>0</v>
      </c>
      <c r="F33" s="543"/>
      <c r="G33" s="543"/>
      <c r="H33" s="751">
        <f t="shared" si="1"/>
        <v>0</v>
      </c>
    </row>
    <row r="34" spans="1:8" ht="15.75">
      <c r="A34" s="566">
        <v>9.4</v>
      </c>
      <c r="B34" s="744" t="s">
        <v>833</v>
      </c>
      <c r="C34" s="543"/>
      <c r="D34" s="543"/>
      <c r="E34" s="742">
        <f t="shared" si="0"/>
        <v>0</v>
      </c>
      <c r="F34" s="543"/>
      <c r="G34" s="543"/>
      <c r="H34" s="751">
        <f t="shared" si="1"/>
        <v>0</v>
      </c>
    </row>
    <row r="35" spans="1:8" ht="15.75">
      <c r="A35" s="566">
        <v>9.5</v>
      </c>
      <c r="B35" s="744" t="s">
        <v>834</v>
      </c>
      <c r="C35" s="543"/>
      <c r="D35" s="543"/>
      <c r="E35" s="742">
        <f t="shared" si="0"/>
        <v>0</v>
      </c>
      <c r="F35" s="543"/>
      <c r="G35" s="543">
        <v>0</v>
      </c>
      <c r="H35" s="751">
        <f t="shared" si="1"/>
        <v>0</v>
      </c>
    </row>
    <row r="36" spans="1:8" ht="25.5">
      <c r="A36" s="566">
        <v>9.6</v>
      </c>
      <c r="B36" s="744" t="s">
        <v>835</v>
      </c>
      <c r="C36" s="543"/>
      <c r="D36" s="543"/>
      <c r="E36" s="742">
        <f t="shared" si="0"/>
        <v>0</v>
      </c>
      <c r="F36" s="543"/>
      <c r="G36" s="543"/>
      <c r="H36" s="751">
        <f t="shared" si="1"/>
        <v>0</v>
      </c>
    </row>
    <row r="37" spans="1:8" ht="25.5">
      <c r="A37" s="566">
        <v>9.6999999999999993</v>
      </c>
      <c r="B37" s="744" t="s">
        <v>836</v>
      </c>
      <c r="C37" s="543"/>
      <c r="D37" s="543"/>
      <c r="E37" s="742">
        <f t="shared" si="0"/>
        <v>0</v>
      </c>
      <c r="F37" s="543"/>
      <c r="G37" s="543"/>
      <c r="H37" s="751">
        <f t="shared" si="1"/>
        <v>0</v>
      </c>
    </row>
    <row r="38" spans="1:8" ht="15.75">
      <c r="A38" s="566">
        <v>10</v>
      </c>
      <c r="B38" s="749" t="s">
        <v>837</v>
      </c>
      <c r="C38" s="543">
        <f>C39+C40+C41+C42</f>
        <v>389940323.58999997</v>
      </c>
      <c r="D38" s="543">
        <f>D39+D40+D41+D42</f>
        <v>85254077.76492101</v>
      </c>
      <c r="E38" s="742">
        <f t="shared" si="0"/>
        <v>475194401.35492098</v>
      </c>
      <c r="F38" s="543">
        <f>F39+F40+F41+F42</f>
        <v>334320983.43000001</v>
      </c>
      <c r="G38" s="543">
        <f>G39+G40+G41+G42</f>
        <v>88977681.359827995</v>
      </c>
      <c r="H38" s="751">
        <f t="shared" si="1"/>
        <v>423298664.789828</v>
      </c>
    </row>
    <row r="39" spans="1:8" ht="15.75">
      <c r="A39" s="566">
        <v>10.1</v>
      </c>
      <c r="B39" s="744" t="s">
        <v>838</v>
      </c>
      <c r="C39" s="543">
        <v>27283939.870000001</v>
      </c>
      <c r="D39" s="543">
        <v>1625126.75</v>
      </c>
      <c r="E39" s="742">
        <f t="shared" si="0"/>
        <v>28909066.620000001</v>
      </c>
      <c r="F39" s="543">
        <v>54445269.240000002</v>
      </c>
      <c r="G39" s="543">
        <v>11279781.699999999</v>
      </c>
      <c r="H39" s="751">
        <f t="shared" si="1"/>
        <v>65725050.939999998</v>
      </c>
    </row>
    <row r="40" spans="1:8" ht="25.5">
      <c r="A40" s="566">
        <v>10.199999999999999</v>
      </c>
      <c r="B40" s="744" t="s">
        <v>839</v>
      </c>
      <c r="C40" s="543">
        <v>4194248.18</v>
      </c>
      <c r="D40" s="543">
        <v>558373.42466799996</v>
      </c>
      <c r="E40" s="742">
        <f t="shared" si="0"/>
        <v>4752621.6046679998</v>
      </c>
      <c r="F40" s="543">
        <v>5585988.6200000001</v>
      </c>
      <c r="G40" s="543">
        <v>979735.96080999996</v>
      </c>
      <c r="H40" s="751">
        <f t="shared" si="1"/>
        <v>6565724.5808100002</v>
      </c>
    </row>
    <row r="41" spans="1:8" ht="25.5">
      <c r="A41" s="566">
        <v>10.3</v>
      </c>
      <c r="B41" s="744" t="s">
        <v>840</v>
      </c>
      <c r="C41" s="543">
        <v>285746002.83999997</v>
      </c>
      <c r="D41" s="543">
        <v>60538684.600000001</v>
      </c>
      <c r="E41" s="742">
        <f t="shared" si="0"/>
        <v>346284687.44</v>
      </c>
      <c r="F41" s="543">
        <v>216397651.86000001</v>
      </c>
      <c r="G41" s="543">
        <v>59299691.560000002</v>
      </c>
      <c r="H41" s="751">
        <f t="shared" si="1"/>
        <v>275697343.42000002</v>
      </c>
    </row>
    <row r="42" spans="1:8" ht="25.5">
      <c r="A42" s="566">
        <v>10.4</v>
      </c>
      <c r="B42" s="744" t="s">
        <v>841</v>
      </c>
      <c r="C42" s="543">
        <v>72716132.700000003</v>
      </c>
      <c r="D42" s="543">
        <v>22531892.990253001</v>
      </c>
      <c r="E42" s="742">
        <f t="shared" si="0"/>
        <v>95248025.690253004</v>
      </c>
      <c r="F42" s="543">
        <v>57892073.710000001</v>
      </c>
      <c r="G42" s="543">
        <v>17418472.139017999</v>
      </c>
      <c r="H42" s="751">
        <f t="shared" si="1"/>
        <v>75310545.849018008</v>
      </c>
    </row>
    <row r="43" spans="1:8" ht="16.5" thickBot="1">
      <c r="A43" s="567">
        <v>11</v>
      </c>
      <c r="B43" s="752" t="s">
        <v>185</v>
      </c>
      <c r="C43" s="753"/>
      <c r="D43" s="753"/>
      <c r="E43" s="754">
        <f t="shared" si="0"/>
        <v>0</v>
      </c>
      <c r="F43" s="753"/>
      <c r="G43" s="753"/>
      <c r="H43" s="755">
        <f t="shared" si="1"/>
        <v>0</v>
      </c>
    </row>
    <row r="44" spans="1:8" ht="15.75">
      <c r="C44" s="339"/>
      <c r="D44" s="339"/>
      <c r="E44" s="339"/>
      <c r="F44" s="339"/>
      <c r="G44" s="339"/>
      <c r="H44" s="339"/>
    </row>
    <row r="45" spans="1:8" ht="15.75">
      <c r="C45" s="339"/>
      <c r="D45" s="339"/>
      <c r="E45" s="339"/>
      <c r="F45" s="339"/>
      <c r="G45" s="339"/>
      <c r="H45" s="339"/>
    </row>
    <row r="46" spans="1:8" ht="15.75">
      <c r="C46" s="339"/>
      <c r="D46" s="339"/>
      <c r="E46" s="339"/>
      <c r="F46" s="339"/>
      <c r="G46" s="339"/>
      <c r="H46" s="339"/>
    </row>
    <row r="47" spans="1:8" ht="15.75">
      <c r="C47" s="339"/>
      <c r="D47" s="339"/>
      <c r="E47" s="339"/>
      <c r="F47" s="339"/>
      <c r="G47" s="339"/>
      <c r="H47" s="339"/>
    </row>
  </sheetData>
  <mergeCells count="4">
    <mergeCell ref="A4:A5"/>
    <mergeCell ref="B4:B5"/>
    <mergeCell ref="C4:E4"/>
    <mergeCell ref="F4: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sqref="A1:C1"/>
      <selection pane="topRight" sqref="A1:C1"/>
      <selection pane="bottomLeft" sqref="A1:C1"/>
      <selection pane="bottomRight" activeCell="B5" sqref="B5"/>
    </sheetView>
  </sheetViews>
  <sheetFormatPr defaultColWidth="9.140625" defaultRowHeight="12.75"/>
  <cols>
    <col min="1" max="1" width="9.5703125" style="2" bestFit="1" customWidth="1"/>
    <col min="2" max="2" width="93.5703125" style="2" customWidth="1"/>
    <col min="3" max="4" width="12.7109375" style="2" customWidth="1"/>
    <col min="5" max="7" width="11.7109375" style="10" bestFit="1" customWidth="1"/>
    <col min="8" max="8" width="9.7109375" style="10" customWidth="1"/>
    <col min="9" max="16384" width="9.140625" style="10"/>
  </cols>
  <sheetData>
    <row r="1" spans="1:8" ht="15">
      <c r="A1" s="13" t="s">
        <v>108</v>
      </c>
      <c r="B1" s="12" t="str">
        <f>Info!C2</f>
        <v>სს ”საქართველოს ბანკი”</v>
      </c>
      <c r="C1" s="12"/>
      <c r="D1" s="190"/>
    </row>
    <row r="2" spans="1:8" ht="15">
      <c r="A2" s="13" t="s">
        <v>109</v>
      </c>
      <c r="B2" s="275">
        <f>'1. key ratios'!B2</f>
        <v>45199</v>
      </c>
      <c r="C2" s="23"/>
      <c r="D2" s="483">
        <v>0</v>
      </c>
      <c r="E2" s="9"/>
      <c r="F2" s="9"/>
      <c r="G2" s="9"/>
      <c r="H2" s="9"/>
    </row>
    <row r="3" spans="1:8" ht="15">
      <c r="A3" s="13"/>
      <c r="B3" s="12"/>
      <c r="C3" s="23"/>
      <c r="D3" s="14"/>
      <c r="E3" s="9"/>
      <c r="F3" s="9"/>
      <c r="G3" s="9"/>
      <c r="H3" s="9"/>
    </row>
    <row r="4" spans="1:8" ht="15" customHeight="1" thickBot="1">
      <c r="A4" s="114" t="s">
        <v>252</v>
      </c>
      <c r="B4" s="115" t="s">
        <v>107</v>
      </c>
      <c r="C4" s="116" t="s">
        <v>87</v>
      </c>
    </row>
    <row r="5" spans="1:8" ht="15" customHeight="1">
      <c r="A5" s="112" t="s">
        <v>25</v>
      </c>
      <c r="B5" s="113"/>
      <c r="C5" s="273" t="str">
        <f>INT((MONTH($B$2))/3)&amp;"Q"&amp;"-"&amp;YEAR($B$2)</f>
        <v>3Q-2023</v>
      </c>
      <c r="D5" s="273" t="str">
        <f>IF(INT(MONTH($B$2))=3, "4"&amp;"Q"&amp;"-"&amp;YEAR($B$2)-1, IF(INT(MONTH($B$2))=6, "1"&amp;"Q"&amp;"-"&amp;YEAR($B$2), IF(INT(MONTH($B$2))=9, "2"&amp;"Q"&amp;"-"&amp;YEAR($B$2),IF(INT(MONTH($B$2))=12, "3"&amp;"Q"&amp;"-"&amp;YEAR($B$2), 0))))</f>
        <v>2Q-2023</v>
      </c>
      <c r="E5" s="273" t="str">
        <f>IF(INT(MONTH($B$2))=3, "3"&amp;"Q"&amp;"-"&amp;YEAR($B$2)-1, IF(INT(MONTH($B$2))=6, "4"&amp;"Q"&amp;"-"&amp;YEAR($B$2)-1, IF(INT(MONTH($B$2))=9, "1"&amp;"Q"&amp;"-"&amp;YEAR($B$2),IF(INT(MONTH($B$2))=12, "2"&amp;"Q"&amp;"-"&amp;YEAR($B$2), 0))))</f>
        <v>1Q-2023</v>
      </c>
      <c r="F5" s="273" t="str">
        <f>IF(INT(MONTH($B$2))=3, "2"&amp;"Q"&amp;"-"&amp;YEAR($B$2)-1, IF(INT(MONTH($B$2))=6, "3"&amp;"Q"&amp;"-"&amp;YEAR($B$2)-1, IF(INT(MONTH($B$2))=9, "4"&amp;"Q"&amp;"-"&amp;YEAR($B$2)-1,IF(INT(MONTH($B$2))=12, "1"&amp;"Q"&amp;"-"&amp;YEAR($B$2), 0))))</f>
        <v>4Q-2022</v>
      </c>
      <c r="G5" s="273" t="str">
        <f>IF(INT(MONTH($B$2))=3, "1"&amp;"Q"&amp;"-"&amp;YEAR($B$2)-1, IF(INT(MONTH($B$2))=6, "2"&amp;"Q"&amp;"-"&amp;YEAR($B$2)-1, IF(INT(MONTH($B$2))=9, "3"&amp;"Q"&amp;"-"&amp;YEAR($B$2)-1,IF(INT(MONTH($B$2))=12, "4"&amp;"Q"&amp;"-"&amp;YEAR($B$2)-1, 0))))</f>
        <v>3Q-2022</v>
      </c>
    </row>
    <row r="6" spans="1:8" ht="15" customHeight="1">
      <c r="A6" s="217">
        <v>1</v>
      </c>
      <c r="B6" s="264" t="s">
        <v>112</v>
      </c>
      <c r="C6" s="218">
        <f>C7+C9+C10</f>
        <v>18320269657.364441</v>
      </c>
      <c r="D6" s="267">
        <v>17506854489.639347</v>
      </c>
      <c r="E6" s="219">
        <v>17087179299.749371</v>
      </c>
      <c r="F6" s="218">
        <v>17451383093.870884</v>
      </c>
      <c r="G6" s="268">
        <v>17385480990.604816</v>
      </c>
    </row>
    <row r="7" spans="1:8" ht="15" customHeight="1">
      <c r="A7" s="217">
        <v>1.1000000000000001</v>
      </c>
      <c r="B7" s="220" t="s">
        <v>435</v>
      </c>
      <c r="C7" s="221">
        <v>17378289499.983711</v>
      </c>
      <c r="D7" s="221">
        <v>16612623304.026764</v>
      </c>
      <c r="E7" s="221">
        <v>16253110501.412691</v>
      </c>
      <c r="F7" s="221">
        <v>16590135222.602516</v>
      </c>
      <c r="G7" s="221">
        <v>16581105612.659035</v>
      </c>
    </row>
    <row r="8" spans="1:8" ht="25.5">
      <c r="A8" s="217" t="s">
        <v>157</v>
      </c>
      <c r="B8" s="222" t="s">
        <v>249</v>
      </c>
      <c r="C8" s="221">
        <v>148740748.83999997</v>
      </c>
      <c r="D8" s="221">
        <v>148568390.82529998</v>
      </c>
      <c r="E8" s="221">
        <v>148555914.72509998</v>
      </c>
      <c r="F8" s="221">
        <v>151804720.6652</v>
      </c>
      <c r="G8" s="221">
        <v>151781826.95207024</v>
      </c>
    </row>
    <row r="9" spans="1:8" ht="15" customHeight="1">
      <c r="A9" s="217">
        <v>1.2</v>
      </c>
      <c r="B9" s="220" t="s">
        <v>21</v>
      </c>
      <c r="C9" s="221">
        <v>931327317.65896559</v>
      </c>
      <c r="D9" s="221">
        <v>885032059.15962493</v>
      </c>
      <c r="E9" s="221">
        <v>824012837.25019991</v>
      </c>
      <c r="F9" s="221">
        <v>845605725.42429984</v>
      </c>
      <c r="G9" s="221">
        <v>792046718.06011248</v>
      </c>
    </row>
    <row r="10" spans="1:8" ht="15" customHeight="1">
      <c r="A10" s="217">
        <v>1.3</v>
      </c>
      <c r="B10" s="265" t="s">
        <v>74</v>
      </c>
      <c r="C10" s="221">
        <v>10652839.721764</v>
      </c>
      <c r="D10" s="221">
        <v>9199126.4529559985</v>
      </c>
      <c r="E10" s="221">
        <v>10055961.086479401</v>
      </c>
      <c r="F10" s="221">
        <v>15642145.844064999</v>
      </c>
      <c r="G10" s="221">
        <v>12328659.885669002</v>
      </c>
    </row>
    <row r="11" spans="1:8" ht="15" customHeight="1">
      <c r="A11" s="217">
        <v>2</v>
      </c>
      <c r="B11" s="264" t="s">
        <v>113</v>
      </c>
      <c r="C11" s="221">
        <v>54126010.892461874</v>
      </c>
      <c r="D11" s="221">
        <v>90265974.725985453</v>
      </c>
      <c r="E11" s="221">
        <v>35275073.636974022</v>
      </c>
      <c r="F11" s="221">
        <v>108999294.88707557</v>
      </c>
      <c r="G11" s="221">
        <v>95876354.65144597</v>
      </c>
    </row>
    <row r="12" spans="1:8" ht="15" customHeight="1">
      <c r="A12" s="232">
        <v>3</v>
      </c>
      <c r="B12" s="266" t="s">
        <v>111</v>
      </c>
      <c r="C12" s="221">
        <v>2507003750</v>
      </c>
      <c r="D12" s="221">
        <v>2507003750</v>
      </c>
      <c r="E12" s="221">
        <v>2507003750</v>
      </c>
      <c r="F12" s="221">
        <v>2507003750</v>
      </c>
      <c r="G12" s="221">
        <v>2006159999.9999998</v>
      </c>
    </row>
    <row r="13" spans="1:8" ht="15" customHeight="1" thickBot="1">
      <c r="A13" s="62">
        <v>4</v>
      </c>
      <c r="B13" s="271" t="s">
        <v>158</v>
      </c>
      <c r="C13" s="131">
        <f>C6+C11+C12</f>
        <v>20881399418.256905</v>
      </c>
      <c r="D13" s="269">
        <v>20104124214.365334</v>
      </c>
      <c r="E13" s="132">
        <v>19629458123.386345</v>
      </c>
      <c r="F13" s="131">
        <v>20067386138.757961</v>
      </c>
      <c r="G13" s="270">
        <v>19487517345.256264</v>
      </c>
    </row>
    <row r="14" spans="1:8">
      <c r="B14" s="19"/>
    </row>
    <row r="15" spans="1:8" ht="25.5">
      <c r="B15" s="44" t="s">
        <v>436</v>
      </c>
      <c r="C15" s="482"/>
      <c r="D15" s="482"/>
      <c r="E15" s="482"/>
      <c r="F15" s="482"/>
      <c r="G15" s="482"/>
    </row>
    <row r="16" spans="1:8">
      <c r="B16" s="44"/>
    </row>
    <row r="17" spans="2:2">
      <c r="B17" s="44"/>
    </row>
    <row r="18" spans="2:2">
      <c r="B18" s="44"/>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3"/>
  <sheetViews>
    <sheetView showGridLines="0" zoomScaleNormal="100" workbookViewId="0">
      <pane xSplit="1" ySplit="4" topLeftCell="B5" activePane="bottomRight" state="frozen"/>
      <selection sqref="A1:C1"/>
      <selection pane="topRight" sqref="A1:C1"/>
      <selection pane="bottomLeft" sqref="A1:C1"/>
      <selection pane="bottomRight" activeCell="B5" sqref="B5"/>
    </sheetView>
  </sheetViews>
  <sheetFormatPr defaultRowHeight="15"/>
  <cols>
    <col min="1" max="1" width="9.5703125" style="2" bestFit="1" customWidth="1"/>
    <col min="2" max="2" width="58.85546875" style="2" customWidth="1"/>
    <col min="3" max="3" width="118.7109375" style="2" customWidth="1"/>
  </cols>
  <sheetData>
    <row r="1" spans="1:3">
      <c r="A1" s="2" t="s">
        <v>108</v>
      </c>
      <c r="B1" s="190" t="str">
        <f>Info!C2</f>
        <v>სს ”საქართველოს ბანკი”</v>
      </c>
    </row>
    <row r="2" spans="1:3">
      <c r="A2" s="2" t="s">
        <v>109</v>
      </c>
      <c r="B2" s="275">
        <f>'1. key ratios'!B2</f>
        <v>45199</v>
      </c>
    </row>
    <row r="4" spans="1:3" ht="30.75" thickBot="1">
      <c r="A4" s="128" t="s">
        <v>253</v>
      </c>
      <c r="B4" s="25" t="s">
        <v>91</v>
      </c>
      <c r="C4" s="11"/>
    </row>
    <row r="5" spans="1:3" ht="15.75">
      <c r="A5" s="8"/>
      <c r="B5" s="713" t="s">
        <v>92</v>
      </c>
      <c r="C5" s="272" t="s">
        <v>449</v>
      </c>
    </row>
    <row r="6" spans="1:3">
      <c r="A6" s="714">
        <v>1</v>
      </c>
      <c r="B6" s="571" t="s">
        <v>960</v>
      </c>
      <c r="C6" s="572" t="s">
        <v>961</v>
      </c>
    </row>
    <row r="7" spans="1:3">
      <c r="A7" s="714">
        <v>2</v>
      </c>
      <c r="B7" s="573" t="s">
        <v>962</v>
      </c>
      <c r="C7" s="572" t="s">
        <v>963</v>
      </c>
    </row>
    <row r="8" spans="1:3">
      <c r="A8" s="714">
        <v>3</v>
      </c>
      <c r="B8" s="573" t="s">
        <v>964</v>
      </c>
      <c r="C8" s="572" t="s">
        <v>963</v>
      </c>
    </row>
    <row r="9" spans="1:3">
      <c r="A9" s="714">
        <v>4</v>
      </c>
      <c r="B9" s="573" t="s">
        <v>965</v>
      </c>
      <c r="C9" s="572" t="s">
        <v>963</v>
      </c>
    </row>
    <row r="10" spans="1:3">
      <c r="A10" s="714">
        <v>5</v>
      </c>
      <c r="B10" s="573" t="s">
        <v>966</v>
      </c>
      <c r="C10" s="572" t="s">
        <v>967</v>
      </c>
    </row>
    <row r="11" spans="1:3">
      <c r="A11" s="714">
        <v>6</v>
      </c>
      <c r="B11" s="573" t="s">
        <v>968</v>
      </c>
      <c r="C11" s="572" t="s">
        <v>967</v>
      </c>
    </row>
    <row r="12" spans="1:3">
      <c r="A12" s="714">
        <v>7</v>
      </c>
      <c r="B12" s="573" t="s">
        <v>969</v>
      </c>
      <c r="C12" s="572" t="s">
        <v>967</v>
      </c>
    </row>
    <row r="13" spans="1:3">
      <c r="A13" s="714">
        <v>8</v>
      </c>
      <c r="B13" s="573" t="s">
        <v>970</v>
      </c>
      <c r="C13" s="572" t="s">
        <v>967</v>
      </c>
    </row>
    <row r="14" spans="1:3">
      <c r="A14" s="714"/>
      <c r="B14" s="709"/>
      <c r="C14" s="715"/>
    </row>
    <row r="15" spans="1:3">
      <c r="A15" s="714"/>
      <c r="B15" s="709"/>
      <c r="C15" s="715"/>
    </row>
    <row r="16" spans="1:3">
      <c r="A16" s="714"/>
      <c r="B16" s="794"/>
      <c r="C16" s="795"/>
    </row>
    <row r="17" spans="1:3">
      <c r="A17" s="714"/>
      <c r="B17" s="710" t="s">
        <v>93</v>
      </c>
      <c r="C17" s="716" t="s">
        <v>450</v>
      </c>
    </row>
    <row r="18" spans="1:3">
      <c r="A18" s="714">
        <v>1</v>
      </c>
      <c r="B18" s="574" t="s">
        <v>971</v>
      </c>
      <c r="C18" s="575" t="s">
        <v>972</v>
      </c>
    </row>
    <row r="19" spans="1:3">
      <c r="A19" s="714">
        <v>2</v>
      </c>
      <c r="B19" s="574" t="s">
        <v>973</v>
      </c>
      <c r="C19" s="575" t="s">
        <v>974</v>
      </c>
    </row>
    <row r="20" spans="1:3">
      <c r="A20" s="714">
        <v>3</v>
      </c>
      <c r="B20" s="576" t="s">
        <v>975</v>
      </c>
      <c r="C20" s="577" t="s">
        <v>974</v>
      </c>
    </row>
    <row r="21" spans="1:3">
      <c r="A21" s="714">
        <v>4</v>
      </c>
      <c r="B21" s="576" t="s">
        <v>976</v>
      </c>
      <c r="C21" s="577" t="s">
        <v>977</v>
      </c>
    </row>
    <row r="22" spans="1:3">
      <c r="A22" s="714">
        <v>5</v>
      </c>
      <c r="B22" s="576" t="s">
        <v>978</v>
      </c>
      <c r="C22" s="577" t="s">
        <v>979</v>
      </c>
    </row>
    <row r="23" spans="1:3">
      <c r="A23" s="714">
        <v>6</v>
      </c>
      <c r="B23" s="576" t="s">
        <v>980</v>
      </c>
      <c r="C23" s="577" t="s">
        <v>981</v>
      </c>
    </row>
    <row r="24" spans="1:3">
      <c r="A24" s="714">
        <v>7</v>
      </c>
      <c r="B24" s="576" t="s">
        <v>982</v>
      </c>
      <c r="C24" s="577" t="s">
        <v>983</v>
      </c>
    </row>
    <row r="25" spans="1:3" ht="15.75">
      <c r="A25" s="714"/>
      <c r="B25" s="711"/>
      <c r="C25" s="717"/>
    </row>
    <row r="26" spans="1:3" ht="15.75">
      <c r="A26" s="714"/>
      <c r="B26" s="711"/>
      <c r="C26" s="718"/>
    </row>
    <row r="27" spans="1:3" ht="15.75">
      <c r="A27" s="714"/>
      <c r="B27" s="711"/>
      <c r="C27" s="718"/>
    </row>
    <row r="28" spans="1:3">
      <c r="A28" s="714"/>
      <c r="B28" s="798" t="s">
        <v>94</v>
      </c>
      <c r="C28" s="799"/>
    </row>
    <row r="29" spans="1:3" ht="15.75">
      <c r="A29" s="714">
        <v>1</v>
      </c>
      <c r="B29" s="578" t="s">
        <v>984</v>
      </c>
      <c r="C29" s="579">
        <v>0.19770973014647777</v>
      </c>
    </row>
    <row r="30" spans="1:3" ht="15.75">
      <c r="A30" s="714">
        <v>2</v>
      </c>
      <c r="B30" s="578" t="s">
        <v>985</v>
      </c>
      <c r="C30" s="579">
        <v>0.79746588536319085</v>
      </c>
    </row>
    <row r="31" spans="1:3">
      <c r="A31" s="714"/>
      <c r="B31" s="796" t="s">
        <v>986</v>
      </c>
      <c r="C31" s="797"/>
    </row>
    <row r="32" spans="1:3">
      <c r="A32" s="714">
        <v>1</v>
      </c>
      <c r="B32" s="712" t="s">
        <v>987</v>
      </c>
      <c r="C32" s="579">
        <v>0.19623006328492931</v>
      </c>
    </row>
    <row r="33" spans="1:3" ht="15.75" thickBot="1">
      <c r="A33" s="719">
        <v>2</v>
      </c>
      <c r="B33" s="720" t="s">
        <v>1010</v>
      </c>
      <c r="C33" s="579">
        <v>5.0027264674993251E-2</v>
      </c>
    </row>
  </sheetData>
  <mergeCells count="3">
    <mergeCell ref="B16:C16"/>
    <mergeCell ref="B31:C31"/>
    <mergeCell ref="B28:C28"/>
  </mergeCells>
  <dataValidations count="2">
    <dataValidation type="list" allowBlank="1" showInputMessage="1" showErrorMessage="1" sqref="C14: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 type="list" allowBlank="1" showInputMessage="1" showErrorMessage="1" sqref="C6:C13">
      <formula1>"დამოუკიდებელი წევრი, არადამოუკიდებელი წევრი, თავმჯდომარე, 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zoomScaleNormal="100" workbookViewId="0">
      <pane xSplit="1" ySplit="5" topLeftCell="B6" activePane="bottomRight" state="frozen"/>
      <selection sqref="A1:C1"/>
      <selection pane="topRight" sqref="A1:C1"/>
      <selection pane="bottomLeft" sqref="A1:C1"/>
      <selection pane="bottomRight" activeCell="B6" sqref="B6:B7"/>
    </sheetView>
  </sheetViews>
  <sheetFormatPr defaultRowHeight="15"/>
  <cols>
    <col min="1" max="1" width="9.5703125" style="2" bestFit="1" customWidth="1"/>
    <col min="2" max="2" width="74.5703125" style="2" customWidth="1"/>
    <col min="3" max="3" width="28" style="590" customWidth="1"/>
    <col min="4" max="4" width="25.5703125" style="590" customWidth="1"/>
    <col min="5" max="5" width="31.140625" style="590" customWidth="1"/>
    <col min="6" max="6" width="12" bestFit="1" customWidth="1"/>
    <col min="7" max="7" width="12.5703125" bestFit="1" customWidth="1"/>
  </cols>
  <sheetData>
    <row r="1" spans="1:7" ht="15.75">
      <c r="A1" s="13" t="s">
        <v>108</v>
      </c>
      <c r="B1" s="12" t="str">
        <f>Info!C2</f>
        <v>სს ”საქართველოს ბანკი”</v>
      </c>
    </row>
    <row r="2" spans="1:7" s="17" customFormat="1">
      <c r="A2" s="17" t="s">
        <v>109</v>
      </c>
      <c r="B2" s="275">
        <f>'1. key ratios'!B2</f>
        <v>45199</v>
      </c>
      <c r="C2" s="591"/>
      <c r="D2" s="591"/>
      <c r="E2" s="591"/>
    </row>
    <row r="3" spans="1:7" s="17" customFormat="1">
      <c r="C3" s="591"/>
      <c r="D3" s="591"/>
      <c r="E3" s="591"/>
    </row>
    <row r="4" spans="1:7" s="17" customFormat="1" ht="15.75" thickBot="1">
      <c r="A4" s="17" t="s">
        <v>254</v>
      </c>
      <c r="B4" s="646" t="s">
        <v>168</v>
      </c>
      <c r="C4" s="591"/>
      <c r="D4" s="591"/>
      <c r="E4" s="592" t="s">
        <v>87</v>
      </c>
    </row>
    <row r="5" spans="1:7" s="59" customFormat="1" ht="12.75">
      <c r="A5" s="199"/>
      <c r="B5" s="200"/>
      <c r="C5" s="593" t="s">
        <v>0</v>
      </c>
      <c r="D5" s="593" t="s">
        <v>1</v>
      </c>
      <c r="E5" s="594" t="s">
        <v>2</v>
      </c>
    </row>
    <row r="6" spans="1:7" s="66" customFormat="1">
      <c r="A6" s="650"/>
      <c r="B6" s="800" t="s">
        <v>144</v>
      </c>
      <c r="C6" s="801" t="s">
        <v>855</v>
      </c>
      <c r="D6" s="802" t="s">
        <v>143</v>
      </c>
      <c r="E6" s="803"/>
      <c r="G6"/>
    </row>
    <row r="7" spans="1:7" s="66" customFormat="1" ht="63.75">
      <c r="A7" s="650"/>
      <c r="B7" s="800"/>
      <c r="C7" s="801"/>
      <c r="D7" s="647" t="s">
        <v>142</v>
      </c>
      <c r="E7" s="651" t="s">
        <v>352</v>
      </c>
      <c r="G7"/>
    </row>
    <row r="8" spans="1:7" s="66" customFormat="1" ht="21">
      <c r="A8" s="637">
        <v>1</v>
      </c>
      <c r="B8" s="546" t="s">
        <v>842</v>
      </c>
      <c r="C8" s="648">
        <f>SUM(C9:C11)</f>
        <v>4274902718.1064005</v>
      </c>
      <c r="D8" s="648">
        <f t="shared" ref="D8:E8" si="0">SUM(D9:D11)</f>
        <v>0</v>
      </c>
      <c r="E8" s="652">
        <f t="shared" si="0"/>
        <v>4274902718.1064005</v>
      </c>
      <c r="G8"/>
    </row>
    <row r="9" spans="1:7" s="66" customFormat="1">
      <c r="A9" s="637">
        <v>1.1000000000000001</v>
      </c>
      <c r="B9" s="548" t="s">
        <v>96</v>
      </c>
      <c r="C9" s="648">
        <f>'2. SOFP'!E8</f>
        <v>790475911.34199989</v>
      </c>
      <c r="D9" s="648"/>
      <c r="E9" s="595">
        <f>C9-D9</f>
        <v>790475911.34199989</v>
      </c>
      <c r="G9"/>
    </row>
    <row r="10" spans="1:7" s="66" customFormat="1">
      <c r="A10" s="637">
        <v>1.2</v>
      </c>
      <c r="B10" s="548" t="s">
        <v>97</v>
      </c>
      <c r="C10" s="648">
        <f>'2. SOFP'!E9</f>
        <v>2541080989.4400001</v>
      </c>
      <c r="D10" s="648"/>
      <c r="E10" s="595">
        <f t="shared" ref="E10:E36" si="1">C10-D10</f>
        <v>2541080989.4400001</v>
      </c>
      <c r="G10"/>
    </row>
    <row r="11" spans="1:7" s="66" customFormat="1">
      <c r="A11" s="637">
        <v>1.3</v>
      </c>
      <c r="B11" s="548" t="s">
        <v>98</v>
      </c>
      <c r="C11" s="648">
        <f>'2. SOFP'!E10</f>
        <v>943345817.32440031</v>
      </c>
      <c r="D11" s="648"/>
      <c r="E11" s="595">
        <f t="shared" si="1"/>
        <v>943345817.32440031</v>
      </c>
      <c r="G11"/>
    </row>
    <row r="12" spans="1:7" s="66" customFormat="1">
      <c r="A12" s="637">
        <v>2</v>
      </c>
      <c r="B12" s="549" t="s">
        <v>729</v>
      </c>
      <c r="C12" s="648">
        <f>'2. SOFP'!E11</f>
        <v>48992907.440000005</v>
      </c>
      <c r="D12" s="648"/>
      <c r="E12" s="595">
        <f t="shared" si="1"/>
        <v>48992907.440000005</v>
      </c>
      <c r="G12"/>
    </row>
    <row r="13" spans="1:7" s="66" customFormat="1">
      <c r="A13" s="637">
        <v>2.1</v>
      </c>
      <c r="B13" s="550" t="s">
        <v>730</v>
      </c>
      <c r="C13" s="648">
        <f>'2. SOFP'!E12</f>
        <v>48992907.440000005</v>
      </c>
      <c r="D13" s="648"/>
      <c r="E13" s="595">
        <f t="shared" si="1"/>
        <v>48992907.440000005</v>
      </c>
      <c r="G13"/>
    </row>
    <row r="14" spans="1:7" s="66" customFormat="1" ht="21">
      <c r="A14" s="637">
        <v>3</v>
      </c>
      <c r="B14" s="551" t="s">
        <v>731</v>
      </c>
      <c r="C14" s="648">
        <f>'2. SOFP'!E13</f>
        <v>0</v>
      </c>
      <c r="D14" s="648"/>
      <c r="E14" s="595">
        <f t="shared" si="1"/>
        <v>0</v>
      </c>
      <c r="G14"/>
    </row>
    <row r="15" spans="1:7" s="66" customFormat="1" ht="21">
      <c r="A15" s="637">
        <v>4</v>
      </c>
      <c r="B15" s="552" t="s">
        <v>732</v>
      </c>
      <c r="C15" s="648">
        <f>'2. SOFP'!E14</f>
        <v>0</v>
      </c>
      <c r="D15" s="648"/>
      <c r="E15" s="595">
        <f t="shared" si="1"/>
        <v>0</v>
      </c>
      <c r="G15"/>
    </row>
    <row r="16" spans="1:7" s="66" customFormat="1" ht="21">
      <c r="A16" s="637">
        <v>5</v>
      </c>
      <c r="B16" s="552" t="s">
        <v>733</v>
      </c>
      <c r="C16" s="648">
        <f>SUM(C17:C19)</f>
        <v>4525415858.8349991</v>
      </c>
      <c r="D16" s="648">
        <f t="shared" ref="D16:E16" si="2">SUM(D17:D19)</f>
        <v>5775971.9944000002</v>
      </c>
      <c r="E16" s="652">
        <f t="shared" si="2"/>
        <v>4519639886.8405991</v>
      </c>
      <c r="G16"/>
    </row>
    <row r="17" spans="1:7" s="66" customFormat="1">
      <c r="A17" s="637">
        <v>5.0999999999999996</v>
      </c>
      <c r="B17" s="554" t="s">
        <v>734</v>
      </c>
      <c r="C17" s="648">
        <f>'2. SOFP'!E16</f>
        <v>6545939.3944000006</v>
      </c>
      <c r="D17" s="648">
        <f>'9. Capital'!C18</f>
        <v>5775971.9944000002</v>
      </c>
      <c r="E17" s="595">
        <f t="shared" si="1"/>
        <v>769967.40000000037</v>
      </c>
      <c r="G17"/>
    </row>
    <row r="18" spans="1:7" s="66" customFormat="1">
      <c r="A18" s="637">
        <v>5.2</v>
      </c>
      <c r="B18" s="554" t="s">
        <v>568</v>
      </c>
      <c r="C18" s="648">
        <f>'2. SOFP'!E17</f>
        <v>4518869919.4405994</v>
      </c>
      <c r="D18" s="648"/>
      <c r="E18" s="595">
        <f t="shared" si="1"/>
        <v>4518869919.4405994</v>
      </c>
      <c r="G18"/>
    </row>
    <row r="19" spans="1:7" s="66" customFormat="1">
      <c r="A19" s="637">
        <v>5.3</v>
      </c>
      <c r="B19" s="554" t="s">
        <v>735</v>
      </c>
      <c r="C19" s="648">
        <f>'2. SOFP'!E18</f>
        <v>0</v>
      </c>
      <c r="D19" s="648"/>
      <c r="E19" s="595">
        <f t="shared" si="1"/>
        <v>0</v>
      </c>
      <c r="G19"/>
    </row>
    <row r="20" spans="1:7" s="66" customFormat="1">
      <c r="A20" s="637">
        <v>6</v>
      </c>
      <c r="B20" s="551" t="s">
        <v>736</v>
      </c>
      <c r="C20" s="648">
        <f>SUM(C21:C22)</f>
        <v>18631154877.632298</v>
      </c>
      <c r="D20" s="648">
        <f t="shared" ref="D20:E20" si="3">SUM(D21:D22)</f>
        <v>0</v>
      </c>
      <c r="E20" s="652">
        <f t="shared" si="3"/>
        <v>18631154877.632298</v>
      </c>
      <c r="G20"/>
    </row>
    <row r="21" spans="1:7">
      <c r="A21" s="637">
        <v>6.1</v>
      </c>
      <c r="B21" s="554" t="s">
        <v>568</v>
      </c>
      <c r="C21" s="648">
        <f>'2. SOFP'!E20</f>
        <v>485255490.83230001</v>
      </c>
      <c r="D21" s="649"/>
      <c r="E21" s="595">
        <f t="shared" si="1"/>
        <v>485255490.83230001</v>
      </c>
    </row>
    <row r="22" spans="1:7">
      <c r="A22" s="637">
        <v>6.2</v>
      </c>
      <c r="B22" s="554" t="s">
        <v>735</v>
      </c>
      <c r="C22" s="648">
        <f>'2. SOFP'!E21</f>
        <v>18145899386.799999</v>
      </c>
      <c r="D22" s="649"/>
      <c r="E22" s="595">
        <f t="shared" si="1"/>
        <v>18145899386.799999</v>
      </c>
    </row>
    <row r="23" spans="1:7">
      <c r="A23" s="637">
        <v>7</v>
      </c>
      <c r="B23" s="555" t="s">
        <v>737</v>
      </c>
      <c r="C23" s="648">
        <f>'2. SOFP'!E22</f>
        <v>157362371.54397023</v>
      </c>
      <c r="D23" s="596">
        <v>9283286.8639702518</v>
      </c>
      <c r="E23" s="595">
        <f t="shared" si="1"/>
        <v>148079084.67999998</v>
      </c>
    </row>
    <row r="24" spans="1:7">
      <c r="A24" s="637">
        <v>8</v>
      </c>
      <c r="B24" s="555" t="s">
        <v>738</v>
      </c>
      <c r="C24" s="648">
        <f>'2. SOFP'!E23</f>
        <v>28795295.039999999</v>
      </c>
      <c r="D24" s="596">
        <v>0</v>
      </c>
      <c r="E24" s="595">
        <f t="shared" si="1"/>
        <v>28795295.039999999</v>
      </c>
    </row>
    <row r="25" spans="1:7">
      <c r="A25" s="637">
        <v>9</v>
      </c>
      <c r="B25" s="552" t="s">
        <v>739</v>
      </c>
      <c r="C25" s="649">
        <f>SUM(C26:C27)</f>
        <v>627020924.80000007</v>
      </c>
      <c r="D25" s="649">
        <f t="shared" ref="D25:E25" si="4">SUM(D26:D27)</f>
        <v>2358668.17</v>
      </c>
      <c r="E25" s="653">
        <f t="shared" si="4"/>
        <v>624662256.63</v>
      </c>
    </row>
    <row r="26" spans="1:7">
      <c r="A26" s="637">
        <v>9.1</v>
      </c>
      <c r="B26" s="556" t="s">
        <v>740</v>
      </c>
      <c r="C26" s="648">
        <f>'2. SOFP'!E25</f>
        <v>498173902.73000002</v>
      </c>
      <c r="D26" s="649">
        <f>'2. SOFP'!E64</f>
        <v>2358668.17</v>
      </c>
      <c r="E26" s="595">
        <f t="shared" si="1"/>
        <v>495815234.56</v>
      </c>
    </row>
    <row r="27" spans="1:7">
      <c r="A27" s="637">
        <v>9.1999999999999993</v>
      </c>
      <c r="B27" s="556" t="s">
        <v>741</v>
      </c>
      <c r="C27" s="648">
        <f>'2. SOFP'!E26</f>
        <v>128847022.07000001</v>
      </c>
      <c r="D27" s="649"/>
      <c r="E27" s="595">
        <f t="shared" si="1"/>
        <v>128847022.07000001</v>
      </c>
    </row>
    <row r="28" spans="1:7">
      <c r="A28" s="637">
        <v>10</v>
      </c>
      <c r="B28" s="552" t="s">
        <v>36</v>
      </c>
      <c r="C28" s="649">
        <f>SUM(C29:C30)</f>
        <v>164932492.87</v>
      </c>
      <c r="D28" s="649">
        <f t="shared" ref="D28:E28" si="5">SUM(D29:D30)</f>
        <v>164932492.87</v>
      </c>
      <c r="E28" s="653">
        <f t="shared" si="5"/>
        <v>0</v>
      </c>
    </row>
    <row r="29" spans="1:7">
      <c r="A29" s="637">
        <v>10.1</v>
      </c>
      <c r="B29" s="556" t="s">
        <v>742</v>
      </c>
      <c r="C29" s="648">
        <f>'2. SOFP'!E28</f>
        <v>33331342.84</v>
      </c>
      <c r="D29" s="649">
        <f>C29</f>
        <v>33331342.84</v>
      </c>
      <c r="E29" s="595">
        <f t="shared" si="1"/>
        <v>0</v>
      </c>
    </row>
    <row r="30" spans="1:7">
      <c r="A30" s="637">
        <v>10.199999999999999</v>
      </c>
      <c r="B30" s="556" t="s">
        <v>743</v>
      </c>
      <c r="C30" s="648">
        <f>'2. SOFP'!E29</f>
        <v>131601150.03</v>
      </c>
      <c r="D30" s="649">
        <f>C30</f>
        <v>131601150.03</v>
      </c>
      <c r="E30" s="595">
        <f t="shared" si="1"/>
        <v>0</v>
      </c>
    </row>
    <row r="31" spans="1:7">
      <c r="A31" s="637">
        <v>11</v>
      </c>
      <c r="B31" s="552" t="s">
        <v>744</v>
      </c>
      <c r="C31" s="649">
        <f>SUM(C32:C33)</f>
        <v>0</v>
      </c>
      <c r="D31" s="649">
        <f t="shared" ref="D31:E31" si="6">SUM(D32:D33)</f>
        <v>0</v>
      </c>
      <c r="E31" s="653">
        <f t="shared" si="6"/>
        <v>0</v>
      </c>
    </row>
    <row r="32" spans="1:7">
      <c r="A32" s="637">
        <v>11.1</v>
      </c>
      <c r="B32" s="556" t="s">
        <v>745</v>
      </c>
      <c r="C32" s="648">
        <f>'2. SOFP'!E31</f>
        <v>0</v>
      </c>
      <c r="D32" s="649"/>
      <c r="E32" s="595">
        <f t="shared" si="1"/>
        <v>0</v>
      </c>
    </row>
    <row r="33" spans="1:7">
      <c r="A33" s="637">
        <v>11.2</v>
      </c>
      <c r="B33" s="556" t="s">
        <v>746</v>
      </c>
      <c r="C33" s="648">
        <f>'2. SOFP'!E32</f>
        <v>0</v>
      </c>
      <c r="D33" s="649"/>
      <c r="E33" s="595">
        <f t="shared" si="1"/>
        <v>0</v>
      </c>
    </row>
    <row r="34" spans="1:7">
      <c r="A34" s="637">
        <v>13</v>
      </c>
      <c r="B34" s="552" t="s">
        <v>99</v>
      </c>
      <c r="C34" s="648">
        <f>'2. SOFP'!E33</f>
        <v>572628973.27639961</v>
      </c>
      <c r="D34" s="649"/>
      <c r="E34" s="595">
        <f t="shared" si="1"/>
        <v>572628973.27639961</v>
      </c>
    </row>
    <row r="35" spans="1:7">
      <c r="A35" s="637">
        <v>13.1</v>
      </c>
      <c r="B35" s="557" t="s">
        <v>747</v>
      </c>
      <c r="C35" s="648">
        <f>'2. SOFP'!E34</f>
        <v>228099382.21000001</v>
      </c>
      <c r="D35" s="649"/>
      <c r="E35" s="595">
        <f t="shared" si="1"/>
        <v>228099382.21000001</v>
      </c>
    </row>
    <row r="36" spans="1:7">
      <c r="A36" s="637">
        <v>13.2</v>
      </c>
      <c r="B36" s="557" t="s">
        <v>748</v>
      </c>
      <c r="C36" s="648">
        <f>'2. SOFP'!E35</f>
        <v>0</v>
      </c>
      <c r="D36" s="649"/>
      <c r="E36" s="595">
        <f t="shared" si="1"/>
        <v>0</v>
      </c>
    </row>
    <row r="37" spans="1:7" ht="26.25" thickBot="1">
      <c r="A37" s="654"/>
      <c r="B37" s="655" t="s">
        <v>319</v>
      </c>
      <c r="C37" s="656">
        <f>SUM(C8,C12,C14,C15,C16,C20,C23,C24,C25,C28,C31,C34)</f>
        <v>29031206419.544067</v>
      </c>
      <c r="D37" s="656">
        <f t="shared" ref="D37:E37" si="7">SUM(D8,D12,D14,D15,D16,D20,D23,D24,D25,D28,D31,D34)</f>
        <v>182350419.89837027</v>
      </c>
      <c r="E37" s="657">
        <f t="shared" si="7"/>
        <v>28848855999.645699</v>
      </c>
      <c r="F37" s="484"/>
    </row>
    <row r="38" spans="1:7">
      <c r="A38"/>
      <c r="B38"/>
      <c r="C38" s="597"/>
      <c r="D38" s="597"/>
      <c r="E38" s="597"/>
    </row>
    <row r="39" spans="1:7">
      <c r="A39"/>
      <c r="B39"/>
      <c r="C39" s="597"/>
      <c r="D39" s="597"/>
      <c r="E39" s="597"/>
    </row>
    <row r="41" spans="1:7" s="2" customFormat="1">
      <c r="B41" s="27"/>
      <c r="C41" s="590"/>
      <c r="D41" s="590"/>
      <c r="E41" s="590"/>
      <c r="F41"/>
      <c r="G41"/>
    </row>
    <row r="42" spans="1:7" s="2" customFormat="1">
      <c r="B42" s="28"/>
      <c r="C42" s="590"/>
      <c r="D42" s="590"/>
      <c r="E42" s="590"/>
      <c r="F42"/>
      <c r="G42"/>
    </row>
    <row r="43" spans="1:7" s="2" customFormat="1">
      <c r="B43" s="27"/>
      <c r="C43" s="590"/>
      <c r="D43" s="590"/>
      <c r="E43" s="590"/>
      <c r="F43"/>
      <c r="G43"/>
    </row>
    <row r="44" spans="1:7" s="2" customFormat="1">
      <c r="B44" s="27"/>
      <c r="C44" s="590"/>
      <c r="D44" s="590"/>
      <c r="E44" s="590"/>
      <c r="F44"/>
      <c r="G44"/>
    </row>
    <row r="45" spans="1:7" s="2" customFormat="1">
      <c r="B45" s="27"/>
      <c r="C45" s="590"/>
      <c r="D45" s="590"/>
      <c r="E45" s="590"/>
      <c r="F45"/>
      <c r="G45"/>
    </row>
    <row r="46" spans="1:7" s="2" customFormat="1">
      <c r="B46" s="27"/>
      <c r="C46" s="590"/>
      <c r="D46" s="590"/>
      <c r="E46" s="590"/>
      <c r="F46"/>
      <c r="G46"/>
    </row>
    <row r="47" spans="1:7" s="2" customFormat="1">
      <c r="B47" s="27"/>
      <c r="C47" s="590"/>
      <c r="D47" s="590"/>
      <c r="E47" s="590"/>
      <c r="F47"/>
      <c r="G47"/>
    </row>
    <row r="48" spans="1:7" s="2" customFormat="1">
      <c r="B48" s="28"/>
      <c r="C48" s="590"/>
      <c r="D48" s="590"/>
      <c r="E48" s="590"/>
      <c r="F48"/>
      <c r="G48"/>
    </row>
    <row r="49" spans="2:7" s="2" customFormat="1">
      <c r="B49" s="28"/>
      <c r="C49" s="590"/>
      <c r="D49" s="590"/>
      <c r="E49" s="590"/>
      <c r="F49"/>
      <c r="G49"/>
    </row>
    <row r="50" spans="2:7" s="2" customFormat="1">
      <c r="B50" s="28"/>
      <c r="C50" s="590"/>
      <c r="D50" s="590"/>
      <c r="E50" s="590"/>
      <c r="F50"/>
      <c r="G50"/>
    </row>
    <row r="51" spans="2:7" s="2" customFormat="1">
      <c r="B51" s="28"/>
      <c r="C51" s="590"/>
      <c r="D51" s="590"/>
      <c r="E51" s="590"/>
      <c r="F51"/>
      <c r="G51"/>
    </row>
    <row r="52" spans="2:7" s="2" customFormat="1">
      <c r="B52" s="28"/>
      <c r="C52" s="590"/>
      <c r="D52" s="590"/>
      <c r="E52" s="590"/>
      <c r="F52"/>
      <c r="G52"/>
    </row>
    <row r="53" spans="2:7" s="2" customFormat="1">
      <c r="B53" s="28"/>
      <c r="C53" s="590"/>
      <c r="D53" s="590"/>
      <c r="E53" s="590"/>
      <c r="F53"/>
      <c r="G53"/>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sqref="A1:C1"/>
      <selection pane="topRight" sqref="A1:C1"/>
      <selection pane="bottomLeft" sqref="A1:C1"/>
      <selection pane="bottomRight" activeCell="B5" sqref="B5"/>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3" t="s">
        <v>108</v>
      </c>
      <c r="B1" s="12" t="str">
        <f>Info!C2</f>
        <v>სს ”საქართველოს ბანკი”</v>
      </c>
    </row>
    <row r="2" spans="1:6" s="17" customFormat="1" ht="15.75" customHeight="1">
      <c r="A2" s="17" t="s">
        <v>109</v>
      </c>
      <c r="B2" s="275">
        <f>'1. key ratios'!B2</f>
        <v>45199</v>
      </c>
      <c r="C2"/>
      <c r="D2"/>
      <c r="E2"/>
      <c r="F2"/>
    </row>
    <row r="3" spans="1:6" s="17" customFormat="1" ht="15.75" customHeight="1">
      <c r="C3"/>
      <c r="D3"/>
      <c r="E3"/>
      <c r="F3"/>
    </row>
    <row r="4" spans="1:6" s="17" customFormat="1" ht="26.25" thickBot="1">
      <c r="A4" s="17" t="s">
        <v>255</v>
      </c>
      <c r="B4" s="103" t="s">
        <v>171</v>
      </c>
      <c r="C4" s="97" t="s">
        <v>87</v>
      </c>
      <c r="D4"/>
      <c r="E4"/>
      <c r="F4"/>
    </row>
    <row r="5" spans="1:6">
      <c r="A5" s="98">
        <v>1</v>
      </c>
      <c r="B5" s="99" t="s">
        <v>726</v>
      </c>
      <c r="C5" s="133">
        <f>'7. LI1'!E37</f>
        <v>28848855999.645699</v>
      </c>
    </row>
    <row r="6" spans="1:6" s="90" customFormat="1">
      <c r="A6" s="58">
        <v>2.1</v>
      </c>
      <c r="B6" s="105" t="s">
        <v>860</v>
      </c>
      <c r="C6" s="485">
        <v>2774760076.6048002</v>
      </c>
    </row>
    <row r="7" spans="1:6" s="4" customFormat="1" ht="25.5" outlineLevel="1">
      <c r="A7" s="104">
        <v>2.2000000000000002</v>
      </c>
      <c r="B7" s="100" t="s">
        <v>861</v>
      </c>
      <c r="C7" s="486">
        <v>1430579446.3476</v>
      </c>
    </row>
    <row r="8" spans="1:6" s="4" customFormat="1" ht="26.25">
      <c r="A8" s="104">
        <v>3</v>
      </c>
      <c r="B8" s="101" t="s">
        <v>727</v>
      </c>
      <c r="C8" s="134">
        <f>SUM(C5:C7)</f>
        <v>33054195522.598099</v>
      </c>
    </row>
    <row r="9" spans="1:6" s="90" customFormat="1">
      <c r="A9" s="58">
        <v>4</v>
      </c>
      <c r="B9" s="108" t="s">
        <v>169</v>
      </c>
      <c r="C9" s="486">
        <v>0</v>
      </c>
    </row>
    <row r="10" spans="1:6" s="4" customFormat="1" ht="25.5" outlineLevel="1">
      <c r="A10" s="104">
        <v>5.0999999999999996</v>
      </c>
      <c r="B10" s="100" t="s">
        <v>174</v>
      </c>
      <c r="C10" s="485">
        <v>-1630511421.3696597</v>
      </c>
    </row>
    <row r="11" spans="1:6" s="4" customFormat="1" ht="25.5" outlineLevel="1">
      <c r="A11" s="104">
        <v>5.2</v>
      </c>
      <c r="B11" s="100" t="s">
        <v>175</v>
      </c>
      <c r="C11" s="486">
        <v>-1401077190.534555</v>
      </c>
    </row>
    <row r="12" spans="1:6" s="4" customFormat="1">
      <c r="A12" s="104">
        <v>6</v>
      </c>
      <c r="B12" s="106" t="s">
        <v>437</v>
      </c>
      <c r="C12" s="201"/>
    </row>
    <row r="13" spans="1:6" s="4" customFormat="1" ht="15.75" thickBot="1">
      <c r="A13" s="107">
        <v>7</v>
      </c>
      <c r="B13" s="102" t="s">
        <v>170</v>
      </c>
      <c r="C13" s="135">
        <f>SUM(C8:C12)</f>
        <v>30022606910.693886</v>
      </c>
    </row>
    <row r="15" spans="1:6" ht="26.25">
      <c r="B15" s="19" t="s">
        <v>438</v>
      </c>
    </row>
    <row r="17" spans="2:9" s="2" customFormat="1">
      <c r="B17" s="29"/>
      <c r="C17"/>
      <c r="D17"/>
      <c r="E17"/>
      <c r="F17"/>
      <c r="G17"/>
      <c r="H17"/>
      <c r="I17"/>
    </row>
    <row r="18" spans="2:9" s="2" customFormat="1">
      <c r="B18" s="26"/>
      <c r="C18"/>
      <c r="D18"/>
      <c r="E18"/>
      <c r="F18"/>
      <c r="G18"/>
      <c r="H18"/>
      <c r="I18"/>
    </row>
    <row r="19" spans="2:9" s="2" customFormat="1">
      <c r="B19" s="26"/>
      <c r="C19"/>
      <c r="D19"/>
      <c r="E19"/>
      <c r="F19"/>
      <c r="G19"/>
      <c r="H19"/>
      <c r="I19"/>
    </row>
    <row r="20" spans="2:9" s="2" customFormat="1">
      <c r="B20" s="28"/>
      <c r="C20"/>
      <c r="D20"/>
      <c r="E20"/>
      <c r="F20"/>
      <c r="G20"/>
      <c r="H20"/>
      <c r="I20"/>
    </row>
    <row r="21" spans="2:9" s="2" customFormat="1">
      <c r="B21" s="27"/>
      <c r="C21"/>
      <c r="D21"/>
      <c r="E21"/>
      <c r="F21"/>
      <c r="G21"/>
      <c r="H21"/>
      <c r="I21"/>
    </row>
    <row r="22" spans="2:9" s="2" customFormat="1">
      <c r="B22" s="28"/>
      <c r="C22"/>
      <c r="D22"/>
      <c r="E22"/>
      <c r="F22"/>
      <c r="G22"/>
      <c r="H22"/>
      <c r="I22"/>
    </row>
    <row r="23" spans="2:9" s="2" customFormat="1">
      <c r="B23" s="27"/>
      <c r="C23"/>
      <c r="D23"/>
      <c r="E23"/>
      <c r="F23"/>
      <c r="G23"/>
      <c r="H23"/>
      <c r="I23"/>
    </row>
    <row r="24" spans="2:9" s="2" customFormat="1">
      <c r="B24" s="27"/>
      <c r="C24"/>
      <c r="D24"/>
      <c r="E24"/>
      <c r="F24"/>
      <c r="G24"/>
      <c r="H24"/>
      <c r="I24"/>
    </row>
    <row r="25" spans="2:9" s="2" customFormat="1">
      <c r="B25" s="27"/>
      <c r="C25"/>
      <c r="D25"/>
      <c r="E25"/>
      <c r="F25"/>
      <c r="G25"/>
      <c r="H25"/>
      <c r="I25"/>
    </row>
    <row r="26" spans="2:9" s="2" customFormat="1">
      <c r="B26" s="27"/>
      <c r="C26"/>
      <c r="D26"/>
      <c r="E26"/>
      <c r="F26"/>
      <c r="G26"/>
      <c r="H26"/>
      <c r="I26"/>
    </row>
    <row r="27" spans="2:9" s="2" customFormat="1">
      <c r="B27" s="27"/>
      <c r="C27"/>
      <c r="D27"/>
      <c r="E27"/>
      <c r="F27"/>
      <c r="G27"/>
      <c r="H27"/>
      <c r="I27"/>
    </row>
    <row r="28" spans="2:9" s="2" customFormat="1">
      <c r="B28" s="28"/>
      <c r="C28"/>
      <c r="D28"/>
      <c r="E28"/>
      <c r="F28"/>
      <c r="G28"/>
      <c r="H28"/>
      <c r="I28"/>
    </row>
    <row r="29" spans="2:9" s="2" customFormat="1">
      <c r="B29" s="28"/>
      <c r="C29"/>
      <c r="D29"/>
      <c r="E29"/>
      <c r="F29"/>
      <c r="G29"/>
      <c r="H29"/>
      <c r="I29"/>
    </row>
    <row r="30" spans="2:9" s="2" customFormat="1">
      <c r="B30" s="28"/>
      <c r="C30"/>
      <c r="D30"/>
      <c r="E30"/>
      <c r="F30"/>
      <c r="G30"/>
      <c r="H30"/>
      <c r="I30"/>
    </row>
    <row r="31" spans="2:9" s="2" customFormat="1">
      <c r="B31" s="28"/>
      <c r="C31"/>
      <c r="D31"/>
      <c r="E31"/>
      <c r="F31"/>
      <c r="G31"/>
      <c r="H31"/>
      <c r="I31"/>
    </row>
    <row r="32" spans="2:9" s="2" customFormat="1">
      <c r="B32" s="28"/>
      <c r="C32"/>
      <c r="D32"/>
      <c r="E32"/>
      <c r="F32"/>
      <c r="G32"/>
      <c r="H32"/>
      <c r="I32"/>
    </row>
    <row r="33" spans="2:9" s="2" customFormat="1">
      <c r="B33" s="28"/>
      <c r="C33"/>
      <c r="D33"/>
      <c r="E33"/>
      <c r="F33"/>
      <c r="G33"/>
      <c r="H33"/>
      <c r="I33"/>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vt:i4>
      </vt:variant>
    </vt:vector>
  </HeadingPairs>
  <TitlesOfParts>
    <vt:vector size="32"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lpstr>'1. key ratios'!Print_Area</vt:lpstr>
      <vt:lpstr>'3. SOPL'!Print_Area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2023-12-21T19:07:37Z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y fmtid="{D5CDD505-2E9C-101B-9397-08002B2CF9AE}" pid="7" name="DLPManualFileClassification">
    <vt:lpwstr>{BD15A7F3-68A3-44DA-88DE-84F8F8C88452}</vt:lpwstr>
  </property>
  <property fmtid="{D5CDD505-2E9C-101B-9397-08002B2CF9AE}" pid="8" name="DLPManualFileClassificationLastModifiedBy">
    <vt:lpwstr>BOG0\mshelia</vt:lpwstr>
  </property>
  <property fmtid="{D5CDD505-2E9C-101B-9397-08002B2CF9AE}" pid="9" name="DLPManualFileClassificationLastModificationDate">
    <vt:lpwstr>1698054151</vt:lpwstr>
  </property>
  <property fmtid="{D5CDD505-2E9C-101B-9397-08002B2CF9AE}" pid="10" name="DLPManualFileClassificationVersion">
    <vt:lpwstr>11.6.600.21</vt:lpwstr>
  </property>
</Properties>
</file>