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480" windowWidth="19200" windowHeight="6285" tabRatio="919" firstSheet="21" activeTab="2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SOPL'!$A$1:$H$53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I26" i="104" l="1"/>
  <c r="I25" i="104"/>
  <c r="H22" i="104"/>
  <c r="H23" i="104"/>
  <c r="D8" i="100" l="1"/>
  <c r="G22" i="96" l="1"/>
  <c r="C21" i="101" l="1"/>
  <c r="G19" i="104" l="1"/>
  <c r="F19" i="104"/>
  <c r="E19" i="104"/>
  <c r="D19" i="104"/>
  <c r="C18" i="104"/>
  <c r="C17" i="104"/>
  <c r="C19" i="104" s="1"/>
  <c r="C16" i="104"/>
  <c r="C15" i="104"/>
  <c r="C14" i="104"/>
  <c r="C13" i="104"/>
  <c r="C12" i="104"/>
  <c r="C11" i="104"/>
  <c r="C10" i="104"/>
  <c r="C9" i="104"/>
  <c r="C8" i="104"/>
  <c r="C7" i="104"/>
  <c r="L9" i="103" l="1"/>
  <c r="L8" i="103"/>
  <c r="G6" i="103"/>
  <c r="E22" i="96"/>
  <c r="D22" i="96"/>
  <c r="L6" i="103" s="1"/>
  <c r="C22" i="96" l="1"/>
  <c r="C19" i="92" l="1"/>
  <c r="G14" i="94" l="1"/>
  <c r="F14" i="94"/>
  <c r="H9" i="94"/>
  <c r="H10" i="94"/>
  <c r="H12" i="94"/>
  <c r="H13" i="94"/>
  <c r="H15" i="94"/>
  <c r="H16" i="94"/>
  <c r="H17" i="94"/>
  <c r="H18" i="94"/>
  <c r="H19" i="94"/>
  <c r="H20" i="94"/>
  <c r="H21" i="94"/>
  <c r="H22" i="94"/>
  <c r="H23" i="94"/>
  <c r="H24" i="94"/>
  <c r="H25" i="94"/>
  <c r="H26" i="94"/>
  <c r="H27" i="94"/>
  <c r="H28" i="94"/>
  <c r="H29" i="94"/>
  <c r="H31" i="94"/>
  <c r="H32" i="94"/>
  <c r="H33" i="94"/>
  <c r="H34" i="94"/>
  <c r="H35" i="94"/>
  <c r="H36" i="94"/>
  <c r="H37" i="94"/>
  <c r="H39" i="94"/>
  <c r="H40" i="94"/>
  <c r="H41" i="94"/>
  <c r="H42" i="94"/>
  <c r="H43" i="94"/>
  <c r="H14" i="94" l="1"/>
  <c r="C10" i="98"/>
  <c r="G38" i="94" l="1"/>
  <c r="F38" i="94"/>
  <c r="H38" i="94" s="1"/>
  <c r="F8" i="94" l="1"/>
  <c r="G8" i="94"/>
  <c r="F11" i="94"/>
  <c r="G11" i="94"/>
  <c r="F30" i="94"/>
  <c r="G30" i="94"/>
  <c r="H11" i="94" l="1"/>
  <c r="H8" i="94"/>
  <c r="H30" i="94"/>
  <c r="K24" i="36"/>
  <c r="J24" i="36"/>
  <c r="I24" i="36"/>
  <c r="H24" i="36"/>
  <c r="G24" i="36"/>
  <c r="F24" i="36"/>
  <c r="F25" i="36" s="1"/>
  <c r="K23" i="36"/>
  <c r="K25" i="36" s="1"/>
  <c r="J23" i="36"/>
  <c r="J25" i="36" s="1"/>
  <c r="I23" i="36"/>
  <c r="I25" i="36" s="1"/>
  <c r="H23" i="36"/>
  <c r="H25" i="36" s="1"/>
  <c r="G23" i="36"/>
  <c r="F23" i="36"/>
  <c r="G25" i="36" l="1"/>
  <c r="D24" i="80"/>
  <c r="C20" i="96" l="1"/>
  <c r="D11" i="92" l="1"/>
  <c r="D10" i="98" l="1"/>
  <c r="D7" i="98"/>
  <c r="C7" i="98"/>
  <c r="C15" i="98" s="1"/>
  <c r="D15" i="98" l="1"/>
  <c r="O13" i="104" l="1"/>
  <c r="O19" i="104" s="1"/>
  <c r="K13" i="104"/>
  <c r="K19" i="104" s="1"/>
  <c r="N13" i="104"/>
  <c r="N19" i="104" s="1"/>
  <c r="M13" i="104"/>
  <c r="M19" i="104" s="1"/>
  <c r="Q19" i="104"/>
  <c r="I13" i="104"/>
  <c r="J13" i="104"/>
  <c r="R19" i="104"/>
  <c r="L19" i="104"/>
  <c r="H13" i="104"/>
  <c r="P13" i="104"/>
  <c r="J19" i="104" l="1"/>
  <c r="P19" i="104"/>
  <c r="H19" i="104"/>
  <c r="I19" i="104"/>
  <c r="C10" i="99" l="1"/>
  <c r="C18" i="99" s="1"/>
  <c r="L15" i="100"/>
  <c r="R15" i="100"/>
  <c r="Y15" i="100"/>
  <c r="F15" i="100"/>
  <c r="I15" i="100"/>
  <c r="K15" i="100"/>
  <c r="N15" i="100"/>
  <c r="X15" i="100"/>
  <c r="H15" i="100"/>
  <c r="P15" i="100"/>
  <c r="W15" i="100"/>
  <c r="V15" i="100"/>
  <c r="G15" i="100"/>
  <c r="J15" i="100"/>
  <c r="M15" i="100"/>
  <c r="O15" i="100"/>
  <c r="Q15" i="100"/>
  <c r="U15" i="100"/>
  <c r="E15" i="100"/>
  <c r="T15" i="100"/>
  <c r="AA15" i="100"/>
  <c r="C9" i="100"/>
  <c r="S15" i="100"/>
  <c r="Z15" i="100"/>
  <c r="C18" i="79" l="1"/>
  <c r="C26" i="79"/>
  <c r="B54" i="69"/>
  <c r="B53" i="69"/>
  <c r="C8" i="79" l="1"/>
  <c r="C30" i="79"/>
  <c r="C38" i="79"/>
  <c r="D30" i="92" l="1"/>
  <c r="D17" i="94" l="1"/>
  <c r="C17" i="94"/>
  <c r="C14" i="94" l="1"/>
  <c r="G7" i="92" l="1"/>
  <c r="D7" i="92" l="1"/>
  <c r="G63" i="92"/>
  <c r="G59" i="92"/>
  <c r="F59" i="92"/>
  <c r="G47" i="92"/>
  <c r="F47" i="92"/>
  <c r="F41" i="92"/>
  <c r="G38" i="92"/>
  <c r="F38" i="92"/>
  <c r="F30" i="92"/>
  <c r="G24" i="92"/>
  <c r="F24" i="92"/>
  <c r="G19" i="92"/>
  <c r="F19" i="92"/>
  <c r="G15" i="92"/>
  <c r="F15" i="92"/>
  <c r="F11" i="92"/>
  <c r="F7" i="92"/>
  <c r="F63" i="92" l="1"/>
  <c r="G41" i="92"/>
  <c r="G27" i="92"/>
  <c r="F27" i="92"/>
  <c r="G30" i="92"/>
  <c r="C25" i="100" l="1"/>
  <c r="C23" i="100"/>
  <c r="C21" i="100"/>
  <c r="C10" i="100" l="1"/>
  <c r="C11" i="100"/>
  <c r="C22" i="102" l="1"/>
  <c r="C30" i="102"/>
  <c r="H13" i="102"/>
  <c r="E33" i="102"/>
  <c r="C14" i="102"/>
  <c r="D33" i="102"/>
  <c r="C9" i="102"/>
  <c r="C11" i="102"/>
  <c r="C15" i="102"/>
  <c r="C19" i="102"/>
  <c r="C23" i="102"/>
  <c r="C25" i="102"/>
  <c r="C27" i="102"/>
  <c r="G33" i="102"/>
  <c r="C8" i="102"/>
  <c r="C10" i="102"/>
  <c r="C12" i="102"/>
  <c r="C16" i="102"/>
  <c r="C18" i="102"/>
  <c r="C20" i="102"/>
  <c r="C24" i="102"/>
  <c r="C26" i="102"/>
  <c r="C28" i="102"/>
  <c r="C32" i="102"/>
  <c r="C13" i="102"/>
  <c r="C21" i="102"/>
  <c r="C29" i="102"/>
  <c r="C7" i="102"/>
  <c r="C17" i="102"/>
  <c r="C31" i="102"/>
  <c r="H29" i="102"/>
  <c r="H20" i="102"/>
  <c r="H9" i="102"/>
  <c r="H12" i="102"/>
  <c r="F33" i="102"/>
  <c r="H21" i="102"/>
  <c r="H28" i="102"/>
  <c r="H17" i="102"/>
  <c r="H25" i="102"/>
  <c r="H11" i="102"/>
  <c r="H19" i="102"/>
  <c r="H27" i="102"/>
  <c r="H16" i="102"/>
  <c r="H24" i="102"/>
  <c r="H15" i="102"/>
  <c r="H31" i="102"/>
  <c r="H22" i="102"/>
  <c r="H8" i="102"/>
  <c r="H32" i="102"/>
  <c r="H23" i="102"/>
  <c r="H10" i="102"/>
  <c r="H14" i="102"/>
  <c r="H18" i="102"/>
  <c r="H26" i="102"/>
  <c r="H30" i="102"/>
  <c r="L33" i="102"/>
  <c r="J33" i="102"/>
  <c r="K33" i="102"/>
  <c r="C33" i="102" l="1"/>
  <c r="H7" i="102"/>
  <c r="H33" i="102" s="1"/>
  <c r="I33" i="102"/>
  <c r="E22" i="74" l="1"/>
  <c r="C22" i="74" l="1"/>
  <c r="D22" i="74"/>
  <c r="C20" i="101" l="1"/>
  <c r="C9" i="101"/>
  <c r="C12" i="101"/>
  <c r="C17" i="101"/>
  <c r="C11" i="101"/>
  <c r="C19" i="101"/>
  <c r="C22" i="101"/>
  <c r="C10" i="101"/>
  <c r="C8" i="101"/>
  <c r="C14" i="101"/>
  <c r="C13" i="101"/>
  <c r="C15" i="101"/>
  <c r="C18" i="101"/>
  <c r="H22" i="96" l="1"/>
  <c r="I22" i="96" s="1"/>
  <c r="E21" i="96" l="1"/>
  <c r="H10" i="96"/>
  <c r="H7" i="96"/>
  <c r="H8" i="96"/>
  <c r="H9" i="96"/>
  <c r="H11" i="96"/>
  <c r="H18" i="96"/>
  <c r="H19" i="96"/>
  <c r="G16" i="96" l="1"/>
  <c r="H15" i="96"/>
  <c r="H14" i="96"/>
  <c r="H17" i="96"/>
  <c r="H16" i="96"/>
  <c r="C22" i="95" l="1"/>
  <c r="C54" i="69" l="1"/>
  <c r="C53" i="69"/>
  <c r="C23" i="69"/>
  <c r="D17" i="72" l="1"/>
  <c r="C16" i="69"/>
  <c r="D38" i="92" l="1"/>
  <c r="C38" i="92" l="1"/>
  <c r="D41" i="92" l="1"/>
  <c r="C41" i="92"/>
  <c r="D47" i="92" l="1"/>
  <c r="C47" i="92"/>
  <c r="C53" i="92" s="1"/>
  <c r="D24" i="92"/>
  <c r="C24" i="92"/>
  <c r="D15" i="92"/>
  <c r="C15" i="92"/>
  <c r="C7" i="92"/>
  <c r="D27" i="92" l="1"/>
  <c r="C27" i="92"/>
  <c r="D19" i="92"/>
  <c r="C11" i="92"/>
  <c r="D36" i="92" l="1"/>
  <c r="H21" i="95"/>
  <c r="B1" i="94" l="1"/>
  <c r="B1" i="93"/>
  <c r="B1" i="92"/>
  <c r="B1" i="104" l="1"/>
  <c r="B1" i="103"/>
  <c r="B1" i="102"/>
  <c r="B1" i="101"/>
  <c r="B1" i="100"/>
  <c r="B1" i="99"/>
  <c r="B1" i="98"/>
  <c r="B1" i="97"/>
  <c r="B1" i="96"/>
  <c r="B1" i="95"/>
  <c r="F21" i="96" l="1"/>
  <c r="H23" i="96"/>
  <c r="H8" i="95"/>
  <c r="H9" i="95"/>
  <c r="H10" i="95"/>
  <c r="H11" i="95"/>
  <c r="H12" i="95"/>
  <c r="H13" i="95"/>
  <c r="H15" i="95"/>
  <c r="H16" i="95"/>
  <c r="H17" i="95"/>
  <c r="H18" i="95"/>
  <c r="H19" i="95"/>
  <c r="H20" i="95"/>
  <c r="E22" i="95"/>
  <c r="F22" i="95"/>
  <c r="G22" i="95"/>
  <c r="I7" i="96" l="1"/>
  <c r="D12" i="96"/>
  <c r="H12" i="96" s="1"/>
  <c r="I11" i="96"/>
  <c r="I9" i="96"/>
  <c r="I8" i="96"/>
  <c r="I19" i="96"/>
  <c r="I18" i="96"/>
  <c r="I14" i="96"/>
  <c r="I15" i="96"/>
  <c r="I17" i="96"/>
  <c r="I16" i="96"/>
  <c r="I10" i="96"/>
  <c r="I12" i="96" l="1"/>
  <c r="D21" i="96"/>
  <c r="D8" i="72"/>
  <c r="D16" i="72"/>
  <c r="D20" i="72"/>
  <c r="D31" i="72"/>
  <c r="E43" i="94" l="1"/>
  <c r="E42" i="94"/>
  <c r="E41" i="94"/>
  <c r="E40" i="94"/>
  <c r="E39" i="94"/>
  <c r="D38" i="94"/>
  <c r="C38" i="94"/>
  <c r="E37" i="94"/>
  <c r="E36" i="94"/>
  <c r="E35" i="94"/>
  <c r="E34" i="94"/>
  <c r="E33" i="94"/>
  <c r="E32" i="94"/>
  <c r="E31" i="94"/>
  <c r="D30" i="94"/>
  <c r="C30" i="94"/>
  <c r="E29" i="94"/>
  <c r="E28" i="94"/>
  <c r="E27" i="94"/>
  <c r="E26" i="94"/>
  <c r="E25" i="94"/>
  <c r="E24" i="94"/>
  <c r="E23" i="94"/>
  <c r="E22" i="94"/>
  <c r="E21" i="94"/>
  <c r="E20" i="94"/>
  <c r="E19" i="94"/>
  <c r="E18" i="94"/>
  <c r="E16" i="94"/>
  <c r="E15" i="94"/>
  <c r="D14" i="94"/>
  <c r="E13" i="94"/>
  <c r="E12" i="94"/>
  <c r="D11" i="94"/>
  <c r="C11" i="94"/>
  <c r="E10" i="94"/>
  <c r="E9" i="94"/>
  <c r="D8" i="94"/>
  <c r="C8" i="94"/>
  <c r="H7" i="94"/>
  <c r="E7" i="94"/>
  <c r="H6" i="94"/>
  <c r="E6" i="94"/>
  <c r="H44" i="93"/>
  <c r="E44" i="93"/>
  <c r="H42" i="93"/>
  <c r="E42" i="93"/>
  <c r="H41" i="93"/>
  <c r="E41" i="93"/>
  <c r="H40" i="93"/>
  <c r="E40" i="93"/>
  <c r="H39" i="93"/>
  <c r="E39" i="93"/>
  <c r="H38" i="93"/>
  <c r="E38" i="93"/>
  <c r="H36" i="93"/>
  <c r="E36" i="93"/>
  <c r="H35" i="93"/>
  <c r="E35" i="93"/>
  <c r="E34" i="93"/>
  <c r="H33" i="93"/>
  <c r="E33" i="93"/>
  <c r="H32" i="93"/>
  <c r="E32" i="93"/>
  <c r="H31" i="93"/>
  <c r="E31" i="93"/>
  <c r="H30" i="93"/>
  <c r="E30"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H10" i="93"/>
  <c r="E10" i="93"/>
  <c r="H9" i="93"/>
  <c r="E9" i="93"/>
  <c r="H8" i="93"/>
  <c r="E8" i="93"/>
  <c r="H7" i="93"/>
  <c r="E7"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C56" i="69" s="1"/>
  <c r="H51" i="92"/>
  <c r="E51" i="92"/>
  <c r="H50" i="92"/>
  <c r="E50" i="92"/>
  <c r="H49" i="92"/>
  <c r="E49" i="92"/>
  <c r="H48" i="92"/>
  <c r="E48" i="92"/>
  <c r="H47" i="92"/>
  <c r="E47" i="92"/>
  <c r="H46" i="92"/>
  <c r="E46" i="92"/>
  <c r="H45" i="92"/>
  <c r="E45" i="92"/>
  <c r="H44" i="92"/>
  <c r="E44" i="92"/>
  <c r="H43" i="92"/>
  <c r="E43" i="92"/>
  <c r="H42" i="92"/>
  <c r="E42" i="92"/>
  <c r="G53" i="92"/>
  <c r="H41" i="92"/>
  <c r="D53" i="92"/>
  <c r="E41" i="92"/>
  <c r="H40" i="92"/>
  <c r="E40" i="92"/>
  <c r="H39" i="92"/>
  <c r="E39" i="92"/>
  <c r="H38" i="92"/>
  <c r="E38" i="92"/>
  <c r="H35" i="92"/>
  <c r="E35" i="92"/>
  <c r="H34" i="92"/>
  <c r="E34" i="92"/>
  <c r="H33" i="92"/>
  <c r="E33" i="92"/>
  <c r="C35" i="69" s="1"/>
  <c r="H32" i="92"/>
  <c r="E32" i="92"/>
  <c r="H31" i="92"/>
  <c r="E31" i="92"/>
  <c r="G36" i="92"/>
  <c r="H30" i="92"/>
  <c r="E30" i="92"/>
  <c r="H29" i="92"/>
  <c r="E29" i="92"/>
  <c r="H28" i="92"/>
  <c r="E28" i="92"/>
  <c r="H27" i="92"/>
  <c r="E27" i="92"/>
  <c r="H26" i="92"/>
  <c r="E26" i="92"/>
  <c r="H25" i="92"/>
  <c r="E25" i="92"/>
  <c r="F36"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C10" i="69" s="1"/>
  <c r="H10" i="92"/>
  <c r="E10" i="92"/>
  <c r="H9" i="92"/>
  <c r="E9" i="92"/>
  <c r="H8" i="92"/>
  <c r="E8" i="92"/>
  <c r="H7" i="92"/>
  <c r="C36" i="92"/>
  <c r="E36" i="92" l="1"/>
  <c r="C60" i="69"/>
  <c r="C65" i="69"/>
  <c r="C64" i="69"/>
  <c r="C69" i="69"/>
  <c r="C15" i="72"/>
  <c r="E15" i="72" s="1"/>
  <c r="C66" i="69"/>
  <c r="C14" i="72"/>
  <c r="E14" i="72" s="1"/>
  <c r="C55" i="69"/>
  <c r="C52" i="69"/>
  <c r="C40" i="69"/>
  <c r="H11" i="93"/>
  <c r="C70" i="69"/>
  <c r="C68" i="69"/>
  <c r="D26" i="72"/>
  <c r="D25" i="72" s="1"/>
  <c r="C12" i="72"/>
  <c r="E12" i="72" s="1"/>
  <c r="C46" i="69"/>
  <c r="C62" i="69"/>
  <c r="C47" i="69"/>
  <c r="C51" i="69"/>
  <c r="C59" i="69"/>
  <c r="C41" i="69"/>
  <c r="C71" i="69"/>
  <c r="C34" i="72"/>
  <c r="E34" i="72" s="1"/>
  <c r="C44" i="69"/>
  <c r="C48" i="69"/>
  <c r="C50" i="69"/>
  <c r="C45" i="69"/>
  <c r="C61" i="69"/>
  <c r="D68" i="92"/>
  <c r="D69" i="92" s="1"/>
  <c r="H34" i="93"/>
  <c r="H29" i="93"/>
  <c r="H37" i="93"/>
  <c r="E59" i="92"/>
  <c r="H13" i="93"/>
  <c r="E38" i="94"/>
  <c r="E37" i="93"/>
  <c r="E29" i="93"/>
  <c r="G69" i="92"/>
  <c r="C19" i="72"/>
  <c r="E19" i="72" s="1"/>
  <c r="C18" i="69"/>
  <c r="C36" i="72"/>
  <c r="E36" i="72" s="1"/>
  <c r="C37" i="69"/>
  <c r="H36" i="92"/>
  <c r="E13" i="93"/>
  <c r="C9" i="72"/>
  <c r="E9" i="72" s="1"/>
  <c r="C7" i="69"/>
  <c r="C33" i="72"/>
  <c r="E33" i="72" s="1"/>
  <c r="C34" i="69"/>
  <c r="C27" i="72"/>
  <c r="E27" i="72" s="1"/>
  <c r="C28" i="69"/>
  <c r="C30" i="72"/>
  <c r="C31" i="69"/>
  <c r="C26" i="72"/>
  <c r="C27" i="69"/>
  <c r="C13" i="72"/>
  <c r="E13" i="72" s="1"/>
  <c r="C11" i="69"/>
  <c r="C23" i="72"/>
  <c r="E23" i="72" s="1"/>
  <c r="C22" i="69"/>
  <c r="C10" i="72"/>
  <c r="E10" i="72" s="1"/>
  <c r="C8" i="69"/>
  <c r="C24" i="72"/>
  <c r="E24" i="72" s="1"/>
  <c r="C25" i="69"/>
  <c r="C35" i="72"/>
  <c r="E35" i="72" s="1"/>
  <c r="C36" i="69"/>
  <c r="C18" i="72"/>
  <c r="E18" i="72" s="1"/>
  <c r="C17" i="69"/>
  <c r="C29" i="72"/>
  <c r="C30" i="69"/>
  <c r="C17" i="72"/>
  <c r="E17" i="72" s="1"/>
  <c r="C15" i="69"/>
  <c r="C11" i="72"/>
  <c r="E11" i="72" s="1"/>
  <c r="C9" i="69"/>
  <c r="C21" i="72"/>
  <c r="E21" i="72" s="1"/>
  <c r="C20" i="69"/>
  <c r="C22" i="72"/>
  <c r="E22" i="72" s="1"/>
  <c r="C21" i="69"/>
  <c r="C32" i="72"/>
  <c r="E32" i="72" s="1"/>
  <c r="C33" i="69"/>
  <c r="E63" i="92"/>
  <c r="C68" i="92"/>
  <c r="E53" i="92"/>
  <c r="E8" i="94"/>
  <c r="E14" i="94"/>
  <c r="E30" i="94"/>
  <c r="E11" i="94"/>
  <c r="E17" i="94"/>
  <c r="H68" i="92"/>
  <c r="F53" i="92"/>
  <c r="E7" i="92"/>
  <c r="H24" i="92"/>
  <c r="F69" i="92" l="1"/>
  <c r="H69" i="92" s="1"/>
  <c r="C63" i="69"/>
  <c r="C67" i="69"/>
  <c r="C14" i="69"/>
  <c r="C29" i="69"/>
  <c r="C49" i="69"/>
  <c r="E16" i="72"/>
  <c r="C43" i="69"/>
  <c r="E26" i="72"/>
  <c r="E25" i="72" s="1"/>
  <c r="E11" i="93"/>
  <c r="E31" i="72"/>
  <c r="D30" i="72"/>
  <c r="E30" i="72" s="1"/>
  <c r="D29" i="72"/>
  <c r="E29" i="72" s="1"/>
  <c r="E20" i="72"/>
  <c r="E8" i="72"/>
  <c r="E68" i="92"/>
  <c r="E6" i="93"/>
  <c r="H53" i="92"/>
  <c r="C8" i="72"/>
  <c r="C25" i="72"/>
  <c r="C19" i="69"/>
  <c r="C31" i="72"/>
  <c r="C20" i="72"/>
  <c r="C28" i="72"/>
  <c r="C32" i="69"/>
  <c r="C26" i="69"/>
  <c r="C6" i="69"/>
  <c r="C16" i="72"/>
  <c r="E45" i="93"/>
  <c r="E43" i="93"/>
  <c r="C69" i="92"/>
  <c r="E69" i="92" s="1"/>
  <c r="E73" i="92" s="1"/>
  <c r="C72" i="69" l="1"/>
  <c r="C57" i="69"/>
  <c r="H6" i="93"/>
  <c r="D28" i="72"/>
  <c r="D37" i="72" s="1"/>
  <c r="E28" i="72"/>
  <c r="E37" i="72" s="1"/>
  <c r="C38" i="69"/>
  <c r="C37" i="72"/>
  <c r="B1" i="80"/>
  <c r="G33" i="80"/>
  <c r="F33" i="80"/>
  <c r="E33" i="80"/>
  <c r="D33" i="80"/>
  <c r="D37" i="80" s="1"/>
  <c r="L34" i="80" s="1"/>
  <c r="C33" i="80"/>
  <c r="G24" i="80"/>
  <c r="F24" i="80"/>
  <c r="E24" i="80"/>
  <c r="C24" i="80"/>
  <c r="G18" i="80"/>
  <c r="F18" i="80"/>
  <c r="E18" i="80"/>
  <c r="D18" i="80"/>
  <c r="C18" i="80"/>
  <c r="G14" i="80"/>
  <c r="F14" i="80"/>
  <c r="E14" i="80"/>
  <c r="D14" i="80"/>
  <c r="C14" i="80"/>
  <c r="G11" i="80"/>
  <c r="F11" i="80"/>
  <c r="E11" i="80"/>
  <c r="D11" i="80"/>
  <c r="C11" i="80"/>
  <c r="G8" i="80"/>
  <c r="F8" i="80"/>
  <c r="E8" i="80"/>
  <c r="D8" i="80"/>
  <c r="C8" i="80"/>
  <c r="E37" i="80" l="1"/>
  <c r="F37" i="80"/>
  <c r="E21" i="80"/>
  <c r="C21" i="80"/>
  <c r="F21" i="80"/>
  <c r="D21" i="80"/>
  <c r="K19" i="80" s="1"/>
  <c r="C37" i="80"/>
  <c r="G21" i="80"/>
  <c r="C73" i="69"/>
  <c r="H45" i="93"/>
  <c r="H43" i="93"/>
  <c r="G37" i="80"/>
  <c r="C6" i="71"/>
  <c r="C13" i="71" s="1"/>
  <c r="G39" i="80"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H21" i="37"/>
  <c r="G21" i="37"/>
  <c r="I21" i="37"/>
  <c r="J21" i="37"/>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F17" i="74" l="1"/>
  <c r="F16" i="74"/>
  <c r="F15" i="74"/>
  <c r="F9" i="74"/>
  <c r="F18" i="74"/>
  <c r="F11" i="74"/>
  <c r="F21" i="74"/>
  <c r="F8" i="74"/>
  <c r="F10" i="74"/>
  <c r="F19" i="74"/>
  <c r="F12" i="74"/>
  <c r="F20" i="74"/>
  <c r="F14" i="74"/>
  <c r="F13" i="74"/>
  <c r="S22" i="35"/>
  <c r="S24" i="35" s="1"/>
  <c r="F22" i="74" l="1"/>
  <c r="D22" i="35"/>
  <c r="E22" i="35"/>
  <c r="F22" i="35"/>
  <c r="G22" i="35"/>
  <c r="H22" i="35"/>
  <c r="I22" i="35"/>
  <c r="J22" i="35"/>
  <c r="K22" i="35"/>
  <c r="L22" i="35"/>
  <c r="M22" i="35"/>
  <c r="N22" i="35"/>
  <c r="O22" i="35"/>
  <c r="P22" i="35"/>
  <c r="Q22" i="35"/>
  <c r="R22" i="35"/>
  <c r="C22" i="35"/>
  <c r="V7" i="64" l="1"/>
  <c r="G8" i="74" s="1"/>
  <c r="H8" i="74" s="1"/>
  <c r="T21" i="64" l="1"/>
  <c r="U21" i="64"/>
  <c r="V9" i="64"/>
  <c r="G10" i="74" s="1"/>
  <c r="H10"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G9" i="74" s="1"/>
  <c r="H9" i="74" s="1"/>
  <c r="V10" i="64"/>
  <c r="G11" i="74" s="1"/>
  <c r="H11" i="74" s="1"/>
  <c r="V11" i="64"/>
  <c r="G12" i="74" s="1"/>
  <c r="H12" i="74" s="1"/>
  <c r="V12" i="64"/>
  <c r="G13" i="74" s="1"/>
  <c r="H13" i="74" s="1"/>
  <c r="V13" i="64"/>
  <c r="G14" i="74" s="1"/>
  <c r="H14" i="74" s="1"/>
  <c r="V14" i="64"/>
  <c r="G15" i="74" s="1"/>
  <c r="H15" i="74" s="1"/>
  <c r="V15" i="64"/>
  <c r="G16" i="74" s="1"/>
  <c r="H16" i="74" s="1"/>
  <c r="V16" i="64"/>
  <c r="G17" i="74" s="1"/>
  <c r="V17" i="64"/>
  <c r="G18" i="74" s="1"/>
  <c r="H18" i="74" s="1"/>
  <c r="V18" i="64"/>
  <c r="G19" i="74" s="1"/>
  <c r="H19" i="74" s="1"/>
  <c r="V19" i="64"/>
  <c r="G20" i="74" s="1"/>
  <c r="H20" i="74" s="1"/>
  <c r="V20" i="64"/>
  <c r="G21" i="74" s="1"/>
  <c r="H21" i="74" s="1"/>
  <c r="G22" i="74" l="1"/>
  <c r="H17" i="74"/>
  <c r="V21" i="64"/>
  <c r="H22" i="74" l="1"/>
  <c r="C48" i="28"/>
  <c r="C53" i="28" s="1"/>
  <c r="C36" i="28"/>
  <c r="C42" i="28" s="1"/>
  <c r="C12" i="28"/>
  <c r="C6" i="28" l="1"/>
  <c r="C29" i="28" l="1"/>
  <c r="B2" i="93"/>
  <c r="B2" i="97"/>
  <c r="B2" i="37"/>
  <c r="B2" i="69"/>
  <c r="B2" i="92"/>
  <c r="B2" i="36"/>
  <c r="B2" i="74"/>
  <c r="B2" i="95"/>
  <c r="B2" i="94"/>
  <c r="B2" i="103"/>
  <c r="B2" i="73"/>
  <c r="B2" i="77"/>
  <c r="B2" i="102"/>
  <c r="C5" i="6"/>
  <c r="B2" i="80"/>
  <c r="B2" i="101"/>
  <c r="B2" i="64"/>
  <c r="B2" i="99"/>
  <c r="B2" i="35"/>
  <c r="B2" i="104"/>
  <c r="B2" i="100"/>
  <c r="B2" i="72"/>
  <c r="B2" i="96"/>
  <c r="B2" i="98"/>
  <c r="B2" i="52"/>
  <c r="B2" i="79"/>
  <c r="B2" i="28"/>
  <c r="F5" i="6"/>
  <c r="J5" i="6" s="1"/>
  <c r="B2" i="71"/>
  <c r="G5" i="71" s="1"/>
  <c r="E5" i="6"/>
  <c r="I5" i="6" s="1"/>
  <c r="D5" i="6"/>
  <c r="G5" i="6"/>
  <c r="K5" i="6" s="1"/>
  <c r="C5" i="71" l="1"/>
  <c r="E5" i="71"/>
  <c r="F5" i="71"/>
  <c r="D5" i="71"/>
  <c r="H13" i="96" l="1"/>
  <c r="H14" i="95"/>
  <c r="D22" i="95"/>
  <c r="H22" i="95" l="1"/>
  <c r="I13" i="96"/>
  <c r="C18" i="100" l="1"/>
  <c r="C17" i="100"/>
  <c r="C20" i="100"/>
  <c r="C19" i="100"/>
  <c r="D15" i="100" l="1"/>
  <c r="C16" i="100"/>
  <c r="K7" i="103"/>
  <c r="G20" i="96"/>
  <c r="G21" i="96" s="1"/>
  <c r="C15" i="100" l="1"/>
  <c r="H33" i="97" l="1"/>
  <c r="L22" i="100" l="1"/>
  <c r="C26" i="100"/>
  <c r="C28" i="100"/>
  <c r="H22" i="100"/>
  <c r="D22" i="100"/>
  <c r="C24" i="100"/>
  <c r="C27" i="100" l="1"/>
  <c r="C22" i="100"/>
  <c r="F8" i="100" l="1"/>
  <c r="U8" i="100"/>
  <c r="T8" i="100"/>
  <c r="V8" i="100"/>
  <c r="C13" i="100"/>
  <c r="C12" i="100"/>
  <c r="M8" i="100"/>
  <c r="X8" i="100"/>
  <c r="C14" i="100"/>
  <c r="G8" i="100"/>
  <c r="K8" i="100"/>
  <c r="R8" i="100"/>
  <c r="Y8" i="100"/>
  <c r="I8" i="100"/>
  <c r="W8" i="100"/>
  <c r="N8" i="100"/>
  <c r="Z8" i="100"/>
  <c r="J8" i="100"/>
  <c r="H8" i="100"/>
  <c r="P8" i="100"/>
  <c r="Q8" i="100"/>
  <c r="O8" i="100"/>
  <c r="S8" i="100"/>
  <c r="AA8" i="100"/>
  <c r="E8" i="100"/>
  <c r="L8" i="100"/>
  <c r="E34" i="102" l="1"/>
  <c r="F34" i="102"/>
  <c r="D34" i="102"/>
  <c r="C8" i="100"/>
  <c r="G34" i="97" l="1"/>
  <c r="H8" i="97" l="1"/>
  <c r="H27" i="97" l="1"/>
  <c r="D34" i="97"/>
  <c r="H26" i="97"/>
  <c r="H17" i="97"/>
  <c r="H11" i="97"/>
  <c r="H15" i="97"/>
  <c r="H32" i="97"/>
  <c r="E34" i="97"/>
  <c r="H24" i="97"/>
  <c r="H30" i="97"/>
  <c r="H22" i="97"/>
  <c r="H29" i="97"/>
  <c r="H19" i="97"/>
  <c r="H18" i="97"/>
  <c r="H9" i="97"/>
  <c r="H14" i="97"/>
  <c r="H20" i="97"/>
  <c r="H12" i="97"/>
  <c r="H25" i="97"/>
  <c r="H13" i="97"/>
  <c r="H28" i="97"/>
  <c r="H10" i="97"/>
  <c r="H7" i="97"/>
  <c r="C34" i="97"/>
  <c r="H16" i="97"/>
  <c r="H21" i="97"/>
  <c r="H23" i="97"/>
  <c r="H31" i="97"/>
  <c r="F34" i="97"/>
  <c r="H34" i="97" l="1"/>
  <c r="H20" i="96" l="1"/>
  <c r="C21" i="96"/>
  <c r="H21" i="96" l="1"/>
  <c r="I21" i="96" l="1"/>
</calcChain>
</file>

<file path=xl/comments1.xml><?xml version="1.0" encoding="utf-8"?>
<comments xmlns="http://schemas.openxmlformats.org/spreadsheetml/2006/main">
  <authors>
    <author>Author</author>
  </authors>
  <commentList>
    <comment ref="C18" authorId="0" shapeId="0">
      <text>
        <r>
          <rPr>
            <b/>
            <sz val="9"/>
            <color indexed="81"/>
            <rFont val="Tahoma"/>
            <family val="2"/>
          </rPr>
          <t>Author:</t>
        </r>
        <r>
          <rPr>
            <sz val="9"/>
            <color indexed="81"/>
            <rFont val="Tahoma"/>
            <family val="2"/>
          </rPr>
          <t xml:space="preserve">
loans +FLT</t>
        </r>
      </text>
    </comment>
  </commentList>
</comments>
</file>

<file path=xl/comments2.xml><?xml version="1.0" encoding="utf-8"?>
<comments xmlns="http://schemas.openxmlformats.org/spreadsheetml/2006/main">
  <authors>
    <author>Author</author>
  </authors>
  <commentList>
    <comment ref="C5" authorId="0" shapeId="0">
      <text>
        <r>
          <rPr>
            <b/>
            <sz val="9"/>
            <color indexed="81"/>
            <rFont val="Tahoma"/>
            <family val="2"/>
          </rPr>
          <t>Author:</t>
        </r>
        <r>
          <rPr>
            <sz val="9"/>
            <color indexed="81"/>
            <rFont val="Tahoma"/>
            <family val="2"/>
          </rPr>
          <t xml:space="preserve">
net value</t>
        </r>
      </text>
    </comment>
  </commentList>
</comments>
</file>

<file path=xl/sharedStrings.xml><?xml version="1.0" encoding="utf-8"?>
<sst xmlns="http://schemas.openxmlformats.org/spreadsheetml/2006/main" count="1627" uniqueCount="999">
  <si>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</si>
  <si>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</si>
  <si>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</si>
  <si>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</si>
  <si>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</si>
  <si>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</si>
  <si>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</si>
  <si>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</si>
  <si>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</si>
  <si>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</si>
  <si>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</si>
  <si>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</si>
  <si>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</si>
  <si>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</si>
  <si>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</si>
  <si>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</si>
  <si>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</si>
  <si>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</si>
  <si>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</si>
  <si>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</si>
  <si>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</si>
  <si>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</si>
  <si>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</si>
  <si>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</si>
  <si>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</si>
  <si>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</si>
  <si>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</si>
  <si>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</si>
  <si>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</si>
  <si>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</si>
  <si>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</si>
  <si>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</si>
  <si>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</si>
  <si>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</si>
  <si>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</si>
  <si>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</si>
  <si>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</si>
  <si>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</si>
  <si>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</si>
  <si>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</si>
  <si>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</si>
  <si>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</si>
  <si>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</si>
  <si>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</si>
  <si>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</si>
  <si>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</si>
  <si>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</si>
  <si>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</si>
  <si>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</si>
  <si>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</si>
  <si>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</si>
  <si>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</si>
  <si>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</si>
  <si>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</si>
  <si>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</si>
  <si>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</si>
  <si>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</si>
  <si>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</si>
  <si>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</si>
  <si>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</si>
  <si>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</si>
  <si>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</si>
  <si>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</si>
  <si>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</si>
  <si>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</si>
  <si>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</si>
  <si>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</si>
  <si>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</si>
  <si>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</si>
  <si>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</si>
  <si>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</si>
  <si>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</si>
  <si>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</si>
  <si>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</si>
  <si>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</si>
  <si>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</si>
  <si>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</si>
  <si>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</si>
  <si>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</si>
  <si>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</si>
  <si>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</si>
  <si>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</si>
  <si>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</si>
  <si>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</si>
  <si>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</si>
  <si>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</si>
  <si>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</si>
  <si>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</si>
  <si>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</si>
  <si>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</si>
  <si>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</si>
  <si>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</si>
  <si>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</si>
  <si>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</si>
  <si>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</si>
  <si>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</si>
  <si>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</si>
  <si>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</si>
  <si>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</si>
  <si>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</si>
  <si>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</si>
  <si>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</si>
  <si>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</si>
  <si>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</si>
  <si>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</si>
  <si>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</si>
  <si>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</si>
  <si>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</si>
  <si>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</si>
  <si>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</si>
  <si>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</si>
  <si>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</si>
  <si>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</si>
  <si>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</si>
  <si>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</si>
  <si>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</si>
  <si>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</si>
  <si>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</si>
  <si>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</si>
  <si>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</si>
  <si>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</si>
  <si>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</si>
  <si>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</si>
  <si>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</si>
  <si>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</si>
  <si>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</si>
  <si>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</si>
  <si>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</si>
  <si>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</si>
  <si>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</si>
  <si>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</si>
  <si>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</si>
  <si>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</si>
  <si>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</si>
  <si>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</si>
  <si>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</si>
  <si>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</si>
  <si>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</si>
  <si>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</si>
  <si>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</si>
  <si>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</si>
  <si>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</si>
  <si>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</si>
  <si>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</si>
  <si>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</si>
  <si>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</si>
  <si>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</si>
  <si>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</si>
  <si>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</si>
  <si>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</si>
  <si>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</si>
  <si>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</si>
  <si>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</si>
  <si>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</si>
  <si>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</si>
  <si>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</si>
  <si>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</si>
  <si>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</si>
  <si>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</si>
  <si>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</si>
  <si>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</si>
  <si>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</si>
  <si>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</si>
  <si>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</si>
  <si>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</si>
  <si>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</si>
  <si>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</si>
  <si>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</si>
  <si>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</si>
  <si>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</si>
  <si>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</si>
  <si>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</si>
  <si>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</si>
  <si>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</si>
  <si>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</si>
  <si>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</si>
  <si>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</si>
  <si>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</si>
  <si>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</si>
  <si>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</si>
  <si>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</si>
  <si>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</si>
  <si>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</si>
  <si>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</si>
  <si>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</si>
  <si>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</si>
  <si>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</si>
  <si>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</si>
  <si>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</si>
  <si>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</si>
  <si>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</si>
  <si>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</si>
  <si>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</si>
  <si>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</si>
  <si>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</si>
  <si>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</si>
  <si>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</si>
  <si>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</si>
  <si>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</si>
  <si>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</si>
  <si>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</si>
  <si>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</si>
  <si>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</si>
  <si>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</si>
  <si>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</si>
  <si>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</si>
  <si>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</si>
  <si>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</si>
  <si>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</si>
  <si>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</si>
  <si>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</si>
  <si>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</si>
  <si>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</si>
  <si>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</si>
  <si>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</si>
  <si>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</si>
  <si>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</si>
  <si>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</si>
  <si>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</si>
  <si>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</si>
  <si>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</si>
  <si>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</si>
  <si>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</si>
  <si>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</si>
  <si>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</si>
  <si>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</si>
  <si>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</si>
  <si>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</si>
  <si>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</si>
  <si>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</si>
  <si>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</si>
  <si>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</si>
  <si>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</si>
  <si>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</si>
  <si>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</si>
  <si>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</si>
  <si>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</si>
  <si>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</si>
  <si>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</si>
  <si>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</si>
  <si>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</si>
  <si>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</si>
  <si>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</si>
  <si>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</si>
  <si>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</si>
  <si>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</si>
  <si>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</si>
  <si>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</si>
  <si>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</si>
  <si>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</si>
  <si>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</si>
  <si>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</si>
  <si>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</si>
  <si>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</si>
  <si>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</si>
  <si>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</si>
  <si>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</si>
  <si>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</si>
  <si>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</si>
  <si>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</si>
  <si>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</si>
  <si>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</si>
  <si>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</si>
  <si>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</si>
  <si>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</si>
  <si>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</si>
  <si>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</si>
  <si>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</si>
  <si>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</si>
  <si>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</si>
  <si>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</si>
  <si>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</si>
  <si>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</si>
  <si>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</si>
  <si>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</si>
  <si>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</si>
  <si>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</si>
  <si>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</si>
  <si>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</si>
  <si>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</si>
  <si>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</si>
  <si>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</si>
  <si>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</si>
  <si>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</si>
  <si>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</si>
  <si>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</si>
  <si>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</si>
  <si>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</si>
  <si>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</si>
  <si>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</si>
  <si>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</si>
  <si>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</si>
  <si>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</si>
  <si>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</si>
  <si>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</si>
  <si>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</si>
  <si>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</si>
  <si>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</si>
  <si>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</si>
  <si>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</si>
  <si>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</si>
  <si>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</si>
  <si>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</si>
  <si>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</si>
  <si>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</si>
  <si>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</si>
  <si>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</si>
  <si>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</si>
  <si>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</si>
  <si>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</si>
  <si>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</si>
  <si>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</si>
  <si>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</si>
  <si>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</si>
  <si>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</si>
  <si>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</si>
  <si>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</si>
  <si>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</si>
  <si>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</si>
  <si>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</si>
  <si>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</si>
  <si>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</si>
  <si>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</si>
  <si>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</si>
  <si>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</si>
  <si>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</si>
  <si>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</si>
  <si>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</si>
  <si>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</si>
  <si>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</si>
  <si>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</si>
  <si>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</si>
  <si>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</si>
  <si>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</si>
  <si>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</si>
  <si>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</si>
  <si>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</si>
  <si>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</si>
  <si>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</si>
  <si>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</si>
  <si>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</si>
  <si>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</si>
  <si>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</si>
  <si>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</si>
  <si>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</si>
  <si>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</si>
  <si>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</si>
  <si>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</si>
  <si>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</si>
  <si>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</si>
  <si>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</si>
  <si>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</si>
  <si>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</si>
  <si>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</si>
  <si>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</si>
  <si>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</si>
  <si>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</si>
  <si>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</si>
  <si>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</si>
  <si>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</si>
  <si>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</si>
  <si>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</si>
  <si>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</si>
  <si>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</si>
  <si>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</si>
  <si>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</si>
  <si>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</si>
  <si>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</si>
  <si>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</si>
  <si>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</si>
  <si>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</si>
  <si>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</si>
  <si>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</si>
  <si>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</si>
  <si>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</si>
  <si>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</si>
  <si>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</si>
  <si>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</si>
  <si>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</si>
  <si>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</si>
  <si>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</si>
  <si>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</si>
  <si>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</si>
  <si>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</si>
  <si>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</si>
  <si>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</si>
  <si>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</si>
  <si>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</si>
  <si>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</si>
  <si>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</si>
  <si>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</si>
  <si>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</si>
  <si>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</si>
  <si>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</si>
  <si>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</si>
  <si>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</si>
  <si>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</si>
  <si>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</si>
  <si>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</si>
  <si>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</si>
  <si>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</si>
  <si>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</si>
  <si>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</si>
  <si>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</si>
  <si>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</si>
  <si>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</si>
  <si>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</si>
  <si>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</si>
  <si>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</si>
  <si>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</si>
  <si>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</si>
  <si>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</si>
  <si>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</si>
  <si>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</si>
  <si>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</si>
  <si>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</si>
  <si>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</si>
  <si>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</si>
  <si>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</si>
  <si>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</si>
  <si>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</si>
  <si>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</si>
  <si>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</si>
  <si>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</si>
  <si>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</si>
  <si>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</si>
  <si>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</si>
  <si>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</si>
  <si>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</si>
  <si>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</si>
  <si>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</si>
  <si>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</si>
  <si>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</si>
  <si>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</si>
  <si>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</si>
  <si>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</si>
  <si>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</si>
  <si>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</si>
  <si>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</si>
  <si>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</si>
  <si>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</si>
  <si>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</si>
  <si>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</si>
  <si>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</si>
  <si>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</si>
  <si>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</si>
  <si>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</si>
  <si>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</si>
  <si>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</si>
  <si>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</si>
  <si>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</si>
  <si>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</si>
  <si>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</si>
  <si>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</si>
  <si>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</si>
  <si>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</si>
  <si>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</si>
  <si>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</si>
  <si>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</si>
  <si>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</si>
  <si>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</si>
  <si>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</si>
  <si>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</si>
  <si>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</si>
  <si>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</si>
  <si>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</si>
  <si>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</si>
  <si>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</si>
  <si>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</si>
  <si>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</si>
  <si>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</si>
  <si>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</si>
  <si>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</si>
  <si>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</si>
  <si>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</si>
  <si>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</si>
  <si>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</si>
  <si>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</si>
  <si>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</si>
  <si>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</si>
  <si>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</si>
  <si>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</si>
  <si>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</si>
  <si>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</si>
  <si>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</si>
  <si>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</si>
  <si>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</si>
  <si>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</si>
  <si>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</si>
  <si>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</si>
  <si>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</si>
  <si>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</si>
  <si>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</si>
  <si>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</si>
  <si>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</si>
  <si>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</si>
  <si>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</si>
  <si>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</si>
  <si>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</si>
  <si>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</si>
  <si>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</si>
  <si>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</si>
  <si>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</si>
  <si>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</si>
  <si>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</si>
  <si>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</si>
  <si>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</si>
  <si>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</si>
  <si>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</si>
  <si>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</si>
  <si>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</si>
  <si>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</si>
  <si>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</si>
  <si>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</si>
  <si>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</si>
  <si>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</si>
  <si>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</si>
  <si>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</si>
  <si>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</si>
  <si>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</si>
  <si>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</si>
  <si>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</si>
  <si>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</si>
  <si>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</si>
  <si>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</si>
  <si>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</si>
  <si>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</si>
  <si>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</si>
  <si>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</si>
  <si>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</si>
  <si>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</si>
  <si>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</si>
  <si>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</si>
  <si>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</si>
  <si>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</si>
  <si>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</si>
  <si>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</si>
  <si>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</si>
  <si>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</si>
  <si>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</si>
  <si>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</si>
  <si>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</si>
  <si>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</si>
  <si>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</si>
  <si>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</si>
  <si>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</si>
  <si>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</si>
  <si>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</si>
  <si>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</si>
  <si>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</si>
  <si>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</si>
  <si>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</si>
  <si>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</si>
  <si>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</si>
  <si>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</si>
  <si>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</si>
  <si>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</si>
  <si>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</si>
  <si>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</si>
  <si>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</si>
  <si>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</si>
  <si>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</si>
  <si>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</si>
  <si>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</si>
  <si>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</si>
  <si>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</si>
  <si>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</si>
  <si>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</si>
  <si>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</si>
  <si>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</si>
  <si>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</si>
  <si>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</si>
  <si>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</si>
  <si>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</si>
  <si>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</si>
  <si>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</si>
  <si>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</si>
  <si>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</si>
  <si>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</si>
  <si>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</si>
  <si>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</si>
  <si>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</si>
  <si>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</si>
  <si>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</si>
  <si>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</si>
  <si>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</si>
  <si>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</si>
  <si>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</si>
  <si>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</si>
  <si>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</si>
  <si>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</si>
  <si>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</si>
  <si>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</si>
  <si>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</si>
  <si>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</si>
  <si>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</si>
  <si>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</si>
  <si>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</si>
  <si>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</si>
  <si>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</si>
  <si>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</si>
  <si>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</si>
  <si>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</si>
  <si>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</si>
  <si>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</si>
  <si>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</si>
  <si>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</si>
  <si>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</si>
  <si>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</si>
  <si>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</si>
  <si>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</si>
  <si>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</si>
  <si>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</si>
  <si>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</si>
  <si>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</si>
  <si>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</si>
  <si>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</si>
  <si>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</si>
  <si>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</si>
  <si>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</si>
  <si>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</si>
  <si>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</si>
  <si>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</si>
  <si>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</si>
  <si>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</si>
  <si>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</si>
  <si>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</si>
  <si>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</si>
  <si>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</si>
  <si>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</si>
  <si>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</si>
  <si>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</si>
  <si>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</si>
  <si>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</si>
  <si>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</si>
  <si>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</si>
  <si>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</si>
  <si>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</si>
  <si>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</si>
  <si>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</si>
  <si>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</si>
  <si>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</si>
  <si>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</si>
  <si>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</si>
  <si>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</si>
  <si>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</si>
  <si>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</si>
  <si>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</si>
  <si>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</si>
  <si>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</si>
  <si>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</si>
  <si>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</si>
  <si>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</si>
  <si>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</si>
  <si>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</si>
  <si>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</si>
  <si>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</si>
  <si>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</si>
  <si>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</si>
  <si>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</si>
  <si>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</si>
  <si>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</si>
  <si>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</si>
  <si>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</si>
  <si>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</si>
  <si>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</si>
  <si>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</si>
  <si>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</si>
  <si>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</si>
  <si>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</si>
  <si>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</si>
  <si>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</si>
  <si>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</si>
  <si>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</si>
  <si>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</si>
  <si>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</si>
  <si>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</si>
  <si>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</si>
  <si>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</si>
  <si>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</si>
  <si>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</si>
  <si>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</si>
  <si>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</si>
  <si>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</si>
  <si>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</si>
  <si>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</si>
  <si>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</si>
  <si>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</si>
  <si>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</si>
  <si>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</si>
  <si>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</si>
  <si>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</si>
  <si>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</si>
  <si>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</si>
  <si>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</si>
  <si>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</si>
  <si>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</si>
  <si>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</si>
  <si>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</si>
  <si>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</si>
  <si>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</si>
  <si>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</si>
  <si>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</si>
  <si>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</si>
  <si>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</si>
  <si>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</si>
  <si>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</si>
  <si>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</si>
  <si>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</si>
  <si>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</si>
  <si>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</si>
  <si>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</si>
  <si>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</si>
  <si>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</si>
  <si>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</si>
  <si>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</si>
  <si>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</si>
  <si>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</si>
  <si>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</si>
  <si>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</si>
  <si>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</si>
  <si>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</si>
  <si>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</si>
  <si>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</si>
  <si>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</si>
  <si>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</si>
  <si>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</si>
  <si>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</si>
  <si>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</si>
  <si>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</si>
  <si>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</si>
  <si>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</si>
  <si>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</si>
  <si>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</si>
  <si>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</si>
  <si>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</si>
  <si>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</si>
  <si>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</si>
  <si>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</si>
  <si>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</si>
  <si>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</si>
  <si>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</si>
  <si>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</si>
  <si>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</si>
  <si>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</si>
  <si>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</si>
  <si>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</si>
  <si>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</si>
  <si>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</si>
  <si>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</si>
  <si>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</si>
  <si>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</si>
  <si>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</si>
  <si>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</si>
  <si>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</si>
  <si>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</si>
  <si>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</si>
  <si>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</si>
  <si>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</si>
  <si>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</si>
  <si>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</si>
  <si>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</si>
  <si>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</si>
  <si>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</si>
  <si>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</si>
  <si>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</si>
  <si>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</si>
  <si>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</si>
  <si>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</si>
  <si>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</si>
  <si>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</si>
  <si>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</si>
  <si>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</si>
  <si>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</si>
  <si>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</si>
  <si>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</si>
  <si>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</si>
  <si>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</si>
  <si>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</si>
  <si>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</si>
  <si>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</si>
  <si>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</si>
  <si>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</si>
  <si>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</si>
  <si>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</si>
  <si>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</si>
  <si>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</si>
  <si>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</si>
  <si>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</si>
  <si>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</si>
  <si>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</si>
  <si>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</si>
  <si>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</si>
  <si>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</si>
  <si>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</si>
  <si>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</si>
  <si>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</si>
  <si>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</si>
  <si>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</si>
  <si>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</si>
  <si>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</si>
  <si>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</si>
  <si>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</si>
  <si>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</si>
  <si>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</si>
  <si>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</si>
  <si>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</si>
  <si>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</si>
  <si>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</si>
  <si>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</si>
  <si>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</si>
  <si>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</si>
  <si>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</si>
  <si>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</si>
  <si>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</si>
  <si>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</si>
  <si>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</si>
  <si>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</si>
  <si>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</si>
  <si>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</si>
  <si>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</si>
  <si>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</si>
  <si>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</si>
  <si>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</si>
  <si>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</si>
  <si>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</si>
  <si>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</si>
  <si>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</si>
  <si>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</si>
  <si>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</si>
  <si>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</si>
  <si>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</si>
  <si>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</si>
  <si>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</si>
  <si>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</si>
  <si>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</si>
  <si>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</si>
  <si>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</si>
  <si>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</si>
  <si>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</si>
  <si>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</si>
  <si>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</si>
  <si>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</si>
  <si>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</si>
  <si>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</si>
  <si>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</si>
  <si>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</si>
  <si>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</si>
  <si>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</si>
  <si>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</si>
  <si>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</si>
  <si>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</si>
  <si>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</si>
  <si>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</si>
  <si>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</si>
  <si>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</si>
  <si>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</si>
  <si>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</si>
  <si>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</si>
  <si>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</si>
  <si>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</si>
  <si>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</si>
  <si>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</si>
  <si>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</si>
  <si>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</si>
  <si>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</si>
  <si>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</si>
  <si>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</si>
  <si>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</si>
  <si>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</si>
  <si>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</si>
  <si>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</si>
  <si>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</si>
  <si>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</si>
  <si>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</si>
  <si>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</si>
  <si>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</si>
  <si>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</si>
  <si>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</si>
  <si>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</si>
  <si>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</si>
  <si>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</si>
  <si>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</si>
  <si>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</si>
  <si>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</si>
  <si>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</si>
  <si>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</si>
  <si>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</si>
  <si>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</si>
  <si>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</si>
  <si>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</si>
  <si>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</si>
  <si>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</si>
  <si>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</si>
  <si>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</si>
  <si>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</si>
  <si>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</si>
  <si>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</si>
  <si>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</si>
  <si>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</si>
  <si>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</si>
  <si>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</si>
  <si>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</si>
  <si>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</si>
  <si>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</si>
  <si>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</si>
  <si>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</si>
  <si>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</si>
  <si>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</si>
  <si>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</si>
  <si>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</si>
  <si>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</si>
  <si>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</si>
  <si>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</si>
  <si>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</si>
  <si>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</si>
  <si>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</si>
  <si>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</si>
  <si>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</si>
  <si>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</si>
  <si>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</si>
  <si>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</si>
  <si>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</si>
  <si>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</si>
  <si>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</si>
  <si>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</si>
  <si>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</si>
  <si>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</si>
  <si>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</si>
  <si>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</si>
  <si>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</si>
  <si>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</si>
  <si>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</si>
  <si>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</si>
  <si>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</si>
  <si>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</si>
  <si>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</si>
  <si>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</si>
  <si>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</si>
  <si>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</si>
  <si>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</si>
  <si>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</si>
  <si>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</si>
  <si>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</si>
  <si>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</si>
  <si>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</si>
  <si>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</si>
  <si>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</si>
  <si>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</si>
  <si>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</si>
  <si>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V</t>
  </si>
  <si>
    <t>X</t>
  </si>
  <si>
    <t>AA</t>
  </si>
  <si>
    <t>მელ ჯერარდ კარვილი</t>
  </si>
  <si>
    <t>დამოუკიდებელი თავმჯდომარე</t>
  </si>
  <si>
    <t>თამაზ გეორგაძე</t>
  </si>
  <si>
    <t>არადამოუკიდებელი წევრი</t>
  </si>
  <si>
    <t>ალასდაირ ბრიჩი</t>
  </si>
  <si>
    <t>ჰანნა ლოიკანენი</t>
  </si>
  <si>
    <t>სესილ ქუილენი</t>
  </si>
  <si>
    <t>დამოუკიდებელი წევრი</t>
  </si>
  <si>
    <t>ვერონიკ მკ კაროლი</t>
  </si>
  <si>
    <t>ჯონათან მუირი</t>
  </si>
  <si>
    <t>მარიამ მეღვინეთუხუცესი</t>
  </si>
  <si>
    <t>არჩილ გაჩეჩილაძე</t>
  </si>
  <si>
    <t>გენერალური დირექტორი</t>
  </si>
  <si>
    <t>მიხეილ გომართელი</t>
  </si>
  <si>
    <t>გენერალური დირექტორის მოადგილე</t>
  </si>
  <si>
    <t>სულხან გვალია</t>
  </si>
  <si>
    <t>ეთერ ირემაძე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</si>
  <si>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</si>
  <si>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ზურაბ ქოქოსაძე</t>
  </si>
  <si>
    <t>გენერალური დირექტორის მოადგილე / კორპორაციული საბანკო მომსახურების მიმართულება</t>
  </si>
  <si>
    <t>დავით დავითაშვილი</t>
  </si>
  <si>
    <t>გენერალური დირექტორიე მოადგილე/ ინფორმაციული ტექნოლოგიები და მონაცემთა ანალიტიკა</t>
  </si>
  <si>
    <t>დავით ჭყონია</t>
  </si>
  <si>
    <t>გენერალური დირექტორიე მოადგილე</t>
  </si>
  <si>
    <t>Bank of Georgia Group Plc</t>
  </si>
  <si>
    <t>JSC BGEO Group</t>
  </si>
  <si>
    <t> 79.75%</t>
  </si>
  <si>
    <t>Georgia Capital JSC</t>
  </si>
  <si>
    <t>ცხრილი 9 (Capital), N17</t>
  </si>
  <si>
    <t>სს ”საქართველოს ბანკი”</t>
  </si>
  <si>
    <t>არჩილ  გაჩეჩილაძე</t>
  </si>
  <si>
    <t>www.bog.ge</t>
  </si>
  <si>
    <t>ცხრილი 9 (Capital),13</t>
  </si>
  <si>
    <t>`</t>
  </si>
  <si>
    <t>ცხრილი 9 (Capital),10</t>
  </si>
  <si>
    <t>მათ შორის: 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</si>
  <si>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t>
  </si>
  <si>
    <t>ცხრილი 9 (Capital),29</t>
  </si>
  <si>
    <t>ცხრილი 9 (Capital),38</t>
  </si>
  <si>
    <t>ცხრილი 9 (Capital), 2</t>
  </si>
  <si>
    <t>ცხრილი 9 (Capital), 12</t>
  </si>
  <si>
    <t>ცხრილი 9 (Capital), 3</t>
  </si>
  <si>
    <t>ცხრილი 9 (Capital), 6</t>
  </si>
  <si>
    <t>ცხრილი 9 (Capital), 4,8</t>
  </si>
  <si>
    <t>le</t>
  </si>
  <si>
    <t>მოთხოვნები გარანტიების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</si>
</sst>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
    <numFmt numFmtId="196" formatCode="#,##0.00000000"/>
    <numFmt numFmtId="197" formatCode="#,##0.00000000000000000_);[Red]\(#,##0.00000000000000000\)"/>
    <numFmt numFmtId="198" formatCode="#,##0.000000000000000"/>
  </numFmts>
  <fonts count="16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sz val="11"/>
      <color theme="1"/>
      <name val="Times New Roman"/>
      <family val="1"/>
    </font>
    <font>
      <sz val="10"/>
      <name val="Times New Roman"/>
      <family val="1"/>
    </font>
    <font>
      <sz val="10"/>
      <name val="Calibri"/>
      <family val="2"/>
      <charset val="204"/>
      <scheme val="minor"/>
    </font>
    <font>
      <sz val="10"/>
      <color rgb="FF000000"/>
      <name val="Calibri"/>
      <family val="2"/>
      <scheme val="minor"/>
    </font>
    <font>
      <b/>
      <sz val="10"/>
      <color theme="1"/>
      <name val="Times New Roman"/>
      <family val="1"/>
    </font>
    <font>
      <sz val="11"/>
      <name val="Sylfaen"/>
      <family val="1"/>
    </font>
    <font>
      <i/>
      <sz val="10"/>
      <name val="Times New Roman"/>
      <family val="1"/>
    </font>
    <font>
      <b/>
      <sz val="10"/>
      <name val="Times New Roma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BG Literaturuli"/>
      <family val="2"/>
    </font>
    <font>
      <b/>
      <sz val="9"/>
      <color theme="1"/>
      <name val="Calibri"/>
      <family val="1"/>
      <scheme val="minor"/>
    </font>
    <font>
      <b/>
      <sz val="11"/>
      <name val="Calibri"/>
      <family val="2"/>
      <scheme val="minor"/>
    </font>
  </fonts>
  <fills count="8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4" tint="0.79998168889431442"/>
        <bgColor theme="4" tint="0.79998168889431442"/>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thin">
        <color theme="4" tint="0.39997558519241921"/>
      </top>
      <bottom/>
      <diagonal/>
    </border>
  </borders>
  <cellStyleXfs count="2141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168" fontId="39"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168" fontId="39"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169" fontId="39"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8" fillId="9" borderId="23"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0" fontId="37" fillId="64" borderId="29" applyNumberFormat="0" applyAlignment="0" applyProtection="0"/>
    <xf numFmtId="168" fontId="39" fillId="64" borderId="29" applyNumberFormat="0" applyAlignment="0" applyProtection="0"/>
    <xf numFmtId="169" fontId="39" fillId="64" borderId="29" applyNumberFormat="0" applyAlignment="0" applyProtection="0"/>
    <xf numFmtId="168" fontId="39" fillId="64" borderId="29" applyNumberFormat="0" applyAlignment="0" applyProtection="0"/>
    <xf numFmtId="168" fontId="39" fillId="64" borderId="29" applyNumberFormat="0" applyAlignment="0" applyProtection="0"/>
    <xf numFmtId="169" fontId="39" fillId="64" borderId="29" applyNumberFormat="0" applyAlignment="0" applyProtection="0"/>
    <xf numFmtId="168" fontId="39" fillId="64" borderId="29" applyNumberFormat="0" applyAlignment="0" applyProtection="0"/>
    <xf numFmtId="168" fontId="39" fillId="64" borderId="29" applyNumberFormat="0" applyAlignment="0" applyProtection="0"/>
    <xf numFmtId="169" fontId="39" fillId="64" borderId="29" applyNumberFormat="0" applyAlignment="0" applyProtection="0"/>
    <xf numFmtId="168" fontId="39" fillId="64" borderId="29" applyNumberFormat="0" applyAlignment="0" applyProtection="0"/>
    <xf numFmtId="168" fontId="39" fillId="64" borderId="29" applyNumberFormat="0" applyAlignment="0" applyProtection="0"/>
    <xf numFmtId="169" fontId="39" fillId="64" borderId="29" applyNumberFormat="0" applyAlignment="0" applyProtection="0"/>
    <xf numFmtId="168" fontId="39" fillId="64" borderId="29" applyNumberFormat="0" applyAlignment="0" applyProtection="0"/>
    <xf numFmtId="0" fontId="37" fillId="64" borderId="29" applyNumberFormat="0" applyAlignment="0" applyProtection="0"/>
    <xf numFmtId="0" fontId="40" fillId="65" borderId="30" applyNumberFormat="0" applyAlignment="0" applyProtection="0"/>
    <xf numFmtId="0" fontId="41" fillId="10" borderId="26" applyNumberFormat="0" applyAlignment="0" applyProtection="0"/>
    <xf numFmtId="168"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0" fontId="40"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0" fontId="41" fillId="10" borderId="26"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169" fontId="42" fillId="65" borderId="30" applyNumberFormat="0" applyAlignment="0" applyProtection="0"/>
    <xf numFmtId="168" fontId="42" fillId="65" borderId="30" applyNumberFormat="0" applyAlignment="0" applyProtection="0"/>
    <xf numFmtId="0" fontId="40" fillId="65"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1">
      <alignment vertical="center"/>
    </xf>
    <xf numFmtId="38" fontId="25" fillId="0" borderId="31">
      <alignment vertical="center"/>
    </xf>
    <xf numFmtId="38" fontId="25" fillId="0" borderId="31">
      <alignment vertical="center"/>
    </xf>
    <xf numFmtId="38" fontId="25" fillId="0" borderId="31">
      <alignment vertical="center"/>
    </xf>
    <xf numFmtId="38" fontId="25" fillId="0" borderId="31">
      <alignment vertical="center"/>
    </xf>
    <xf numFmtId="38" fontId="25" fillId="0" borderId="31">
      <alignment vertical="center"/>
    </xf>
    <xf numFmtId="38" fontId="25" fillId="0" borderId="31">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2" applyNumberFormat="0" applyAlignment="0" applyProtection="0">
      <alignment horizontal="left" vertical="center"/>
    </xf>
    <xf numFmtId="0" fontId="53" fillId="0" borderId="22" applyNumberFormat="0" applyAlignment="0" applyProtection="0">
      <alignment horizontal="left" vertical="center"/>
    </xf>
    <xf numFmtId="168" fontId="53" fillId="0" borderId="22" applyNumberFormat="0" applyAlignment="0" applyProtection="0">
      <alignment horizontal="left" vertical="center"/>
    </xf>
    <xf numFmtId="0" fontId="53" fillId="0" borderId="6">
      <alignment horizontal="left" vertical="center"/>
    </xf>
    <xf numFmtId="0" fontId="53" fillId="0" borderId="6">
      <alignment horizontal="left" vertical="center"/>
    </xf>
    <xf numFmtId="168" fontId="53" fillId="0" borderId="6">
      <alignment horizontal="left" vertical="center"/>
    </xf>
    <xf numFmtId="0" fontId="54" fillId="0" borderId="32" applyNumberFormat="0" applyFill="0" applyAlignment="0" applyProtection="0"/>
    <xf numFmtId="169" fontId="54" fillId="0" borderId="32" applyNumberFormat="0" applyFill="0" applyAlignment="0" applyProtection="0"/>
    <xf numFmtId="0" fontId="54" fillId="0" borderId="32" applyNumberFormat="0" applyFill="0" applyAlignment="0" applyProtection="0"/>
    <xf numFmtId="168" fontId="54" fillId="0" borderId="32" applyNumberFormat="0" applyFill="0" applyAlignment="0" applyProtection="0"/>
    <xf numFmtId="168" fontId="54" fillId="0" borderId="32" applyNumberFormat="0" applyFill="0" applyAlignment="0" applyProtection="0"/>
    <xf numFmtId="168" fontId="54" fillId="0" borderId="32" applyNumberFormat="0" applyFill="0" applyAlignment="0" applyProtection="0"/>
    <xf numFmtId="169" fontId="54" fillId="0" borderId="32" applyNumberFormat="0" applyFill="0" applyAlignment="0" applyProtection="0"/>
    <xf numFmtId="168" fontId="54" fillId="0" borderId="32" applyNumberFormat="0" applyFill="0" applyAlignment="0" applyProtection="0"/>
    <xf numFmtId="168" fontId="54" fillId="0" borderId="32" applyNumberFormat="0" applyFill="0" applyAlignment="0" applyProtection="0"/>
    <xf numFmtId="169" fontId="54" fillId="0" borderId="32" applyNumberFormat="0" applyFill="0" applyAlignment="0" applyProtection="0"/>
    <xf numFmtId="168" fontId="54" fillId="0" borderId="32" applyNumberFormat="0" applyFill="0" applyAlignment="0" applyProtection="0"/>
    <xf numFmtId="168" fontId="54" fillId="0" borderId="32" applyNumberFormat="0" applyFill="0" applyAlignment="0" applyProtection="0"/>
    <xf numFmtId="169" fontId="54" fillId="0" borderId="32" applyNumberFormat="0" applyFill="0" applyAlignment="0" applyProtection="0"/>
    <xf numFmtId="168" fontId="54" fillId="0" borderId="32" applyNumberFormat="0" applyFill="0" applyAlignment="0" applyProtection="0"/>
    <xf numFmtId="168" fontId="54" fillId="0" borderId="32" applyNumberFormat="0" applyFill="0" applyAlignment="0" applyProtection="0"/>
    <xf numFmtId="169" fontId="54" fillId="0" borderId="32" applyNumberFormat="0" applyFill="0" applyAlignment="0" applyProtection="0"/>
    <xf numFmtId="168"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169" fontId="55" fillId="0" borderId="33" applyNumberFormat="0" applyFill="0" applyAlignment="0" applyProtection="0"/>
    <xf numFmtId="0" fontId="55" fillId="0" borderId="33" applyNumberFormat="0" applyFill="0" applyAlignment="0" applyProtection="0"/>
    <xf numFmtId="168" fontId="55" fillId="0" borderId="33" applyNumberFormat="0" applyFill="0" applyAlignment="0" applyProtection="0"/>
    <xf numFmtId="168" fontId="55" fillId="0" borderId="33" applyNumberFormat="0" applyFill="0" applyAlignment="0" applyProtection="0"/>
    <xf numFmtId="168" fontId="55" fillId="0" borderId="33" applyNumberFormat="0" applyFill="0" applyAlignment="0" applyProtection="0"/>
    <xf numFmtId="169" fontId="55" fillId="0" borderId="33" applyNumberFormat="0" applyFill="0" applyAlignment="0" applyProtection="0"/>
    <xf numFmtId="168" fontId="55" fillId="0" borderId="33" applyNumberFormat="0" applyFill="0" applyAlignment="0" applyProtection="0"/>
    <xf numFmtId="168" fontId="55" fillId="0" borderId="33" applyNumberFormat="0" applyFill="0" applyAlignment="0" applyProtection="0"/>
    <xf numFmtId="169" fontId="55" fillId="0" borderId="33" applyNumberFormat="0" applyFill="0" applyAlignment="0" applyProtection="0"/>
    <xf numFmtId="168" fontId="55" fillId="0" borderId="33" applyNumberFormat="0" applyFill="0" applyAlignment="0" applyProtection="0"/>
    <xf numFmtId="168" fontId="55" fillId="0" borderId="33" applyNumberFormat="0" applyFill="0" applyAlignment="0" applyProtection="0"/>
    <xf numFmtId="169" fontId="55" fillId="0" borderId="33" applyNumberFormat="0" applyFill="0" applyAlignment="0" applyProtection="0"/>
    <xf numFmtId="168" fontId="55" fillId="0" borderId="33" applyNumberFormat="0" applyFill="0" applyAlignment="0" applyProtection="0"/>
    <xf numFmtId="168" fontId="55" fillId="0" borderId="33" applyNumberFormat="0" applyFill="0" applyAlignment="0" applyProtection="0"/>
    <xf numFmtId="169" fontId="55" fillId="0" borderId="33" applyNumberFormat="0" applyFill="0" applyAlignment="0" applyProtection="0"/>
    <xf numFmtId="168" fontId="55" fillId="0" borderId="33" applyNumberFormat="0" applyFill="0" applyAlignment="0" applyProtection="0"/>
    <xf numFmtId="0" fontId="55" fillId="0" borderId="33" applyNumberFormat="0" applyFill="0" applyAlignment="0" applyProtection="0"/>
    <xf numFmtId="0" fontId="56" fillId="0" borderId="34" applyNumberFormat="0" applyFill="0" applyAlignment="0" applyProtection="0"/>
    <xf numFmtId="169" fontId="56" fillId="0" borderId="34" applyNumberFormat="0" applyFill="0" applyAlignment="0" applyProtection="0"/>
    <xf numFmtId="0" fontId="56" fillId="0" borderId="34" applyNumberFormat="0" applyFill="0" applyAlignment="0" applyProtection="0"/>
    <xf numFmtId="168" fontId="56" fillId="0" borderId="34" applyNumberFormat="0" applyFill="0" applyAlignment="0" applyProtection="0"/>
    <xf numFmtId="0" fontId="56" fillId="0" borderId="34" applyNumberFormat="0" applyFill="0" applyAlignment="0" applyProtection="0"/>
    <xf numFmtId="168"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168" fontId="56" fillId="0" borderId="34" applyNumberFormat="0" applyFill="0" applyAlignment="0" applyProtection="0"/>
    <xf numFmtId="169" fontId="56" fillId="0" borderId="34" applyNumberFormat="0" applyFill="0" applyAlignment="0" applyProtection="0"/>
    <xf numFmtId="168" fontId="56" fillId="0" borderId="34" applyNumberFormat="0" applyFill="0" applyAlignment="0" applyProtection="0"/>
    <xf numFmtId="168" fontId="56" fillId="0" borderId="34" applyNumberFormat="0" applyFill="0" applyAlignment="0" applyProtection="0"/>
    <xf numFmtId="169" fontId="56" fillId="0" borderId="34" applyNumberFormat="0" applyFill="0" applyAlignment="0" applyProtection="0"/>
    <xf numFmtId="168" fontId="56" fillId="0" borderId="34" applyNumberFormat="0" applyFill="0" applyAlignment="0" applyProtection="0"/>
    <xf numFmtId="168" fontId="56" fillId="0" borderId="34" applyNumberFormat="0" applyFill="0" applyAlignment="0" applyProtection="0"/>
    <xf numFmtId="169" fontId="56" fillId="0" borderId="34" applyNumberFormat="0" applyFill="0" applyAlignment="0" applyProtection="0"/>
    <xf numFmtId="168" fontId="56" fillId="0" borderId="34" applyNumberFormat="0" applyFill="0" applyAlignment="0" applyProtection="0"/>
    <xf numFmtId="168" fontId="56" fillId="0" borderId="34" applyNumberFormat="0" applyFill="0" applyAlignment="0" applyProtection="0"/>
    <xf numFmtId="169" fontId="56" fillId="0" borderId="34" applyNumberFormat="0" applyFill="0" applyAlignment="0" applyProtection="0"/>
    <xf numFmtId="168" fontId="56" fillId="0" borderId="34" applyNumberFormat="0" applyFill="0" applyAlignment="0" applyProtection="0"/>
    <xf numFmtId="0" fontId="56" fillId="0" borderId="34"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5"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168" fontId="67"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168" fontId="67"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169" fontId="67"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6" fillId="8" borderId="23"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0" fontId="65" fillId="43" borderId="29" applyNumberFormat="0" applyAlignment="0" applyProtection="0"/>
    <xf numFmtId="168" fontId="67" fillId="43" borderId="29" applyNumberFormat="0" applyAlignment="0" applyProtection="0"/>
    <xf numFmtId="169" fontId="67" fillId="43" borderId="29" applyNumberFormat="0" applyAlignment="0" applyProtection="0"/>
    <xf numFmtId="168" fontId="67" fillId="43" borderId="29" applyNumberFormat="0" applyAlignment="0" applyProtection="0"/>
    <xf numFmtId="168" fontId="67" fillId="43" borderId="29" applyNumberFormat="0" applyAlignment="0" applyProtection="0"/>
    <xf numFmtId="169" fontId="67" fillId="43" borderId="29" applyNumberFormat="0" applyAlignment="0" applyProtection="0"/>
    <xf numFmtId="168" fontId="67" fillId="43" borderId="29" applyNumberFormat="0" applyAlignment="0" applyProtection="0"/>
    <xf numFmtId="168" fontId="67" fillId="43" borderId="29" applyNumberFormat="0" applyAlignment="0" applyProtection="0"/>
    <xf numFmtId="169" fontId="67" fillId="43" borderId="29" applyNumberFormat="0" applyAlignment="0" applyProtection="0"/>
    <xf numFmtId="168" fontId="67" fillId="43" borderId="29" applyNumberFormat="0" applyAlignment="0" applyProtection="0"/>
    <xf numFmtId="168" fontId="67" fillId="43" borderId="29" applyNumberFormat="0" applyAlignment="0" applyProtection="0"/>
    <xf numFmtId="169" fontId="67" fillId="43" borderId="29" applyNumberFormat="0" applyAlignment="0" applyProtection="0"/>
    <xf numFmtId="168" fontId="67" fillId="43" borderId="29" applyNumberFormat="0" applyAlignment="0" applyProtection="0"/>
    <xf numFmtId="0" fontId="65" fillId="43" borderId="29"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5" applyNumberFormat="0" applyFill="0" applyAlignment="0" applyProtection="0"/>
    <xf numFmtId="0" fontId="69" fillId="0" borderId="25" applyNumberFormat="0" applyFill="0" applyAlignment="0" applyProtection="0"/>
    <xf numFmtId="168" fontId="70" fillId="0" borderId="35" applyNumberFormat="0" applyFill="0" applyAlignment="0" applyProtection="0"/>
    <xf numFmtId="168" fontId="70" fillId="0" borderId="35" applyNumberFormat="0" applyFill="0" applyAlignment="0" applyProtection="0"/>
    <xf numFmtId="169" fontId="70" fillId="0" borderId="35" applyNumberFormat="0" applyFill="0" applyAlignment="0" applyProtection="0"/>
    <xf numFmtId="0" fontId="68" fillId="0" borderId="3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168" fontId="70" fillId="0" borderId="35" applyNumberFormat="0" applyFill="0" applyAlignment="0" applyProtection="0"/>
    <xf numFmtId="169" fontId="70" fillId="0" borderId="35" applyNumberFormat="0" applyFill="0" applyAlignment="0" applyProtection="0"/>
    <xf numFmtId="168" fontId="70" fillId="0" borderId="35" applyNumberFormat="0" applyFill="0" applyAlignment="0" applyProtection="0"/>
    <xf numFmtId="168" fontId="70" fillId="0" borderId="35" applyNumberFormat="0" applyFill="0" applyAlignment="0" applyProtection="0"/>
    <xf numFmtId="169" fontId="70" fillId="0" borderId="35" applyNumberFormat="0" applyFill="0" applyAlignment="0" applyProtection="0"/>
    <xf numFmtId="168" fontId="70" fillId="0" borderId="35" applyNumberFormat="0" applyFill="0" applyAlignment="0" applyProtection="0"/>
    <xf numFmtId="168" fontId="70" fillId="0" borderId="35" applyNumberFormat="0" applyFill="0" applyAlignment="0" applyProtection="0"/>
    <xf numFmtId="169" fontId="70" fillId="0" borderId="35" applyNumberFormat="0" applyFill="0" applyAlignment="0" applyProtection="0"/>
    <xf numFmtId="168" fontId="70" fillId="0" borderId="35" applyNumberFormat="0" applyFill="0" applyAlignment="0" applyProtection="0"/>
    <xf numFmtId="168" fontId="70" fillId="0" borderId="35" applyNumberFormat="0" applyFill="0" applyAlignment="0" applyProtection="0"/>
    <xf numFmtId="169" fontId="70" fillId="0" borderId="35" applyNumberFormat="0" applyFill="0" applyAlignment="0" applyProtection="0"/>
    <xf numFmtId="168" fontId="70" fillId="0" borderId="35" applyNumberFormat="0" applyFill="0" applyAlignment="0" applyProtection="0"/>
    <xf numFmtId="0" fontId="68"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36"/>
    <xf numFmtId="169" fontId="25" fillId="0" borderId="36"/>
    <xf numFmtId="168" fontId="25"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168" fontId="2" fillId="0" borderId="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 fillId="74" borderId="37" applyNumberFormat="0" applyFont="0" applyAlignment="0" applyProtection="0"/>
    <xf numFmtId="0" fontId="26" fillId="74" borderId="37" applyNumberFormat="0" applyFont="0" applyAlignment="0" applyProtection="0"/>
    <xf numFmtId="168" fontId="2" fillId="0" borderId="0"/>
    <xf numFmtId="0" fontId="26" fillId="74" borderId="37" applyNumberFormat="0" applyFont="0" applyAlignment="0" applyProtection="0"/>
    <xf numFmtId="0" fontId="26" fillId="74" borderId="37" applyNumberFormat="0" applyFont="0" applyAlignment="0" applyProtection="0"/>
    <xf numFmtId="0" fontId="2" fillId="74" borderId="37" applyNumberFormat="0" applyFont="0" applyAlignment="0" applyProtection="0"/>
    <xf numFmtId="0" fontId="2" fillId="74" borderId="37" applyNumberFormat="0" applyFont="0" applyAlignment="0" applyProtection="0"/>
    <xf numFmtId="0" fontId="26" fillId="74" borderId="37" applyNumberFormat="0" applyFont="0" applyAlignment="0" applyProtection="0"/>
    <xf numFmtId="0" fontId="2"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169" fontId="2" fillId="0" borderId="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 fillId="74" borderId="37" applyNumberFormat="0" applyFont="0" applyAlignment="0" applyProtection="0"/>
    <xf numFmtId="0" fontId="2" fillId="0" borderId="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7" fillId="11" borderId="2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6" fillId="74" borderId="37" applyNumberFormat="0" applyFont="0" applyAlignment="0" applyProtection="0"/>
    <xf numFmtId="0" fontId="2" fillId="74" borderId="37" applyNumberFormat="0" applyFont="0" applyAlignment="0" applyProtection="0"/>
    <xf numFmtId="0" fontId="2" fillId="74" borderId="37" applyNumberFormat="0" applyFont="0" applyAlignment="0" applyProtection="0"/>
    <xf numFmtId="169" fontId="2" fillId="0" borderId="0"/>
    <xf numFmtId="0" fontId="2" fillId="74" borderId="37" applyNumberFormat="0" applyFont="0" applyAlignment="0" applyProtection="0"/>
    <xf numFmtId="168" fontId="2" fillId="0" borderId="0"/>
    <xf numFmtId="0" fontId="2" fillId="74" borderId="37" applyNumberFormat="0" applyFont="0" applyAlignment="0" applyProtection="0"/>
    <xf numFmtId="168" fontId="2" fillId="0" borderId="0"/>
    <xf numFmtId="0" fontId="2" fillId="74" borderId="37" applyNumberFormat="0" applyFont="0" applyAlignment="0" applyProtection="0"/>
    <xf numFmtId="0" fontId="2" fillId="74" borderId="37" applyNumberFormat="0" applyFont="0" applyAlignment="0" applyProtection="0"/>
    <xf numFmtId="169" fontId="2" fillId="0" borderId="0"/>
    <xf numFmtId="168" fontId="2" fillId="0" borderId="0"/>
    <xf numFmtId="0" fontId="2" fillId="74" borderId="37" applyNumberFormat="0" applyFont="0" applyAlignment="0" applyProtection="0"/>
    <xf numFmtId="168" fontId="2" fillId="0" borderId="0"/>
    <xf numFmtId="0" fontId="2" fillId="74" borderId="37" applyNumberFormat="0" applyFont="0" applyAlignment="0" applyProtection="0"/>
    <xf numFmtId="0" fontId="2" fillId="74" borderId="37" applyNumberFormat="0" applyFont="0" applyAlignment="0" applyProtection="0"/>
    <xf numFmtId="169" fontId="2" fillId="0" borderId="0"/>
    <xf numFmtId="0" fontId="2" fillId="74" borderId="37" applyNumberFormat="0" applyFont="0" applyAlignment="0" applyProtection="0"/>
    <xf numFmtId="168" fontId="2" fillId="0" borderId="0"/>
    <xf numFmtId="0" fontId="2" fillId="74" borderId="37" applyNumberFormat="0" applyFont="0" applyAlignment="0" applyProtection="0"/>
    <xf numFmtId="168" fontId="2" fillId="0" borderId="0"/>
    <xf numFmtId="0" fontId="2" fillId="74" borderId="37" applyNumberFormat="0" applyFont="0" applyAlignment="0" applyProtection="0"/>
    <xf numFmtId="0" fontId="2" fillId="74" borderId="37" applyNumberFormat="0" applyFont="0" applyAlignment="0" applyProtection="0"/>
    <xf numFmtId="169" fontId="2" fillId="0" borderId="0"/>
    <xf numFmtId="168" fontId="2" fillId="0" borderId="0"/>
    <xf numFmtId="168" fontId="2" fillId="0" borderId="0"/>
    <xf numFmtId="0" fontId="2" fillId="74" borderId="37" applyNumberFormat="0" applyFont="0" applyAlignment="0" applyProtection="0"/>
    <xf numFmtId="0" fontId="2" fillId="74" borderId="37" applyNumberFormat="0" applyFont="0" applyAlignment="0" applyProtection="0"/>
    <xf numFmtId="0" fontId="2" fillId="74" borderId="37" applyNumberFormat="0" applyFont="0" applyAlignment="0" applyProtection="0"/>
    <xf numFmtId="0" fontId="2" fillId="74"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168" fontId="84"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168" fontId="84"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169" fontId="84"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3" fillId="9" borderId="24"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0" fontId="82" fillId="64" borderId="38" applyNumberFormat="0" applyAlignment="0" applyProtection="0"/>
    <xf numFmtId="168" fontId="84" fillId="64" borderId="38" applyNumberFormat="0" applyAlignment="0" applyProtection="0"/>
    <xf numFmtId="169" fontId="84" fillId="64" borderId="38" applyNumberFormat="0" applyAlignment="0" applyProtection="0"/>
    <xf numFmtId="168" fontId="84" fillId="64" borderId="38" applyNumberFormat="0" applyAlignment="0" applyProtection="0"/>
    <xf numFmtId="168" fontId="84" fillId="64" borderId="38" applyNumberFormat="0" applyAlignment="0" applyProtection="0"/>
    <xf numFmtId="169" fontId="84" fillId="64" borderId="38" applyNumberFormat="0" applyAlignment="0" applyProtection="0"/>
    <xf numFmtId="168" fontId="84" fillId="64" borderId="38" applyNumberFormat="0" applyAlignment="0" applyProtection="0"/>
    <xf numFmtId="168" fontId="84" fillId="64" borderId="38" applyNumberFormat="0" applyAlignment="0" applyProtection="0"/>
    <xf numFmtId="169" fontId="84" fillId="64" borderId="38" applyNumberFormat="0" applyAlignment="0" applyProtection="0"/>
    <xf numFmtId="168" fontId="84" fillId="64" borderId="38" applyNumberFormat="0" applyAlignment="0" applyProtection="0"/>
    <xf numFmtId="168" fontId="84" fillId="64" borderId="38" applyNumberFormat="0" applyAlignment="0" applyProtection="0"/>
    <xf numFmtId="169" fontId="84" fillId="64" borderId="38" applyNumberFormat="0" applyAlignment="0" applyProtection="0"/>
    <xf numFmtId="168" fontId="84" fillId="64" borderId="38" applyNumberFormat="0" applyAlignment="0" applyProtection="0"/>
    <xf numFmtId="0" fontId="82" fillId="64" borderId="38"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168" fontId="93"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168" fontId="93"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169" fontId="93"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5" fillId="0" borderId="28"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168" fontId="93" fillId="0" borderId="39" applyNumberFormat="0" applyFill="0" applyAlignment="0" applyProtection="0"/>
    <xf numFmtId="169" fontId="93" fillId="0" borderId="39" applyNumberFormat="0" applyFill="0" applyAlignment="0" applyProtection="0"/>
    <xf numFmtId="168" fontId="93" fillId="0" borderId="39" applyNumberFormat="0" applyFill="0" applyAlignment="0" applyProtection="0"/>
    <xf numFmtId="168" fontId="93" fillId="0" borderId="39" applyNumberFormat="0" applyFill="0" applyAlignment="0" applyProtection="0"/>
    <xf numFmtId="169" fontId="93" fillId="0" borderId="39" applyNumberFormat="0" applyFill="0" applyAlignment="0" applyProtection="0"/>
    <xf numFmtId="168" fontId="93" fillId="0" borderId="39" applyNumberFormat="0" applyFill="0" applyAlignment="0" applyProtection="0"/>
    <xf numFmtId="168" fontId="93" fillId="0" borderId="39" applyNumberFormat="0" applyFill="0" applyAlignment="0" applyProtection="0"/>
    <xf numFmtId="169" fontId="93" fillId="0" borderId="39" applyNumberFormat="0" applyFill="0" applyAlignment="0" applyProtection="0"/>
    <xf numFmtId="168" fontId="93" fillId="0" borderId="39" applyNumberFormat="0" applyFill="0" applyAlignment="0" applyProtection="0"/>
    <xf numFmtId="168" fontId="93" fillId="0" borderId="39" applyNumberFormat="0" applyFill="0" applyAlignment="0" applyProtection="0"/>
    <xf numFmtId="169" fontId="93" fillId="0" borderId="39" applyNumberFormat="0" applyFill="0" applyAlignment="0" applyProtection="0"/>
    <xf numFmtId="168" fontId="93" fillId="0" borderId="39" applyNumberFormat="0" applyFill="0" applyAlignment="0" applyProtection="0"/>
    <xf numFmtId="0" fontId="46" fillId="0" borderId="39" applyNumberFormat="0" applyFill="0" applyAlignment="0" applyProtection="0"/>
    <xf numFmtId="0" fontId="24" fillId="0" borderId="40"/>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0" applyNumberFormat="0" applyFill="0" applyAlignment="0" applyProtection="0"/>
    <xf numFmtId="168" fontId="93" fillId="0" borderId="90" applyNumberFormat="0" applyFill="0" applyAlignment="0" applyProtection="0"/>
    <xf numFmtId="169" fontId="93" fillId="0" borderId="90" applyNumberFormat="0" applyFill="0" applyAlignment="0" applyProtection="0"/>
    <xf numFmtId="168" fontId="93" fillId="0" borderId="90" applyNumberFormat="0" applyFill="0" applyAlignment="0" applyProtection="0"/>
    <xf numFmtId="168" fontId="93" fillId="0" borderId="90" applyNumberFormat="0" applyFill="0" applyAlignment="0" applyProtection="0"/>
    <xf numFmtId="169" fontId="93" fillId="0" borderId="90" applyNumberFormat="0" applyFill="0" applyAlignment="0" applyProtection="0"/>
    <xf numFmtId="168" fontId="93" fillId="0" borderId="90" applyNumberFormat="0" applyFill="0" applyAlignment="0" applyProtection="0"/>
    <xf numFmtId="168" fontId="93" fillId="0" borderId="90" applyNumberFormat="0" applyFill="0" applyAlignment="0" applyProtection="0"/>
    <xf numFmtId="169" fontId="93" fillId="0" borderId="90" applyNumberFormat="0" applyFill="0" applyAlignment="0" applyProtection="0"/>
    <xf numFmtId="168" fontId="93" fillId="0" borderId="90" applyNumberFormat="0" applyFill="0" applyAlignment="0" applyProtection="0"/>
    <xf numFmtId="168" fontId="93" fillId="0" borderId="90" applyNumberFormat="0" applyFill="0" applyAlignment="0" applyProtection="0"/>
    <xf numFmtId="169" fontId="93" fillId="0" borderId="90" applyNumberFormat="0" applyFill="0" applyAlignment="0" applyProtection="0"/>
    <xf numFmtId="168" fontId="93"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169" fontId="93"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168" fontId="93"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168" fontId="93"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0" fontId="46" fillId="0" borderId="90" applyNumberFormat="0" applyFill="0" applyAlignment="0" applyProtection="0"/>
    <xf numFmtId="188" fontId="2" fillId="70" borderId="84" applyFont="0">
      <alignment horizontal="right" vertical="center"/>
    </xf>
    <xf numFmtId="3" fontId="2" fillId="70" borderId="84" applyFont="0">
      <alignment horizontal="right" vertical="center"/>
    </xf>
    <xf numFmtId="0" fontId="82" fillId="64" borderId="89" applyNumberFormat="0" applyAlignment="0" applyProtection="0"/>
    <xf numFmtId="168" fontId="84" fillId="64" borderId="89" applyNumberFormat="0" applyAlignment="0" applyProtection="0"/>
    <xf numFmtId="169" fontId="84" fillId="64" borderId="89" applyNumberFormat="0" applyAlignment="0" applyProtection="0"/>
    <xf numFmtId="168" fontId="84" fillId="64" borderId="89" applyNumberFormat="0" applyAlignment="0" applyProtection="0"/>
    <xf numFmtId="168" fontId="84" fillId="64" borderId="89" applyNumberFormat="0" applyAlignment="0" applyProtection="0"/>
    <xf numFmtId="169" fontId="84" fillId="64" borderId="89" applyNumberFormat="0" applyAlignment="0" applyProtection="0"/>
    <xf numFmtId="168" fontId="84" fillId="64" borderId="89" applyNumberFormat="0" applyAlignment="0" applyProtection="0"/>
    <xf numFmtId="168" fontId="84" fillId="64" borderId="89" applyNumberFormat="0" applyAlignment="0" applyProtection="0"/>
    <xf numFmtId="169" fontId="84" fillId="64" borderId="89" applyNumberFormat="0" applyAlignment="0" applyProtection="0"/>
    <xf numFmtId="168" fontId="84" fillId="64" borderId="89" applyNumberFormat="0" applyAlignment="0" applyProtection="0"/>
    <xf numFmtId="168" fontId="84" fillId="64" borderId="89" applyNumberFormat="0" applyAlignment="0" applyProtection="0"/>
    <xf numFmtId="169" fontId="84" fillId="64" borderId="89" applyNumberFormat="0" applyAlignment="0" applyProtection="0"/>
    <xf numFmtId="168" fontId="84"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169" fontId="84"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168" fontId="84"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168" fontId="84"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0" fontId="82" fillId="64" borderId="89" applyNumberFormat="0" applyAlignment="0" applyProtection="0"/>
    <xf numFmtId="3" fontId="2" fillId="75" borderId="84" applyFont="0">
      <alignment horizontal="right" vertical="center"/>
      <protection locked="0"/>
    </xf>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 fillId="74" borderId="88" applyNumberFormat="0" applyFont="0" applyAlignment="0" applyProtection="0"/>
    <xf numFmtId="0" fontId="26"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0" fontId="26" fillId="74" borderId="88" applyNumberFormat="0" applyFont="0" applyAlignment="0" applyProtection="0"/>
    <xf numFmtId="3" fontId="2" fillId="72" borderId="84" applyFont="0">
      <alignment horizontal="right" vertical="center"/>
      <protection locked="0"/>
    </xf>
    <xf numFmtId="0" fontId="65" fillId="43" borderId="87" applyNumberFormat="0" applyAlignment="0" applyProtection="0"/>
    <xf numFmtId="168" fontId="67" fillId="43" borderId="87" applyNumberFormat="0" applyAlignment="0" applyProtection="0"/>
    <xf numFmtId="169" fontId="67" fillId="43" borderId="87" applyNumberFormat="0" applyAlignment="0" applyProtection="0"/>
    <xf numFmtId="168" fontId="67" fillId="43" borderId="87" applyNumberFormat="0" applyAlignment="0" applyProtection="0"/>
    <xf numFmtId="168" fontId="67" fillId="43" borderId="87" applyNumberFormat="0" applyAlignment="0" applyProtection="0"/>
    <xf numFmtId="169" fontId="67" fillId="43" borderId="87" applyNumberFormat="0" applyAlignment="0" applyProtection="0"/>
    <xf numFmtId="168" fontId="67" fillId="43" borderId="87" applyNumberFormat="0" applyAlignment="0" applyProtection="0"/>
    <xf numFmtId="168" fontId="67" fillId="43" borderId="87" applyNumberFormat="0" applyAlignment="0" applyProtection="0"/>
    <xf numFmtId="169" fontId="67" fillId="43" borderId="87" applyNumberFormat="0" applyAlignment="0" applyProtection="0"/>
    <xf numFmtId="168" fontId="67" fillId="43" borderId="87" applyNumberFormat="0" applyAlignment="0" applyProtection="0"/>
    <xf numFmtId="168" fontId="67" fillId="43" borderId="87" applyNumberFormat="0" applyAlignment="0" applyProtection="0"/>
    <xf numFmtId="169" fontId="67" fillId="43" borderId="87" applyNumberFormat="0" applyAlignment="0" applyProtection="0"/>
    <xf numFmtId="168" fontId="67"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169" fontId="67"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168" fontId="67"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168" fontId="67"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65" fillId="43" borderId="87" applyNumberFormat="0" applyAlignment="0" applyProtection="0"/>
    <xf numFmtId="0" fontId="2" fillId="71" borderId="85" applyNumberFormat="0" applyFont="0" applyBorder="0" applyProtection="0">
      <alignment horizontal="left" vertical="center"/>
    </xf>
    <xf numFmtId="9" fontId="2" fillId="71" borderId="84" applyFont="0" applyProtection="0">
      <alignment horizontal="right" vertical="center"/>
    </xf>
    <xf numFmtId="3" fontId="2" fillId="71" borderId="84" applyFont="0" applyProtection="0">
      <alignment horizontal="right" vertical="center"/>
    </xf>
    <xf numFmtId="0" fontId="61" fillId="70" borderId="85" applyFont="0" applyBorder="0">
      <alignment horizontal="center" wrapText="1"/>
    </xf>
    <xf numFmtId="168" fontId="53" fillId="0" borderId="82">
      <alignment horizontal="left" vertical="center"/>
    </xf>
    <xf numFmtId="0" fontId="53" fillId="0" borderId="82">
      <alignment horizontal="left" vertical="center"/>
    </xf>
    <xf numFmtId="0" fontId="53" fillId="0" borderId="82">
      <alignment horizontal="left" vertical="center"/>
    </xf>
    <xf numFmtId="0" fontId="2" fillId="69" borderId="84" applyNumberFormat="0" applyFont="0" applyBorder="0" applyProtection="0">
      <alignment horizontal="center" vertical="center"/>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5" fillId="0" borderId="84" applyNumberFormat="0" applyAlignment="0">
      <alignment horizontal="right"/>
      <protection locked="0"/>
    </xf>
    <xf numFmtId="0" fontId="37" fillId="64" borderId="87" applyNumberFormat="0" applyAlignment="0" applyProtection="0"/>
    <xf numFmtId="168" fontId="39" fillId="64" borderId="87" applyNumberFormat="0" applyAlignment="0" applyProtection="0"/>
    <xf numFmtId="169" fontId="39" fillId="64" borderId="87" applyNumberFormat="0" applyAlignment="0" applyProtection="0"/>
    <xf numFmtId="168" fontId="39" fillId="64" borderId="87" applyNumberFormat="0" applyAlignment="0" applyProtection="0"/>
    <xf numFmtId="168" fontId="39" fillId="64" borderId="87" applyNumberFormat="0" applyAlignment="0" applyProtection="0"/>
    <xf numFmtId="169" fontId="39" fillId="64" borderId="87" applyNumberFormat="0" applyAlignment="0" applyProtection="0"/>
    <xf numFmtId="168" fontId="39" fillId="64" borderId="87" applyNumberFormat="0" applyAlignment="0" applyProtection="0"/>
    <xf numFmtId="168" fontId="39" fillId="64" borderId="87" applyNumberFormat="0" applyAlignment="0" applyProtection="0"/>
    <xf numFmtId="169" fontId="39" fillId="64" borderId="87" applyNumberFormat="0" applyAlignment="0" applyProtection="0"/>
    <xf numFmtId="168" fontId="39" fillId="64" borderId="87" applyNumberFormat="0" applyAlignment="0" applyProtection="0"/>
    <xf numFmtId="168" fontId="39" fillId="64" borderId="87" applyNumberFormat="0" applyAlignment="0" applyProtection="0"/>
    <xf numFmtId="169" fontId="39" fillId="64" borderId="87" applyNumberFormat="0" applyAlignment="0" applyProtection="0"/>
    <xf numFmtId="168" fontId="39"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169" fontId="39"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168" fontId="39"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168" fontId="39"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37" fillId="64" borderId="87"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xf numFmtId="0" fontId="1" fillId="0" borderId="0"/>
  </cellStyleXfs>
  <cellXfs count="97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applyBorder="1" applyAlignment="1">
      <alignment horizontal="center"/>
    </xf>
    <xf numFmtId="0" fontId="4" fillId="0" borderId="3" xfId="0" applyFont="1" applyBorder="1"/>
    <xf numFmtId="0" fontId="8" fillId="0" borderId="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12" xfId="0" applyFont="1" applyBorder="1" applyAlignment="1">
      <alignment vertical="center"/>
    </xf>
    <xf numFmtId="0" fontId="8" fillId="0" borderId="1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4"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5" xfId="0" applyFont="1" applyBorder="1" applyAlignment="1">
      <alignment wrapText="1"/>
    </xf>
    <xf numFmtId="0" fontId="8" fillId="0" borderId="14" xfId="0" applyFont="1" applyBorder="1" applyAlignment="1">
      <alignment wrapText="1"/>
    </xf>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12" fillId="0" borderId="5" xfId="0" applyFont="1" applyBorder="1" applyAlignment="1">
      <alignment wrapText="1"/>
    </xf>
    <xf numFmtId="0" fontId="12" fillId="0" borderId="18"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4" fillId="0" borderId="0" xfId="0" applyFont="1" applyBorder="1" applyAlignment="1">
      <alignment horizontal="center" vertical="center" wrapText="1"/>
    </xf>
    <xf numFmtId="0" fontId="4" fillId="0" borderId="12"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2" xfId="1" applyNumberFormat="1" applyFont="1" applyFill="1" applyBorder="1" applyAlignment="1" applyProtection="1">
      <alignment horizontal="center" vertical="center" wrapText="1"/>
      <protection locked="0"/>
    </xf>
    <xf numFmtId="164" fontId="6" fillId="3" borderId="13" xfId="1" applyNumberFormat="1" applyFont="1" applyFill="1" applyBorder="1" applyAlignment="1" applyProtection="1">
      <alignment horizontal="center" vertical="center" wrapText="1"/>
      <protection locked="0"/>
    </xf>
    <xf numFmtId="0" fontId="4" fillId="0" borderId="9" xfId="0" applyFont="1" applyBorder="1"/>
    <xf numFmtId="0" fontId="4" fillId="0" borderId="11" xfId="0" applyFont="1" applyBorder="1"/>
    <xf numFmtId="0" fontId="6" fillId="3" borderId="15" xfId="9" applyFont="1" applyFill="1" applyBorder="1" applyAlignment="1" applyProtection="1">
      <alignment horizontal="left" vertical="center"/>
      <protection locked="0"/>
    </xf>
    <xf numFmtId="0" fontId="14" fillId="3" borderId="1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11" applyFont="1" applyFill="1" applyBorder="1" applyAlignment="1" applyProtection="1">
      <alignment vertical="center"/>
    </xf>
    <xf numFmtId="0" fontId="4" fillId="0" borderId="12" xfId="0" applyFont="1" applyBorder="1" applyAlignment="1">
      <alignment vertical="center"/>
    </xf>
    <xf numFmtId="0" fontId="8" fillId="2" borderId="15" xfId="0" applyFont="1" applyFill="1" applyBorder="1" applyAlignment="1">
      <alignment horizontal="right" vertical="center"/>
    </xf>
    <xf numFmtId="0" fontId="4" fillId="0" borderId="45" xfId="0" applyFont="1" applyBorder="1"/>
    <xf numFmtId="0" fontId="4" fillId="0" borderId="46" xfId="0" applyFont="1" applyBorder="1"/>
    <xf numFmtId="0" fontId="6" fillId="0" borderId="9" xfId="9" applyFont="1" applyFill="1" applyBorder="1" applyAlignment="1" applyProtection="1">
      <alignment horizontal="center" vertical="center"/>
      <protection locked="0"/>
    </xf>
    <xf numFmtId="164" fontId="6" fillId="3" borderId="11" xfId="2" applyNumberFormat="1" applyFont="1" applyFill="1" applyBorder="1" applyAlignment="1" applyProtection="1">
      <alignment horizontal="center" vertical="center"/>
      <protection locked="0"/>
    </xf>
    <xf numFmtId="0" fontId="0" fillId="0" borderId="0" xfId="0" applyFont="1" applyFill="1"/>
    <xf numFmtId="0" fontId="4" fillId="0" borderId="49" xfId="0" applyFont="1" applyBorder="1"/>
    <xf numFmtId="0" fontId="4" fillId="0" borderId="10" xfId="0" applyFont="1" applyBorder="1"/>
    <xf numFmtId="0" fontId="4" fillId="0" borderId="15" xfId="0" applyFont="1" applyBorder="1"/>
    <xf numFmtId="0" fontId="11" fillId="0" borderId="0" xfId="0" applyFont="1" applyAlignment="1"/>
    <xf numFmtId="0" fontId="6" fillId="3" borderId="12" xfId="5" applyFont="1" applyFill="1" applyBorder="1" applyAlignment="1" applyProtection="1">
      <alignment horizontal="right" vertical="center"/>
      <protection locked="0"/>
    </xf>
    <xf numFmtId="0" fontId="14" fillId="3" borderId="16" xfId="16" applyFont="1" applyFill="1" applyBorder="1" applyAlignment="1" applyProtection="1">
      <protection locked="0"/>
    </xf>
    <xf numFmtId="0" fontId="4" fillId="0" borderId="10" xfId="0" applyFont="1" applyBorder="1" applyAlignment="1">
      <alignment wrapText="1"/>
    </xf>
    <xf numFmtId="0" fontId="4" fillId="0" borderId="11" xfId="0" applyFont="1" applyBorder="1" applyAlignment="1">
      <alignment wrapText="1"/>
    </xf>
    <xf numFmtId="0" fontId="5" fillId="0" borderId="16" xfId="0" applyFont="1" applyBorder="1"/>
    <xf numFmtId="0" fontId="8" fillId="3" borderId="12" xfId="5" applyFont="1" applyFill="1" applyBorder="1" applyAlignment="1" applyProtection="1">
      <alignment horizontal="left" vertical="center"/>
      <protection locked="0"/>
    </xf>
    <xf numFmtId="0" fontId="8" fillId="3" borderId="13" xfId="13" applyFont="1" applyFill="1" applyBorder="1" applyAlignment="1" applyProtection="1">
      <alignment horizontal="center" vertical="center" wrapText="1"/>
      <protection locked="0"/>
    </xf>
    <xf numFmtId="0" fontId="8" fillId="3" borderId="12" xfId="5" applyFont="1" applyFill="1" applyBorder="1" applyAlignment="1" applyProtection="1">
      <alignment horizontal="right" vertical="center"/>
      <protection locked="0"/>
    </xf>
    <xf numFmtId="3" fontId="8" fillId="36" borderId="13" xfId="5" applyNumberFormat="1" applyFont="1" applyFill="1" applyBorder="1" applyProtection="1">
      <protection locked="0"/>
    </xf>
    <xf numFmtId="0" fontId="8" fillId="3" borderId="15" xfId="9" applyFont="1" applyFill="1" applyBorder="1" applyAlignment="1" applyProtection="1">
      <alignment horizontal="right" vertical="center"/>
      <protection locked="0"/>
    </xf>
    <xf numFmtId="0" fontId="9" fillId="3" borderId="16" xfId="16" applyFont="1" applyFill="1" applyBorder="1" applyAlignment="1" applyProtection="1">
      <protection locked="0"/>
    </xf>
    <xf numFmtId="3" fontId="9" fillId="36" borderId="16" xfId="16" applyNumberFormat="1" applyFont="1" applyFill="1" applyBorder="1" applyAlignment="1" applyProtection="1">
      <protection locked="0"/>
    </xf>
    <xf numFmtId="164" fontId="9" fillId="36" borderId="17" xfId="1" applyNumberFormat="1" applyFont="1" applyFill="1" applyBorder="1" applyAlignment="1" applyProtection="1">
      <protection locked="0"/>
    </xf>
    <xf numFmtId="0" fontId="4" fillId="0" borderId="45" xfId="0" applyFont="1" applyBorder="1" applyAlignment="1">
      <alignment horizontal="center"/>
    </xf>
    <xf numFmtId="0" fontId="4" fillId="0" borderId="46"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3" borderId="3" xfId="13"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8" fillId="0" borderId="2" xfId="20960" applyFont="1" applyFill="1" applyBorder="1" applyAlignment="1" applyProtection="1">
      <alignment horizontal="left" wrapText="1" indent="1"/>
    </xf>
    <xf numFmtId="0" fontId="17" fillId="0" borderId="0" xfId="11" applyFont="1" applyFill="1" applyBorder="1" applyAlignment="1" applyProtection="1">
      <alignment horizontal="right"/>
    </xf>
    <xf numFmtId="0" fontId="0" fillId="0" borderId="9" xfId="0" applyBorder="1" applyAlignment="1">
      <alignment horizontal="center" vertical="center"/>
    </xf>
    <xf numFmtId="0" fontId="5" fillId="36" borderId="20" xfId="0" applyFont="1" applyFill="1" applyBorder="1" applyAlignment="1">
      <alignment wrapText="1"/>
    </xf>
    <xf numFmtId="0" fontId="4" fillId="0" borderId="6" xfId="0" applyFont="1" applyFill="1" applyBorder="1" applyAlignment="1">
      <alignment vertical="center" wrapText="1"/>
    </xf>
    <xf numFmtId="0" fontId="5" fillId="36" borderId="6" xfId="0" applyFont="1" applyFill="1" applyBorder="1" applyAlignment="1">
      <alignment wrapText="1"/>
    </xf>
    <xf numFmtId="0" fontId="5" fillId="36" borderId="54"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6" xfId="0" applyFont="1" applyFill="1" applyBorder="1" applyAlignment="1"/>
    <xf numFmtId="0" fontId="4" fillId="0" borderId="6" xfId="0" applyFont="1" applyBorder="1" applyAlignment="1">
      <alignment wrapText="1"/>
    </xf>
    <xf numFmtId="0" fontId="4" fillId="0" borderId="15" xfId="0" applyFont="1" applyBorder="1" applyAlignment="1">
      <alignment horizontal="center" vertical="center" wrapText="1"/>
    </xf>
    <xf numFmtId="0" fontId="4" fillId="0" borderId="6"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9" fillId="0" borderId="1" xfId="0" applyFont="1" applyBorder="1" applyAlignment="1">
      <alignment horizontal="center"/>
    </xf>
    <xf numFmtId="0" fontId="4" fillId="0" borderId="15" xfId="0" applyFont="1" applyFill="1" applyBorder="1" applyAlignment="1">
      <alignment horizontal="center" vertical="center"/>
    </xf>
    <xf numFmtId="0" fontId="105" fillId="0" borderId="0" xfId="0" applyFont="1" applyFill="1" applyBorder="1" applyAlignment="1"/>
    <xf numFmtId="49" fontId="105" fillId="0" borderId="4" xfId="0" applyNumberFormat="1" applyFont="1" applyFill="1" applyBorder="1" applyAlignment="1">
      <alignment horizontal="right" vertical="center"/>
    </xf>
    <xf numFmtId="49" fontId="105" fillId="0" borderId="62" xfId="0" applyNumberFormat="1" applyFont="1" applyFill="1" applyBorder="1" applyAlignment="1">
      <alignment horizontal="right" vertical="center"/>
    </xf>
    <xf numFmtId="49" fontId="105" fillId="0" borderId="65" xfId="0" applyNumberFormat="1" applyFont="1" applyFill="1" applyBorder="1" applyAlignment="1">
      <alignment horizontal="right" vertical="center"/>
    </xf>
    <xf numFmtId="49" fontId="105" fillId="0" borderId="70"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70"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93" fontId="8" fillId="2" borderId="16" xfId="0" applyNumberFormat="1" applyFont="1" applyFill="1" applyBorder="1" applyAlignment="1" applyProtection="1">
      <alignment vertical="center"/>
      <protection locked="0"/>
    </xf>
    <xf numFmtId="193" fontId="0" fillId="36" borderId="11" xfId="0" applyNumberFormat="1" applyFill="1" applyBorder="1" applyAlignment="1">
      <alignment horizontal="center" vertical="center"/>
    </xf>
    <xf numFmtId="193" fontId="0" fillId="36" borderId="13" xfId="0" applyNumberFormat="1" applyFill="1" applyBorder="1" applyAlignment="1">
      <alignment horizontal="center" vertical="center" wrapText="1"/>
    </xf>
    <xf numFmtId="193" fontId="0" fillId="36" borderId="17" xfId="0" applyNumberFormat="1" applyFill="1" applyBorder="1" applyAlignment="1">
      <alignment horizontal="center" vertical="center" wrapText="1"/>
    </xf>
    <xf numFmtId="193" fontId="4" fillId="36" borderId="16" xfId="0" applyNumberFormat="1" applyFont="1" applyFill="1" applyBorder="1"/>
    <xf numFmtId="193" fontId="4" fillId="0" borderId="12" xfId="0" applyNumberFormat="1" applyFont="1" applyBorder="1" applyAlignment="1"/>
    <xf numFmtId="193" fontId="4" fillId="36" borderId="42" xfId="0" applyNumberFormat="1" applyFont="1" applyFill="1" applyBorder="1" applyAlignment="1"/>
    <xf numFmtId="193" fontId="4" fillId="36" borderId="15" xfId="0" applyNumberFormat="1" applyFont="1" applyFill="1" applyBorder="1"/>
    <xf numFmtId="193" fontId="4" fillId="36" borderId="17" xfId="0" applyNumberFormat="1" applyFont="1" applyFill="1" applyBorder="1"/>
    <xf numFmtId="193" fontId="4" fillId="36" borderId="43" xfId="0" applyNumberFormat="1" applyFont="1" applyFill="1" applyBorder="1"/>
    <xf numFmtId="193" fontId="4" fillId="0" borderId="3" xfId="0" applyNumberFormat="1" applyFont="1" applyBorder="1"/>
    <xf numFmtId="193" fontId="4" fillId="0" borderId="3"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1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16" xfId="1" applyNumberFormat="1" applyFont="1" applyFill="1" applyBorder="1" applyAlignment="1" applyProtection="1">
      <protection locked="0"/>
    </xf>
    <xf numFmtId="193" fontId="8" fillId="3" borderId="16" xfId="5" applyNumberFormat="1" applyFont="1" applyFill="1" applyBorder="1" applyProtection="1">
      <protection locked="0"/>
    </xf>
    <xf numFmtId="193" fontId="22" fillId="0" borderId="0" xfId="0" applyNumberFormat="1" applyFont="1"/>
    <xf numFmtId="0" fontId="4" fillId="0" borderId="19" xfId="0" applyFont="1" applyBorder="1" applyAlignment="1">
      <alignment horizontal="center" vertical="center"/>
    </xf>
    <xf numFmtId="0" fontId="4" fillId="0" borderId="19" xfId="0" applyFont="1" applyBorder="1" applyAlignment="1">
      <alignment wrapText="1"/>
    </xf>
    <xf numFmtId="193" fontId="4" fillId="0" borderId="5" xfId="0" applyNumberFormat="1" applyFont="1" applyBorder="1"/>
    <xf numFmtId="193" fontId="4" fillId="0" borderId="14" xfId="0" applyNumberFormat="1" applyFont="1" applyBorder="1" applyAlignment="1"/>
    <xf numFmtId="193" fontId="4" fillId="0" borderId="1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13" xfId="20961" applyFont="1" applyBorder="1"/>
    <xf numFmtId="9" fontId="4" fillId="36" borderId="17" xfId="20961" applyFont="1" applyFill="1" applyBorder="1"/>
    <xf numFmtId="167" fontId="4" fillId="0" borderId="13" xfId="0" applyNumberFormat="1" applyFont="1" applyBorder="1" applyAlignment="1"/>
    <xf numFmtId="0" fontId="4" fillId="36" borderId="17" xfId="0" applyFont="1" applyFill="1" applyBorder="1"/>
    <xf numFmtId="0" fontId="8" fillId="0" borderId="9" xfId="0" applyFont="1" applyFill="1" applyBorder="1" applyAlignment="1">
      <alignment horizontal="right" vertical="center" wrapText="1"/>
    </xf>
    <xf numFmtId="0" fontId="6" fillId="0" borderId="10" xfId="0" applyFont="1" applyFill="1" applyBorder="1" applyAlignment="1">
      <alignment vertical="center" wrapText="1"/>
    </xf>
    <xf numFmtId="169" fontId="25" fillId="37" borderId="0" xfId="20" applyBorder="1"/>
    <xf numFmtId="169" fontId="25" fillId="37" borderId="78" xfId="20" applyBorder="1"/>
    <xf numFmtId="0" fontId="4" fillId="0" borderId="4" xfId="0" applyFont="1" applyFill="1" applyBorder="1" applyAlignment="1">
      <alignment vertical="center"/>
    </xf>
    <xf numFmtId="0" fontId="4" fillId="0" borderId="84" xfId="0" applyFont="1" applyFill="1" applyBorder="1" applyAlignment="1">
      <alignment vertical="center"/>
    </xf>
    <xf numFmtId="0" fontId="5" fillId="0" borderId="84" xfId="0" applyFont="1" applyFill="1" applyBorder="1" applyAlignment="1">
      <alignment vertical="center"/>
    </xf>
    <xf numFmtId="0" fontId="4" fillId="0" borderId="10" xfId="0" applyFont="1" applyFill="1" applyBorder="1" applyAlignment="1">
      <alignment vertical="center"/>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169" fontId="25" fillId="37" borderId="22" xfId="20" applyBorder="1"/>
    <xf numFmtId="169" fontId="25" fillId="37" borderId="94" xfId="20" applyBorder="1"/>
    <xf numFmtId="169" fontId="25" fillId="37" borderId="86" xfId="20" applyBorder="1"/>
    <xf numFmtId="169" fontId="25" fillId="37" borderId="46" xfId="20" applyBorder="1"/>
    <xf numFmtId="0" fontId="4" fillId="3" borderId="49" xfId="0" applyFont="1" applyFill="1" applyBorder="1" applyAlignment="1">
      <alignment horizontal="center" vertical="center"/>
    </xf>
    <xf numFmtId="0" fontId="4" fillId="3" borderId="0" xfId="0" applyFont="1" applyFill="1" applyBorder="1" applyAlignment="1">
      <alignment vertical="center"/>
    </xf>
    <xf numFmtId="0" fontId="4" fillId="0" borderId="55" xfId="0" applyFont="1" applyFill="1" applyBorder="1" applyAlignment="1">
      <alignment horizontal="center" vertical="center"/>
    </xf>
    <xf numFmtId="0" fontId="4" fillId="3" borderId="82" xfId="0" applyFont="1" applyFill="1" applyBorder="1" applyAlignment="1">
      <alignment vertical="center"/>
    </xf>
    <xf numFmtId="0" fontId="13" fillId="3" borderId="95" xfId="0" applyFont="1" applyFill="1" applyBorder="1" applyAlignment="1">
      <alignment horizontal="left"/>
    </xf>
    <xf numFmtId="0" fontId="13" fillId="3" borderId="96" xfId="0" applyFont="1" applyFill="1" applyBorder="1" applyAlignment="1">
      <alignment horizontal="left"/>
    </xf>
    <xf numFmtId="0" fontId="4" fillId="0" borderId="0" xfId="0" applyFont="1"/>
    <xf numFmtId="0" fontId="4" fillId="0" borderId="0" xfId="0" applyFont="1" applyFill="1"/>
    <xf numFmtId="0" fontId="4" fillId="0" borderId="84" xfId="0" applyFont="1" applyFill="1" applyBorder="1" applyAlignment="1">
      <alignment horizontal="center" vertical="center" wrapText="1"/>
    </xf>
    <xf numFmtId="0" fontId="105" fillId="0" borderId="72" xfId="0" applyFont="1" applyFill="1" applyBorder="1" applyAlignment="1">
      <alignment horizontal="right" vertical="center"/>
    </xf>
    <xf numFmtId="0" fontId="4" fillId="0" borderId="97" xfId="0" applyFont="1" applyFill="1" applyBorder="1" applyAlignment="1">
      <alignment horizontal="center" vertical="center" wrapText="1"/>
    </xf>
    <xf numFmtId="0" fontId="5" fillId="3" borderId="98" xfId="0" applyFont="1" applyFill="1" applyBorder="1" applyAlignment="1">
      <alignment vertical="center"/>
    </xf>
    <xf numFmtId="0" fontId="4" fillId="0" borderId="99" xfId="0" applyFont="1" applyFill="1" applyBorder="1" applyAlignment="1">
      <alignment horizontal="center" vertical="center"/>
    </xf>
    <xf numFmtId="0" fontId="5" fillId="0" borderId="16" xfId="0" applyFont="1" applyFill="1" applyBorder="1" applyAlignment="1">
      <alignment vertical="center"/>
    </xf>
    <xf numFmtId="169" fontId="25" fillId="37" borderId="18" xfId="20" applyBorder="1"/>
    <xf numFmtId="0" fontId="6" fillId="0" borderId="9" xfId="11" applyFont="1" applyFill="1" applyBorder="1" applyAlignment="1" applyProtection="1">
      <alignment vertical="center"/>
    </xf>
    <xf numFmtId="0" fontId="6" fillId="0" borderId="10" xfId="11" applyFont="1" applyFill="1" applyBorder="1" applyAlignment="1" applyProtection="1">
      <alignment vertical="center"/>
    </xf>
    <xf numFmtId="193" fontId="0" fillId="0" borderId="13" xfId="0" applyNumberFormat="1" applyFill="1" applyBorder="1" applyAlignment="1">
      <alignment wrapText="1"/>
    </xf>
    <xf numFmtId="0" fontId="6" fillId="0" borderId="0" xfId="0" applyFont="1" applyFill="1" applyAlignment="1">
      <alignment wrapText="1"/>
    </xf>
    <xf numFmtId="0" fontId="5" fillId="36" borderId="10" xfId="0" applyFont="1" applyFill="1" applyBorder="1" applyAlignment="1">
      <alignment horizontal="center" vertical="center" wrapText="1"/>
    </xf>
    <xf numFmtId="0" fontId="5" fillId="36" borderId="99" xfId="0" applyFont="1" applyFill="1" applyBorder="1" applyAlignment="1">
      <alignment horizontal="left" vertical="center" wrapText="1"/>
    </xf>
    <xf numFmtId="0" fontId="5" fillId="36" borderId="84" xfId="0" applyFont="1" applyFill="1" applyBorder="1" applyAlignment="1">
      <alignment horizontal="left" vertical="center" wrapText="1"/>
    </xf>
    <xf numFmtId="0" fontId="4" fillId="0" borderId="99" xfId="0" applyFont="1" applyFill="1" applyBorder="1" applyAlignment="1">
      <alignment horizontal="right" vertical="center" wrapText="1"/>
    </xf>
    <xf numFmtId="0" fontId="4" fillId="0" borderId="84" xfId="0" applyFont="1" applyFill="1" applyBorder="1" applyAlignment="1">
      <alignment horizontal="left" vertical="center" wrapText="1"/>
    </xf>
    <xf numFmtId="0" fontId="108" fillId="0" borderId="99" xfId="0" applyFont="1" applyFill="1" applyBorder="1" applyAlignment="1">
      <alignment horizontal="right" vertical="center" wrapText="1"/>
    </xf>
    <xf numFmtId="0" fontId="108" fillId="0" borderId="8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15" xfId="5" applyNumberFormat="1" applyFont="1" applyFill="1" applyBorder="1" applyAlignment="1" applyProtection="1">
      <alignment horizontal="left" vertical="center"/>
      <protection locked="0"/>
    </xf>
    <xf numFmtId="0" fontId="110" fillId="0" borderId="16" xfId="9" applyFont="1" applyFill="1" applyBorder="1" applyAlignment="1" applyProtection="1">
      <alignment horizontal="left" vertical="center" wrapText="1"/>
      <protection locked="0"/>
    </xf>
    <xf numFmtId="0" fontId="10" fillId="0" borderId="84" xfId="17" applyFill="1" applyBorder="1" applyAlignment="1" applyProtection="1"/>
    <xf numFmtId="49" fontId="108" fillId="0" borderId="99" xfId="0" applyNumberFormat="1" applyFont="1" applyFill="1" applyBorder="1" applyAlignment="1">
      <alignment horizontal="right" vertical="center" wrapText="1"/>
    </xf>
    <xf numFmtId="0" fontId="6" fillId="3" borderId="84" xfId="20960" applyFont="1" applyFill="1" applyBorder="1" applyAlignment="1" applyProtection="1"/>
    <xf numFmtId="0" fontId="102" fillId="0" borderId="84" xfId="20960" applyFont="1" applyFill="1" applyBorder="1" applyAlignment="1" applyProtection="1">
      <alignment horizontal="center" vertical="center"/>
    </xf>
    <xf numFmtId="0" fontId="4" fillId="0" borderId="84" xfId="0" applyFont="1" applyBorder="1"/>
    <xf numFmtId="0" fontId="10" fillId="0" borderId="84" xfId="17" applyFill="1" applyBorder="1" applyAlignment="1" applyProtection="1">
      <alignment horizontal="left" vertical="center" wrapText="1"/>
    </xf>
    <xf numFmtId="49" fontId="108" fillId="0" borderId="84" xfId="0" applyNumberFormat="1" applyFont="1" applyFill="1" applyBorder="1" applyAlignment="1">
      <alignment horizontal="right" vertical="center" wrapText="1"/>
    </xf>
    <xf numFmtId="0" fontId="10" fillId="0" borderId="84" xfId="17" applyFill="1" applyBorder="1" applyAlignment="1" applyProtection="1">
      <alignment horizontal="left" vertical="center"/>
    </xf>
    <xf numFmtId="0" fontId="4" fillId="0" borderId="84" xfId="0" applyFont="1" applyFill="1" applyBorder="1"/>
    <xf numFmtId="0" fontId="111" fillId="78" borderId="85" xfId="21412" applyFont="1" applyFill="1" applyBorder="1" applyAlignment="1" applyProtection="1">
      <alignment vertical="center" wrapText="1"/>
      <protection locked="0"/>
    </xf>
    <xf numFmtId="0" fontId="112" fillId="70" borderId="80" xfId="21412" applyFont="1" applyFill="1" applyBorder="1" applyAlignment="1" applyProtection="1">
      <alignment horizontal="center" vertical="center"/>
      <protection locked="0"/>
    </xf>
    <xf numFmtId="0" fontId="111" fillId="79" borderId="84" xfId="21412" applyFont="1" applyFill="1" applyBorder="1" applyAlignment="1" applyProtection="1">
      <alignment horizontal="center" vertical="center"/>
      <protection locked="0"/>
    </xf>
    <xf numFmtId="0" fontId="111" fillId="78" borderId="85" xfId="21412" applyFont="1" applyFill="1" applyBorder="1" applyAlignment="1" applyProtection="1">
      <alignment vertical="center"/>
      <protection locked="0"/>
    </xf>
    <xf numFmtId="0" fontId="113" fillId="70" borderId="80" xfId="21412" applyFont="1" applyFill="1" applyBorder="1" applyAlignment="1" applyProtection="1">
      <alignment horizontal="center" vertical="center"/>
      <protection locked="0"/>
    </xf>
    <xf numFmtId="0" fontId="113" fillId="3" borderId="80" xfId="21412" applyFont="1" applyFill="1" applyBorder="1" applyAlignment="1" applyProtection="1">
      <alignment horizontal="center" vertical="center"/>
      <protection locked="0"/>
    </xf>
    <xf numFmtId="0" fontId="113" fillId="0" borderId="80" xfId="21412" applyFont="1" applyFill="1" applyBorder="1" applyAlignment="1" applyProtection="1">
      <alignment horizontal="center" vertical="center"/>
      <protection locked="0"/>
    </xf>
    <xf numFmtId="0" fontId="114" fillId="79" borderId="84" xfId="21412" applyFont="1" applyFill="1" applyBorder="1" applyAlignment="1" applyProtection="1">
      <alignment horizontal="center" vertical="center"/>
      <protection locked="0"/>
    </xf>
    <xf numFmtId="0" fontId="111" fillId="78" borderId="85" xfId="21412" applyFont="1" applyFill="1" applyBorder="1" applyAlignment="1" applyProtection="1">
      <alignment horizontal="center" vertical="center"/>
      <protection locked="0"/>
    </xf>
    <xf numFmtId="0" fontId="61" fillId="78" borderId="85" xfId="21412" applyFont="1" applyFill="1" applyBorder="1" applyAlignment="1" applyProtection="1">
      <alignment vertical="center"/>
      <protection locked="0"/>
    </xf>
    <xf numFmtId="0" fontId="113" fillId="70" borderId="84" xfId="21412" applyFont="1" applyFill="1" applyBorder="1" applyAlignment="1" applyProtection="1">
      <alignment horizontal="center" vertical="center"/>
      <protection locked="0"/>
    </xf>
    <xf numFmtId="0" fontId="35" fillId="70" borderId="84" xfId="21412" applyFont="1" applyFill="1" applyBorder="1" applyAlignment="1" applyProtection="1">
      <alignment horizontal="center" vertical="center"/>
      <protection locked="0"/>
    </xf>
    <xf numFmtId="0" fontId="61" fillId="78" borderId="83" xfId="21412" applyFont="1" applyFill="1" applyBorder="1" applyAlignment="1" applyProtection="1">
      <alignment vertical="center"/>
      <protection locked="0"/>
    </xf>
    <xf numFmtId="0" fontId="112" fillId="0" borderId="83" xfId="21412" applyFont="1" applyFill="1" applyBorder="1" applyAlignment="1" applyProtection="1">
      <alignment horizontal="left" vertical="center" wrapText="1"/>
      <protection locked="0"/>
    </xf>
    <xf numFmtId="0" fontId="111" fillId="79" borderId="83" xfId="21412" applyFont="1" applyFill="1" applyBorder="1" applyAlignment="1" applyProtection="1">
      <alignment vertical="top" wrapText="1"/>
      <protection locked="0"/>
    </xf>
    <xf numFmtId="164" fontId="61" fillId="78" borderId="83" xfId="948" applyNumberFormat="1" applyFont="1" applyFill="1" applyBorder="1" applyAlignment="1" applyProtection="1">
      <alignment horizontal="right" vertical="center"/>
      <protection locked="0"/>
    </xf>
    <xf numFmtId="0" fontId="112" fillId="70" borderId="83" xfId="21412" applyFont="1" applyFill="1" applyBorder="1" applyAlignment="1" applyProtection="1">
      <alignment vertical="center" wrapText="1"/>
      <protection locked="0"/>
    </xf>
    <xf numFmtId="0" fontId="112" fillId="70" borderId="83" xfId="21412" applyFont="1" applyFill="1" applyBorder="1" applyAlignment="1" applyProtection="1">
      <alignment horizontal="left" vertical="center" wrapText="1"/>
      <protection locked="0"/>
    </xf>
    <xf numFmtId="0" fontId="112" fillId="0" borderId="83" xfId="21412" applyFont="1" applyFill="1" applyBorder="1" applyAlignment="1" applyProtection="1">
      <alignment vertical="center" wrapText="1"/>
      <protection locked="0"/>
    </xf>
    <xf numFmtId="0" fontId="112" fillId="3" borderId="83" xfId="21412" applyFont="1" applyFill="1" applyBorder="1" applyAlignment="1" applyProtection="1">
      <alignment horizontal="left" vertical="center" wrapText="1"/>
      <protection locked="0"/>
    </xf>
    <xf numFmtId="0" fontId="111" fillId="79" borderId="83" xfId="21412" applyFont="1" applyFill="1" applyBorder="1" applyAlignment="1" applyProtection="1">
      <alignment vertical="center" wrapText="1"/>
      <protection locked="0"/>
    </xf>
    <xf numFmtId="164" fontId="112" fillId="3" borderId="84" xfId="948" applyNumberFormat="1" applyFont="1" applyFill="1" applyBorder="1" applyAlignment="1" applyProtection="1">
      <alignment horizontal="right" vertical="center"/>
      <protection locked="0"/>
    </xf>
    <xf numFmtId="10" fontId="6" fillId="0" borderId="84" xfId="20961" applyNumberFormat="1" applyFont="1" applyFill="1" applyBorder="1" applyAlignment="1">
      <alignment horizontal="left" vertical="center" wrapText="1"/>
    </xf>
    <xf numFmtId="10" fontId="4" fillId="0" borderId="84" xfId="20961" applyNumberFormat="1" applyFont="1" applyFill="1" applyBorder="1" applyAlignment="1">
      <alignment horizontal="left" vertical="center" wrapText="1"/>
    </xf>
    <xf numFmtId="10" fontId="5" fillId="36" borderId="84" xfId="0" applyNumberFormat="1" applyFont="1" applyFill="1" applyBorder="1" applyAlignment="1">
      <alignment horizontal="left" vertical="center" wrapText="1"/>
    </xf>
    <xf numFmtId="10" fontId="108" fillId="0" borderId="84" xfId="20961" applyNumberFormat="1" applyFont="1" applyFill="1" applyBorder="1" applyAlignment="1">
      <alignment horizontal="left" vertical="center" wrapText="1"/>
    </xf>
    <xf numFmtId="10" fontId="5" fillId="36" borderId="84" xfId="20961" applyNumberFormat="1" applyFont="1" applyFill="1" applyBorder="1" applyAlignment="1">
      <alignment horizontal="left" vertical="center" wrapText="1"/>
    </xf>
    <xf numFmtId="10" fontId="5" fillId="36" borderId="84" xfId="0" applyNumberFormat="1" applyFont="1" applyFill="1" applyBorder="1" applyAlignment="1">
      <alignment horizontal="center" vertical="center" wrapText="1"/>
    </xf>
    <xf numFmtId="10" fontId="110" fillId="0" borderId="16"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9" fillId="0" borderId="19" xfId="0" applyFont="1" applyBorder="1" applyAlignment="1">
      <alignment horizontal="center" wrapText="1"/>
    </xf>
    <xf numFmtId="0" fontId="9" fillId="0" borderId="5" xfId="0" applyFont="1" applyBorder="1" applyAlignment="1">
      <alignment horizontal="center" vertical="center" wrapText="1"/>
    </xf>
    <xf numFmtId="0" fontId="8" fillId="0" borderId="99" xfId="0" applyFont="1" applyBorder="1" applyAlignment="1">
      <alignment horizontal="right" vertical="center" wrapText="1"/>
    </xf>
    <xf numFmtId="0" fontId="8" fillId="0" borderId="99" xfId="0" applyFont="1" applyFill="1" applyBorder="1" applyAlignment="1">
      <alignment horizontal="right" vertical="center" wrapText="1"/>
    </xf>
    <xf numFmtId="0" fontId="6" fillId="0" borderId="84" xfId="0" applyFont="1" applyFill="1" applyBorder="1" applyAlignment="1">
      <alignment vertical="center" wrapText="1"/>
    </xf>
    <xf numFmtId="0" fontId="4" fillId="0" borderId="97" xfId="0" applyFont="1" applyBorder="1" applyAlignment="1"/>
    <xf numFmtId="0" fontId="4" fillId="0" borderId="17" xfId="0" applyFont="1" applyBorder="1" applyAlignment="1"/>
    <xf numFmtId="0" fontId="8" fillId="0" borderId="97" xfId="0" applyFont="1" applyBorder="1" applyAlignment="1"/>
    <xf numFmtId="0" fontId="8" fillId="0" borderId="97" xfId="0" applyFont="1" applyBorder="1" applyAlignment="1">
      <alignment wrapText="1"/>
    </xf>
    <xf numFmtId="0" fontId="9" fillId="0" borderId="11" xfId="0" applyFont="1" applyBorder="1" applyAlignment="1">
      <alignment horizontal="center"/>
    </xf>
    <xf numFmtId="0" fontId="9" fillId="0" borderId="97" xfId="0" applyFont="1" applyBorder="1" applyAlignment="1">
      <alignment horizontal="center" vertical="center" wrapText="1"/>
    </xf>
    <xf numFmtId="0" fontId="2" fillId="0" borderId="10" xfId="0" applyNumberFormat="1" applyFont="1" applyFill="1" applyBorder="1" applyAlignment="1">
      <alignment horizontal="left" vertical="center" wrapText="1" indent="1"/>
    </xf>
    <xf numFmtId="0" fontId="2" fillId="0" borderId="11" xfId="0" applyNumberFormat="1" applyFont="1" applyFill="1" applyBorder="1" applyAlignment="1">
      <alignment horizontal="left" vertical="center" wrapText="1" indent="1"/>
    </xf>
    <xf numFmtId="0" fontId="8" fillId="0" borderId="99"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5" fillId="0" borderId="84" xfId="0" applyFont="1" applyFill="1" applyBorder="1" applyAlignment="1">
      <alignment horizontal="left" vertical="center" wrapText="1"/>
    </xf>
    <xf numFmtId="0" fontId="6" fillId="0" borderId="84" xfId="0" applyFont="1" applyBorder="1" applyAlignment="1">
      <alignment vertical="center" wrapText="1"/>
    </xf>
    <xf numFmtId="0" fontId="8" fillId="2" borderId="99" xfId="0" applyFont="1" applyFill="1" applyBorder="1" applyAlignment="1">
      <alignment horizontal="right" vertical="center"/>
    </xf>
    <xf numFmtId="0" fontId="8" fillId="2" borderId="84" xfId="0" applyFont="1" applyFill="1" applyBorder="1" applyAlignment="1">
      <alignment vertical="center"/>
    </xf>
    <xf numFmtId="193" fontId="8" fillId="2" borderId="84" xfId="0" applyNumberFormat="1" applyFont="1" applyFill="1" applyBorder="1" applyAlignment="1" applyProtection="1">
      <alignment vertical="center"/>
      <protection locked="0"/>
    </xf>
    <xf numFmtId="193" fontId="16" fillId="2" borderId="84" xfId="0" applyNumberFormat="1" applyFont="1" applyFill="1" applyBorder="1" applyAlignment="1" applyProtection="1">
      <alignment vertical="center"/>
      <protection locked="0"/>
    </xf>
    <xf numFmtId="0" fontId="14" fillId="0" borderId="99"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3" borderId="45" xfId="0" applyFont="1" applyFill="1" applyBorder="1"/>
    <xf numFmtId="0" fontId="4" fillId="3" borderId="102" xfId="0" applyFont="1" applyFill="1" applyBorder="1" applyAlignment="1">
      <alignment wrapText="1"/>
    </xf>
    <xf numFmtId="0" fontId="4" fillId="3" borderId="103" xfId="0" applyFont="1" applyFill="1" applyBorder="1"/>
    <xf numFmtId="0" fontId="5" fillId="3" borderId="8" xfId="0" applyFont="1" applyFill="1" applyBorder="1" applyAlignment="1">
      <alignment horizontal="center" wrapText="1"/>
    </xf>
    <xf numFmtId="0" fontId="4" fillId="0" borderId="84" xfId="0" applyFont="1" applyFill="1" applyBorder="1" applyAlignment="1">
      <alignment horizontal="center"/>
    </xf>
    <xf numFmtId="0" fontId="4" fillId="0" borderId="84" xfId="0" applyFont="1" applyBorder="1" applyAlignment="1">
      <alignment horizontal="center"/>
    </xf>
    <xf numFmtId="0" fontId="4" fillId="3" borderId="49"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78" xfId="0" applyFont="1" applyFill="1" applyBorder="1" applyAlignment="1">
      <alignment horizontal="center" vertical="center" wrapText="1"/>
    </xf>
    <xf numFmtId="0" fontId="4" fillId="0" borderId="99" xfId="0" applyFont="1" applyBorder="1"/>
    <xf numFmtId="0" fontId="4" fillId="0" borderId="84" xfId="0" applyFont="1" applyBorder="1" applyAlignment="1">
      <alignment wrapText="1"/>
    </xf>
    <xf numFmtId="164" fontId="4" fillId="0" borderId="84" xfId="7" applyNumberFormat="1" applyFont="1" applyBorder="1"/>
    <xf numFmtId="164" fontId="4" fillId="0" borderId="97" xfId="7" applyNumberFormat="1" applyFont="1" applyBorder="1"/>
    <xf numFmtId="0" fontId="13" fillId="0" borderId="84" xfId="0" applyFont="1" applyBorder="1" applyAlignment="1">
      <alignment horizontal="left" wrapText="1" indent="2"/>
    </xf>
    <xf numFmtId="169" fontId="25" fillId="37" borderId="84" xfId="20" applyBorder="1"/>
    <xf numFmtId="164" fontId="4" fillId="0" borderId="84" xfId="7" applyNumberFormat="1" applyFont="1" applyBorder="1" applyAlignment="1">
      <alignment vertical="center"/>
    </xf>
    <xf numFmtId="0" fontId="5" fillId="0" borderId="99" xfId="0" applyFont="1" applyBorder="1"/>
    <xf numFmtId="0" fontId="5" fillId="0" borderId="84" xfId="0" applyFont="1" applyBorder="1" applyAlignment="1">
      <alignment wrapText="1"/>
    </xf>
    <xf numFmtId="164" fontId="5" fillId="0" borderId="97" xfId="7" applyNumberFormat="1" applyFont="1" applyBorder="1"/>
    <xf numFmtId="0" fontId="3" fillId="3" borderId="4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78" xfId="7" applyNumberFormat="1" applyFont="1" applyFill="1" applyBorder="1"/>
    <xf numFmtId="164" fontId="4" fillId="0" borderId="84" xfId="7" applyNumberFormat="1" applyFont="1" applyFill="1" applyBorder="1"/>
    <xf numFmtId="164" fontId="4" fillId="0" borderId="84" xfId="7" applyNumberFormat="1" applyFont="1" applyFill="1" applyBorder="1" applyAlignment="1">
      <alignment vertical="center"/>
    </xf>
    <xf numFmtId="0" fontId="13" fillId="0" borderId="8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78" xfId="0" applyFont="1" applyFill="1" applyBorder="1"/>
    <xf numFmtId="0" fontId="5" fillId="0" borderId="15" xfId="0" applyFont="1" applyBorder="1"/>
    <xf numFmtId="0" fontId="5" fillId="0" borderId="16" xfId="0" applyFont="1" applyBorder="1" applyAlignment="1">
      <alignment wrapText="1"/>
    </xf>
    <xf numFmtId="169" fontId="25" fillId="37" borderId="100" xfId="20" applyBorder="1"/>
    <xf numFmtId="10" fontId="5" fillId="0" borderId="17" xfId="20961" applyNumberFormat="1" applyFont="1" applyBorder="1"/>
    <xf numFmtId="0" fontId="8" fillId="2" borderId="92" xfId="0" applyFont="1" applyFill="1" applyBorder="1" applyAlignment="1">
      <alignment horizontal="right" vertical="center"/>
    </xf>
    <xf numFmtId="0" fontId="8" fillId="2" borderId="80" xfId="0" applyFont="1" applyFill="1" applyBorder="1" applyAlignment="1">
      <alignment vertical="center"/>
    </xf>
    <xf numFmtId="0" fontId="8" fillId="0" borderId="84" xfId="0" applyFont="1" applyFill="1" applyBorder="1" applyAlignment="1">
      <alignment horizontal="left" vertical="center" wrapText="1"/>
    </xf>
    <xf numFmtId="0" fontId="5" fillId="3" borderId="0" xfId="0" applyFont="1" applyFill="1" applyBorder="1" applyAlignment="1">
      <alignment horizontal="center"/>
    </xf>
    <xf numFmtId="0" fontId="105" fillId="0" borderId="72" xfId="0" applyFont="1" applyFill="1" applyBorder="1" applyAlignment="1">
      <alignment horizontal="left" vertical="center"/>
    </xf>
    <xf numFmtId="0" fontId="105" fillId="0" borderId="70" xfId="0" applyFont="1" applyFill="1" applyBorder="1" applyAlignment="1">
      <alignment vertical="center" wrapText="1"/>
    </xf>
    <xf numFmtId="0" fontId="105" fillId="0" borderId="70"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13" xfId="0" applyNumberFormat="1" applyFont="1" applyFill="1" applyBorder="1" applyAlignment="1">
      <alignment horizontal="left" vertical="center" wrapText="1"/>
    </xf>
    <xf numFmtId="0" fontId="124" fillId="0" borderId="0" xfId="0" applyFont="1"/>
    <xf numFmtId="49" fontId="105" fillId="0" borderId="84"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0" fillId="0" borderId="0" xfId="0" applyAlignment="1">
      <alignment horizontal="left" vertical="center"/>
    </xf>
    <xf numFmtId="0" fontId="0" fillId="0" borderId="0" xfId="0" applyAlignment="1">
      <alignment horizontal="center"/>
    </xf>
    <xf numFmtId="193" fontId="8" fillId="0" borderId="0" xfId="0" applyNumberFormat="1" applyFont="1" applyFill="1" applyBorder="1" applyAlignment="1" applyProtection="1">
      <alignment horizontal="right"/>
    </xf>
    <xf numFmtId="49" fontId="105" fillId="0" borderId="120" xfId="0" applyNumberFormat="1" applyFont="1" applyFill="1" applyBorder="1" applyAlignment="1">
      <alignment horizontal="right" vertical="center"/>
    </xf>
    <xf numFmtId="0" fontId="119" fillId="0" borderId="120" xfId="0" applyFont="1" applyBorder="1"/>
    <xf numFmtId="49" fontId="121" fillId="0" borderId="120" xfId="5" applyNumberFormat="1" applyFont="1" applyFill="1" applyBorder="1" applyAlignment="1" applyProtection="1">
      <alignment horizontal="right" vertical="center"/>
      <protection locked="0"/>
    </xf>
    <xf numFmtId="0" fontId="120" fillId="3" borderId="120" xfId="13" applyFont="1" applyFill="1" applyBorder="1" applyAlignment="1" applyProtection="1">
      <alignment horizontal="left" vertical="center" wrapText="1"/>
      <protection locked="0"/>
    </xf>
    <xf numFmtId="49" fontId="120" fillId="3" borderId="120" xfId="5" applyNumberFormat="1" applyFont="1" applyFill="1" applyBorder="1" applyAlignment="1" applyProtection="1">
      <alignment horizontal="right" vertical="center"/>
      <protection locked="0"/>
    </xf>
    <xf numFmtId="0" fontId="120" fillId="0" borderId="120" xfId="13" applyFont="1" applyFill="1" applyBorder="1" applyAlignment="1" applyProtection="1">
      <alignment horizontal="left" vertical="center" wrapText="1"/>
      <protection locked="0"/>
    </xf>
    <xf numFmtId="49" fontId="120" fillId="0" borderId="120" xfId="5" applyNumberFormat="1" applyFont="1" applyFill="1" applyBorder="1" applyAlignment="1" applyProtection="1">
      <alignment horizontal="right" vertical="center"/>
      <protection locked="0"/>
    </xf>
    <xf numFmtId="0" fontId="122" fillId="0" borderId="120" xfId="13" applyFont="1" applyFill="1" applyBorder="1" applyAlignment="1" applyProtection="1">
      <alignment horizontal="left" vertical="center" wrapText="1"/>
      <protection locked="0"/>
    </xf>
    <xf numFmtId="166" fontId="115" fillId="36" borderId="126" xfId="21413" applyFont="1" applyFill="1" applyBorder="1"/>
    <xf numFmtId="0" fontId="115" fillId="0" borderId="126" xfId="0" applyFont="1" applyBorder="1"/>
    <xf numFmtId="0" fontId="115" fillId="0" borderId="126" xfId="0" applyFont="1" applyFill="1" applyBorder="1"/>
    <xf numFmtId="0" fontId="115" fillId="0" borderId="126" xfId="0" applyFont="1" applyBorder="1" applyAlignment="1">
      <alignment horizontal="left" indent="8"/>
    </xf>
    <xf numFmtId="0" fontId="115" fillId="0" borderId="126" xfId="0" applyFont="1" applyBorder="1" applyAlignment="1">
      <alignment wrapText="1"/>
    </xf>
    <xf numFmtId="0" fontId="118" fillId="0" borderId="126" xfId="0" applyFont="1" applyBorder="1"/>
    <xf numFmtId="49" fontId="121" fillId="0" borderId="126" xfId="5" applyNumberFormat="1" applyFont="1" applyFill="1" applyBorder="1" applyAlignment="1" applyProtection="1">
      <alignment horizontal="right" vertical="center" wrapText="1"/>
      <protection locked="0"/>
    </xf>
    <xf numFmtId="49" fontId="120" fillId="3" borderId="126" xfId="5" applyNumberFormat="1" applyFont="1" applyFill="1" applyBorder="1" applyAlignment="1" applyProtection="1">
      <alignment horizontal="right" vertical="center" wrapText="1"/>
      <protection locked="0"/>
    </xf>
    <xf numFmtId="49" fontId="120" fillId="0" borderId="126" xfId="5" applyNumberFormat="1" applyFont="1" applyFill="1" applyBorder="1" applyAlignment="1" applyProtection="1">
      <alignment horizontal="right" vertical="center" wrapText="1"/>
      <protection locked="0"/>
    </xf>
    <xf numFmtId="0" fontId="115" fillId="0" borderId="126" xfId="0" applyFont="1" applyBorder="1" applyAlignment="1">
      <alignment horizontal="center" vertical="center" wrapText="1"/>
    </xf>
    <xf numFmtId="0" fontId="115" fillId="0" borderId="127" xfId="0" applyFont="1" applyFill="1" applyBorder="1" applyAlignment="1">
      <alignment horizontal="center" vertical="center" wrapText="1"/>
    </xf>
    <xf numFmtId="0" fontId="115" fillId="0" borderId="126"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26" xfId="0" applyFont="1" applyFill="1" applyBorder="1"/>
    <xf numFmtId="0" fontId="115" fillId="0" borderId="126" xfId="0" applyNumberFormat="1" applyFont="1" applyFill="1" applyBorder="1" applyAlignment="1">
      <alignment horizontal="left" vertical="center" wrapText="1"/>
    </xf>
    <xf numFmtId="0" fontId="118" fillId="0" borderId="126" xfId="0" applyFont="1" applyFill="1" applyBorder="1" applyAlignment="1">
      <alignment horizontal="left" wrapText="1" indent="1"/>
    </xf>
    <xf numFmtId="0" fontId="118" fillId="0" borderId="126" xfId="0" applyFont="1" applyFill="1" applyBorder="1" applyAlignment="1">
      <alignment horizontal="left" vertical="center" indent="1"/>
    </xf>
    <xf numFmtId="0" fontId="115" fillId="0" borderId="126" xfId="0" applyFont="1" applyFill="1" applyBorder="1" applyAlignment="1">
      <alignment horizontal="left" wrapText="1" indent="1"/>
    </xf>
    <xf numFmtId="0" fontId="115" fillId="0" borderId="126" xfId="0" applyFont="1" applyFill="1" applyBorder="1" applyAlignment="1">
      <alignment horizontal="left" indent="1"/>
    </xf>
    <xf numFmtId="0" fontId="115" fillId="0" borderId="126" xfId="0" applyFont="1" applyFill="1" applyBorder="1" applyAlignment="1">
      <alignment horizontal="left" wrapText="1" indent="4"/>
    </xf>
    <xf numFmtId="0" fontId="115" fillId="0" borderId="126" xfId="0" applyNumberFormat="1" applyFont="1" applyFill="1" applyBorder="1" applyAlignment="1">
      <alignment horizontal="left" indent="3"/>
    </xf>
    <xf numFmtId="0" fontId="118" fillId="0" borderId="126" xfId="0" applyFont="1" applyFill="1" applyBorder="1" applyAlignment="1">
      <alignment horizontal="left" indent="1"/>
    </xf>
    <xf numFmtId="0" fontId="119" fillId="0" borderId="126" xfId="0" applyFont="1" applyFill="1" applyBorder="1" applyAlignment="1">
      <alignment horizontal="center" vertical="center" wrapText="1"/>
    </xf>
    <xf numFmtId="0" fontId="115" fillId="80" borderId="126" xfId="0" applyFont="1" applyFill="1" applyBorder="1"/>
    <xf numFmtId="0" fontId="118" fillId="0" borderId="4" xfId="0" applyFont="1" applyBorder="1"/>
    <xf numFmtId="0" fontId="115" fillId="0" borderId="126" xfId="0" applyFont="1" applyFill="1" applyBorder="1" applyAlignment="1">
      <alignment horizontal="left" wrapText="1" indent="2"/>
    </xf>
    <xf numFmtId="0" fontId="115" fillId="0" borderId="126" xfId="0" applyFont="1" applyFill="1" applyBorder="1" applyAlignment="1">
      <alignment horizontal="left" wrapText="1"/>
    </xf>
    <xf numFmtId="0" fontId="115" fillId="0" borderId="0" xfId="0" applyFont="1" applyBorder="1"/>
    <xf numFmtId="0" fontId="118" fillId="84" borderId="126" xfId="0" applyFont="1" applyFill="1" applyBorder="1"/>
    <xf numFmtId="0" fontId="115" fillId="0" borderId="126" xfId="0" applyFont="1" applyBorder="1" applyAlignment="1">
      <alignment horizontal="left" indent="1"/>
    </xf>
    <xf numFmtId="0" fontId="115" fillId="0" borderId="126" xfId="0" applyFont="1" applyBorder="1" applyAlignment="1">
      <alignment horizontal="center"/>
    </xf>
    <xf numFmtId="0" fontId="115" fillId="0" borderId="126" xfId="0" applyFont="1" applyFill="1" applyBorder="1" applyAlignment="1">
      <alignment horizontal="center" vertical="center" wrapText="1"/>
    </xf>
    <xf numFmtId="0" fontId="115" fillId="0" borderId="4" xfId="0" applyFont="1" applyBorder="1" applyAlignment="1">
      <alignment horizontal="center" vertical="center" wrapText="1"/>
    </xf>
    <xf numFmtId="0" fontId="115" fillId="0" borderId="8" xfId="0" applyFont="1" applyBorder="1" applyAlignment="1">
      <alignment horizontal="center" vertical="center" wrapText="1"/>
    </xf>
    <xf numFmtId="0" fontId="115" fillId="0" borderId="44" xfId="0" applyFont="1" applyBorder="1" applyAlignment="1">
      <alignment wrapText="1"/>
    </xf>
    <xf numFmtId="0" fontId="115" fillId="0" borderId="4" xfId="0" applyFont="1" applyBorder="1" applyAlignment="1">
      <alignment wrapText="1"/>
    </xf>
    <xf numFmtId="0" fontId="115" fillId="0" borderId="12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24" xfId="0" applyFont="1" applyFill="1" applyBorder="1" applyAlignment="1">
      <alignment horizontal="center" vertical="center" wrapText="1"/>
    </xf>
    <xf numFmtId="0" fontId="115" fillId="0" borderId="0" xfId="0" applyFont="1" applyFill="1"/>
    <xf numFmtId="49" fontId="115" fillId="0" borderId="132" xfId="0" applyNumberFormat="1" applyFont="1" applyFill="1" applyBorder="1" applyAlignment="1">
      <alignment horizontal="left" wrapText="1" indent="1"/>
    </xf>
    <xf numFmtId="0" fontId="115" fillId="0" borderId="134" xfId="0" applyNumberFormat="1" applyFont="1" applyFill="1" applyBorder="1" applyAlignment="1">
      <alignment horizontal="left" wrapText="1" indent="1"/>
    </xf>
    <xf numFmtId="49" fontId="115" fillId="0" borderId="135" xfId="0" applyNumberFormat="1" applyFont="1" applyFill="1" applyBorder="1" applyAlignment="1">
      <alignment horizontal="left" wrapText="1" indent="1"/>
    </xf>
    <xf numFmtId="0" fontId="115" fillId="0" borderId="136" xfId="0" applyNumberFormat="1" applyFont="1" applyFill="1" applyBorder="1" applyAlignment="1">
      <alignment horizontal="left" wrapText="1" indent="1"/>
    </xf>
    <xf numFmtId="49" fontId="115" fillId="0" borderId="136" xfId="0" applyNumberFormat="1" applyFont="1" applyFill="1" applyBorder="1" applyAlignment="1">
      <alignment horizontal="left" wrapText="1" indent="3"/>
    </xf>
    <xf numFmtId="49" fontId="115" fillId="0" borderId="135" xfId="0" applyNumberFormat="1" applyFont="1" applyFill="1" applyBorder="1" applyAlignment="1">
      <alignment horizontal="left" wrapText="1" indent="3"/>
    </xf>
    <xf numFmtId="49" fontId="115" fillId="0" borderId="135" xfId="0" applyNumberFormat="1" applyFont="1" applyFill="1" applyBorder="1" applyAlignment="1">
      <alignment horizontal="left" wrapText="1" indent="2"/>
    </xf>
    <xf numFmtId="49" fontId="115" fillId="0" borderId="136" xfId="0" applyNumberFormat="1" applyFont="1" applyBorder="1" applyAlignment="1">
      <alignment horizontal="left" wrapText="1" indent="2"/>
    </xf>
    <xf numFmtId="49" fontId="115" fillId="0" borderId="135" xfId="0" applyNumberFormat="1" applyFont="1" applyFill="1" applyBorder="1" applyAlignment="1">
      <alignment horizontal="left" vertical="top" wrapText="1" indent="2"/>
    </xf>
    <xf numFmtId="49" fontId="115" fillId="0" borderId="135" xfId="0" applyNumberFormat="1" applyFont="1" applyFill="1" applyBorder="1" applyAlignment="1">
      <alignment horizontal="left" indent="1"/>
    </xf>
    <xf numFmtId="0" fontId="115" fillId="0" borderId="136" xfId="0" applyNumberFormat="1" applyFont="1" applyBorder="1" applyAlignment="1">
      <alignment horizontal="left" indent="1"/>
    </xf>
    <xf numFmtId="49" fontId="115" fillId="0" borderId="136" xfId="0" applyNumberFormat="1" applyFont="1" applyBorder="1" applyAlignment="1">
      <alignment horizontal="left" indent="1"/>
    </xf>
    <xf numFmtId="49" fontId="115" fillId="0" borderId="135" xfId="0" applyNumberFormat="1" applyFont="1" applyFill="1" applyBorder="1" applyAlignment="1">
      <alignment horizontal="left" indent="3"/>
    </xf>
    <xf numFmtId="49" fontId="115" fillId="0" borderId="136" xfId="0" applyNumberFormat="1" applyFont="1" applyBorder="1" applyAlignment="1">
      <alignment horizontal="left" indent="3"/>
    </xf>
    <xf numFmtId="0" fontId="115" fillId="0" borderId="136" xfId="0" applyFont="1" applyBorder="1" applyAlignment="1">
      <alignment horizontal="left" indent="2"/>
    </xf>
    <xf numFmtId="0" fontId="115" fillId="0" borderId="135" xfId="0" applyFont="1" applyBorder="1" applyAlignment="1">
      <alignment horizontal="left" indent="2"/>
    </xf>
    <xf numFmtId="0" fontId="115" fillId="0" borderId="136" xfId="0" applyFont="1" applyBorder="1" applyAlignment="1">
      <alignment horizontal="left" indent="1"/>
    </xf>
    <xf numFmtId="0" fontId="115" fillId="0" borderId="135" xfId="0" applyFont="1" applyBorder="1" applyAlignment="1">
      <alignment horizontal="left" indent="1"/>
    </xf>
    <xf numFmtId="0" fontId="118" fillId="0" borderId="50" xfId="0" applyFont="1" applyBorder="1"/>
    <xf numFmtId="0" fontId="115" fillId="0" borderId="55"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8" fillId="0" borderId="126" xfId="0" applyNumberFormat="1" applyFont="1" applyFill="1" applyBorder="1" applyAlignment="1">
      <alignment horizontal="left" vertical="center" wrapText="1"/>
    </xf>
    <xf numFmtId="0" fontId="115" fillId="0" borderId="4" xfId="0" applyFont="1" applyFill="1" applyBorder="1" applyAlignment="1">
      <alignment horizontal="center" vertical="center" wrapText="1"/>
    </xf>
    <xf numFmtId="0" fontId="8" fillId="0" borderId="0" xfId="0" applyFont="1" applyFill="1" applyBorder="1" applyAlignment="1">
      <alignment wrapText="1"/>
    </xf>
    <xf numFmtId="0" fontId="120" fillId="0" borderId="126" xfId="0" applyFont="1" applyBorder="1"/>
    <xf numFmtId="0" fontId="118" fillId="0" borderId="126"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18" xfId="0" applyNumberFormat="1" applyFont="1" applyFill="1" applyBorder="1" applyAlignment="1">
      <alignment horizontal="left" vertical="center" wrapText="1" indent="1" readingOrder="1"/>
    </xf>
    <xf numFmtId="0" fontId="120" fillId="0" borderId="126" xfId="0" applyFont="1" applyBorder="1" applyAlignment="1">
      <alignment horizontal="left" indent="3"/>
    </xf>
    <xf numFmtId="0" fontId="118" fillId="0" borderId="126" xfId="0" applyNumberFormat="1" applyFont="1" applyFill="1" applyBorder="1" applyAlignment="1">
      <alignment vertical="center" wrapText="1" readingOrder="1"/>
    </xf>
    <xf numFmtId="0" fontId="115" fillId="0" borderId="119" xfId="0" applyNumberFormat="1" applyFont="1" applyFill="1" applyBorder="1" applyAlignment="1">
      <alignment vertical="center" wrapText="1" readingOrder="1"/>
    </xf>
    <xf numFmtId="0" fontId="120" fillId="0" borderId="127" xfId="0" applyFont="1" applyBorder="1" applyAlignment="1">
      <alignment horizontal="left" indent="2"/>
    </xf>
    <xf numFmtId="0" fontId="115" fillId="0" borderId="118" xfId="0" applyNumberFormat="1" applyFont="1" applyFill="1" applyBorder="1" applyAlignment="1">
      <alignment vertical="center" wrapText="1" readingOrder="1"/>
    </xf>
    <xf numFmtId="0" fontId="120" fillId="0" borderId="126" xfId="0" applyFont="1" applyBorder="1" applyAlignment="1">
      <alignment horizontal="left" indent="2"/>
    </xf>
    <xf numFmtId="0" fontId="115" fillId="0" borderId="117" xfId="0" applyNumberFormat="1" applyFont="1" applyFill="1" applyBorder="1" applyAlignment="1">
      <alignment vertical="center" wrapText="1" readingOrder="1"/>
    </xf>
    <xf numFmtId="0" fontId="138" fillId="0" borderId="4" xfId="0" applyFont="1" applyBorder="1"/>
    <xf numFmtId="0" fontId="105" fillId="0" borderId="126" xfId="0" applyFont="1" applyFill="1" applyBorder="1" applyAlignment="1">
      <alignment vertical="center" wrapText="1"/>
    </xf>
    <xf numFmtId="0" fontId="105" fillId="0" borderId="126" xfId="0" applyFont="1" applyBorder="1" applyAlignment="1">
      <alignment horizontal="left" vertical="center" wrapText="1"/>
    </xf>
    <xf numFmtId="0" fontId="105" fillId="0" borderId="126" xfId="0" applyFont="1" applyBorder="1" applyAlignment="1">
      <alignment horizontal="left" indent="2"/>
    </xf>
    <xf numFmtId="0" fontId="105" fillId="0" borderId="126" xfId="0" applyNumberFormat="1" applyFont="1" applyFill="1" applyBorder="1" applyAlignment="1">
      <alignment vertical="center" wrapText="1"/>
    </xf>
    <xf numFmtId="0" fontId="105" fillId="0" borderId="126" xfId="0" applyNumberFormat="1" applyFont="1" applyFill="1" applyBorder="1" applyAlignment="1">
      <alignment horizontal="left" vertical="center" indent="1"/>
    </xf>
    <xf numFmtId="0" fontId="105" fillId="0" borderId="126" xfId="0" applyNumberFormat="1" applyFont="1" applyFill="1" applyBorder="1" applyAlignment="1">
      <alignment horizontal="left" vertical="center" wrapText="1" indent="1"/>
    </xf>
    <xf numFmtId="0" fontId="105" fillId="0" borderId="126" xfId="0" applyNumberFormat="1" applyFont="1" applyFill="1" applyBorder="1" applyAlignment="1">
      <alignment horizontal="right" vertical="center"/>
    </xf>
    <xf numFmtId="49" fontId="105" fillId="0" borderId="126" xfId="0" applyNumberFormat="1" applyFont="1" applyFill="1" applyBorder="1" applyAlignment="1">
      <alignment horizontal="right" vertical="center"/>
    </xf>
    <xf numFmtId="0" fontId="105" fillId="0" borderId="127" xfId="0" applyNumberFormat="1" applyFont="1" applyFill="1" applyBorder="1" applyAlignment="1">
      <alignment horizontal="left" vertical="top" wrapText="1"/>
    </xf>
    <xf numFmtId="49" fontId="105" fillId="0" borderId="126" xfId="0" applyNumberFormat="1" applyFont="1" applyFill="1" applyBorder="1" applyAlignment="1">
      <alignment vertical="top" wrapText="1"/>
    </xf>
    <xf numFmtId="49" fontId="105" fillId="0" borderId="126" xfId="0" applyNumberFormat="1" applyFont="1" applyFill="1" applyBorder="1" applyAlignment="1">
      <alignment horizontal="left" vertical="top" wrapText="1" indent="2"/>
    </xf>
    <xf numFmtId="49" fontId="105" fillId="0" borderId="126" xfId="0" applyNumberFormat="1" applyFont="1" applyFill="1" applyBorder="1" applyAlignment="1">
      <alignment horizontal="left" vertical="center" wrapText="1" indent="3"/>
    </xf>
    <xf numFmtId="49" fontId="105" fillId="0" borderId="126" xfId="0" applyNumberFormat="1" applyFont="1" applyFill="1" applyBorder="1" applyAlignment="1">
      <alignment horizontal="left" wrapText="1" indent="2"/>
    </xf>
    <xf numFmtId="49" fontId="105" fillId="0" borderId="126" xfId="0" applyNumberFormat="1" applyFont="1" applyFill="1" applyBorder="1" applyAlignment="1">
      <alignment horizontal="left" vertical="top" wrapText="1"/>
    </xf>
    <xf numFmtId="49" fontId="105" fillId="0" borderId="126" xfId="0" applyNumberFormat="1" applyFont="1" applyFill="1" applyBorder="1" applyAlignment="1">
      <alignment horizontal="left" wrapText="1" indent="3"/>
    </xf>
    <xf numFmtId="49" fontId="105" fillId="0" borderId="126" xfId="0" applyNumberFormat="1" applyFont="1" applyFill="1" applyBorder="1" applyAlignment="1">
      <alignment vertical="center"/>
    </xf>
    <xf numFmtId="0" fontId="105" fillId="0" borderId="126" xfId="0" applyFont="1" applyFill="1" applyBorder="1" applyAlignment="1">
      <alignment horizontal="left" vertical="center" wrapText="1"/>
    </xf>
    <xf numFmtId="49" fontId="105" fillId="0" borderId="126" xfId="0" applyNumberFormat="1" applyFont="1" applyFill="1" applyBorder="1" applyAlignment="1">
      <alignment horizontal="left" indent="3"/>
    </xf>
    <xf numFmtId="0" fontId="105" fillId="0" borderId="126" xfId="0" applyFont="1" applyBorder="1" applyAlignment="1">
      <alignment horizontal="left" indent="1"/>
    </xf>
    <xf numFmtId="0" fontId="105" fillId="0" borderId="126" xfId="0" applyNumberFormat="1" applyFont="1" applyFill="1" applyBorder="1" applyAlignment="1">
      <alignment horizontal="left" vertical="center" wrapText="1"/>
    </xf>
    <xf numFmtId="0" fontId="105" fillId="0" borderId="126" xfId="0" applyFont="1" applyFill="1" applyBorder="1" applyAlignment="1">
      <alignment horizontal="left" wrapText="1" indent="2"/>
    </xf>
    <xf numFmtId="0" fontId="105" fillId="0" borderId="126" xfId="0" applyFont="1" applyBorder="1" applyAlignment="1">
      <alignment horizontal="left" vertical="top" wrapText="1"/>
    </xf>
    <xf numFmtId="0" fontId="104" fillId="0" borderId="4" xfId="0" applyFont="1" applyBorder="1" applyAlignment="1">
      <alignment wrapText="1"/>
    </xf>
    <xf numFmtId="0" fontId="105" fillId="0" borderId="126" xfId="0" applyFont="1" applyBorder="1" applyAlignment="1">
      <alignment horizontal="left" vertical="top" wrapText="1" indent="2"/>
    </xf>
    <xf numFmtId="0" fontId="105" fillId="0" borderId="126" xfId="0" applyFont="1" applyBorder="1" applyAlignment="1">
      <alignment horizontal="left" wrapText="1"/>
    </xf>
    <xf numFmtId="0" fontId="105" fillId="0" borderId="126" xfId="12672" applyFont="1" applyFill="1" applyBorder="1" applyAlignment="1">
      <alignment horizontal="left" vertical="center" wrapText="1" indent="2"/>
    </xf>
    <xf numFmtId="0" fontId="105" fillId="0" borderId="126" xfId="0" applyFont="1" applyBorder="1" applyAlignment="1">
      <alignment horizontal="left" wrapText="1" indent="2"/>
    </xf>
    <xf numFmtId="0" fontId="105" fillId="0" borderId="126" xfId="0" applyFont="1" applyBorder="1" applyAlignment="1">
      <alignment wrapText="1"/>
    </xf>
    <xf numFmtId="0" fontId="105" fillId="0" borderId="126" xfId="0" applyFont="1" applyBorder="1"/>
    <xf numFmtId="0" fontId="105" fillId="0" borderId="126" xfId="12672" applyFont="1" applyFill="1" applyBorder="1" applyAlignment="1">
      <alignment horizontal="left" vertical="center" wrapText="1"/>
    </xf>
    <xf numFmtId="0" fontId="104" fillId="0" borderId="126" xfId="0" applyFont="1" applyBorder="1" applyAlignment="1">
      <alignment wrapText="1"/>
    </xf>
    <xf numFmtId="0" fontId="105" fillId="0" borderId="128" xfId="0" applyNumberFormat="1" applyFont="1" applyFill="1" applyBorder="1" applyAlignment="1">
      <alignment horizontal="left" vertical="center" wrapText="1"/>
    </xf>
    <xf numFmtId="0" fontId="105" fillId="3" borderId="126" xfId="5" applyNumberFormat="1" applyFont="1" applyFill="1" applyBorder="1" applyAlignment="1" applyProtection="1">
      <alignment horizontal="right" vertical="center"/>
      <protection locked="0"/>
    </xf>
    <xf numFmtId="2" fontId="105" fillId="3" borderId="126" xfId="5" applyNumberFormat="1" applyFont="1" applyFill="1" applyBorder="1" applyAlignment="1" applyProtection="1">
      <alignment horizontal="right" vertical="center"/>
      <protection locked="0"/>
    </xf>
    <xf numFmtId="0" fontId="105" fillId="0" borderId="126" xfId="0" applyNumberFormat="1" applyFont="1" applyFill="1" applyBorder="1" applyAlignment="1">
      <alignment vertical="center"/>
    </xf>
    <xf numFmtId="0" fontId="105" fillId="0" borderId="128" xfId="13" applyFont="1" applyFill="1" applyBorder="1" applyAlignment="1" applyProtection="1">
      <alignment horizontal="left" vertical="top" wrapText="1"/>
      <protection locked="0"/>
    </xf>
    <xf numFmtId="0" fontId="105" fillId="0" borderId="129" xfId="13" applyFont="1" applyFill="1" applyBorder="1" applyAlignment="1" applyProtection="1">
      <alignment horizontal="left" vertical="top" wrapText="1"/>
      <protection locked="0"/>
    </xf>
    <xf numFmtId="0" fontId="105" fillId="0" borderId="127"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27" xfId="0" applyFont="1" applyBorder="1" applyAlignment="1">
      <alignment horizontal="left" indent="2"/>
    </xf>
    <xf numFmtId="0" fontId="105" fillId="0" borderId="119" xfId="0" applyNumberFormat="1" applyFont="1" applyFill="1" applyBorder="1" applyAlignment="1">
      <alignment horizontal="left" vertical="center" wrapText="1" readingOrder="1"/>
    </xf>
    <xf numFmtId="0" fontId="105" fillId="0" borderId="126" xfId="0" applyNumberFormat="1" applyFont="1" applyFill="1" applyBorder="1" applyAlignment="1">
      <alignment horizontal="left" vertical="center" wrapText="1" readingOrder="1"/>
    </xf>
    <xf numFmtId="0" fontId="10" fillId="0" borderId="84" xfId="17" applyFill="1" applyBorder="1" applyAlignment="1" applyProtection="1">
      <alignment horizontal="left" vertical="top" wrapText="1"/>
    </xf>
    <xf numFmtId="0" fontId="105" fillId="0" borderId="0" xfId="0" applyFont="1" applyFill="1" applyBorder="1" applyAlignment="1">
      <alignment wrapText="1"/>
    </xf>
    <xf numFmtId="3" fontId="4" fillId="0" borderId="0" xfId="0" applyNumberFormat="1" applyFont="1"/>
    <xf numFmtId="3" fontId="4" fillId="0" borderId="0" xfId="0" applyNumberFormat="1" applyFont="1" applyBorder="1"/>
    <xf numFmtId="3" fontId="0" fillId="0" borderId="0" xfId="0" applyNumberFormat="1"/>
    <xf numFmtId="3" fontId="0" fillId="0" borderId="135" xfId="0" applyNumberFormat="1" applyBorder="1" applyAlignment="1"/>
    <xf numFmtId="3" fontId="0" fillId="0" borderId="135" xfId="0" applyNumberFormat="1" applyBorder="1" applyAlignment="1">
      <alignment wrapText="1"/>
    </xf>
    <xf numFmtId="193" fontId="6" fillId="3" borderId="135" xfId="2" applyNumberFormat="1" applyFont="1" applyFill="1" applyBorder="1" applyAlignment="1" applyProtection="1">
      <alignment vertical="top"/>
      <protection locked="0"/>
    </xf>
    <xf numFmtId="193" fontId="6" fillId="3" borderId="135" xfId="2" applyNumberFormat="1" applyFont="1" applyFill="1" applyBorder="1" applyAlignment="1" applyProtection="1">
      <alignment vertical="top" wrapText="1"/>
      <protection locked="0"/>
    </xf>
    <xf numFmtId="193" fontId="0" fillId="0" borderId="0" xfId="0" applyNumberFormat="1"/>
    <xf numFmtId="193" fontId="0" fillId="0" borderId="0" xfId="0" applyNumberFormat="1" applyAlignment="1">
      <alignment wrapText="1"/>
    </xf>
    <xf numFmtId="4" fontId="4" fillId="0" borderId="0" xfId="0" applyNumberFormat="1" applyFont="1"/>
    <xf numFmtId="4" fontId="8" fillId="0" borderId="0" xfId="11" applyNumberFormat="1" applyFont="1" applyFill="1" applyBorder="1" applyAlignment="1" applyProtection="1"/>
    <xf numFmtId="4" fontId="5" fillId="36" borderId="11" xfId="0" applyNumberFormat="1" applyFont="1" applyFill="1" applyBorder="1" applyAlignment="1">
      <alignment horizontal="center" vertical="center" wrapText="1"/>
    </xf>
    <xf numFmtId="4" fontId="5" fillId="36" borderId="97" xfId="0" applyNumberFormat="1" applyFont="1" applyFill="1" applyBorder="1" applyAlignment="1">
      <alignment horizontal="left" vertical="center" wrapText="1"/>
    </xf>
    <xf numFmtId="4" fontId="4" fillId="0" borderId="97" xfId="0" applyNumberFormat="1" applyFont="1" applyFill="1" applyBorder="1" applyAlignment="1">
      <alignment horizontal="right" vertical="center" wrapText="1"/>
    </xf>
    <xf numFmtId="4" fontId="5" fillId="36" borderId="97" xfId="0" applyNumberFormat="1" applyFont="1" applyFill="1" applyBorder="1" applyAlignment="1">
      <alignment horizontal="right" vertical="center" wrapText="1"/>
    </xf>
    <xf numFmtId="4" fontId="108" fillId="0" borderId="97" xfId="0" applyNumberFormat="1" applyFont="1" applyFill="1" applyBorder="1" applyAlignment="1">
      <alignment horizontal="right" vertical="center" wrapText="1"/>
    </xf>
    <xf numFmtId="4" fontId="5" fillId="36" borderId="97" xfId="0" applyNumberFormat="1" applyFont="1" applyFill="1" applyBorder="1" applyAlignment="1">
      <alignment horizontal="center" vertical="center" wrapText="1"/>
    </xf>
    <xf numFmtId="4" fontId="6" fillId="0" borderId="17" xfId="1" applyNumberFormat="1" applyFont="1" applyFill="1" applyBorder="1" applyAlignment="1" applyProtection="1">
      <alignment horizontal="right" vertical="center"/>
    </xf>
    <xf numFmtId="10" fontId="4" fillId="0" borderId="0" xfId="0" applyNumberFormat="1" applyFont="1" applyFill="1" applyAlignment="1">
      <alignment horizontal="left" vertical="center"/>
    </xf>
    <xf numFmtId="4" fontId="4" fillId="0" borderId="0" xfId="0" applyNumberFormat="1" applyFont="1" applyFill="1" applyAlignment="1">
      <alignment horizontal="left" vertical="center"/>
    </xf>
    <xf numFmtId="193" fontId="6" fillId="0" borderId="126" xfId="0" applyNumberFormat="1" applyFont="1" applyBorder="1" applyAlignment="1" applyProtection="1">
      <alignment vertical="center" wrapText="1"/>
      <protection locked="0"/>
    </xf>
    <xf numFmtId="193" fontId="6" fillId="0" borderId="126" xfId="0" applyNumberFormat="1" applyFont="1" applyBorder="1" applyAlignment="1" applyProtection="1">
      <alignment horizontal="right" vertical="center" wrapText="1"/>
      <protection locked="0"/>
    </xf>
    <xf numFmtId="10" fontId="144" fillId="0" borderId="126" xfId="0" applyNumberFormat="1" applyFont="1" applyBorder="1" applyAlignment="1" applyProtection="1">
      <alignment horizontal="right" vertical="center" wrapText="1"/>
      <protection locked="0"/>
    </xf>
    <xf numFmtId="165" fontId="144" fillId="0" borderId="126" xfId="0" applyNumberFormat="1" applyFont="1" applyBorder="1" applyAlignment="1" applyProtection="1">
      <alignment horizontal="right" vertical="center" wrapText="1"/>
      <protection locked="0"/>
    </xf>
    <xf numFmtId="10" fontId="8" fillId="86" borderId="126" xfId="0" applyNumberFormat="1" applyFont="1" applyFill="1" applyBorder="1" applyAlignment="1" applyProtection="1">
      <alignment vertical="center"/>
      <protection locked="0"/>
    </xf>
    <xf numFmtId="4" fontId="0" fillId="0" borderId="0" xfId="0" applyNumberFormat="1"/>
    <xf numFmtId="0" fontId="140" fillId="0" borderId="139" xfId="0" applyFont="1" applyBorder="1" applyAlignment="1">
      <alignment vertical="center"/>
    </xf>
    <xf numFmtId="0" fontId="140" fillId="0" borderId="22" xfId="0" applyFont="1" applyBorder="1" applyAlignment="1">
      <alignment vertical="center"/>
    </xf>
    <xf numFmtId="10" fontId="16" fillId="2" borderId="84" xfId="20961" applyNumberFormat="1" applyFont="1" applyFill="1" applyBorder="1" applyAlignment="1" applyProtection="1">
      <alignment vertical="center"/>
      <protection locked="0"/>
    </xf>
    <xf numFmtId="4" fontId="116" fillId="0" borderId="0" xfId="0" applyNumberFormat="1" applyFont="1"/>
    <xf numFmtId="4" fontId="119" fillId="0" borderId="120" xfId="0" applyNumberFormat="1" applyFont="1" applyBorder="1" applyAlignment="1">
      <alignment horizontal="center" vertical="center" wrapText="1"/>
    </xf>
    <xf numFmtId="4" fontId="119" fillId="0" borderId="120" xfId="0" applyNumberFormat="1" applyFont="1" applyFill="1" applyBorder="1" applyAlignment="1">
      <alignment horizontal="center" vertical="center" wrapText="1"/>
    </xf>
    <xf numFmtId="4" fontId="119" fillId="0" borderId="120" xfId="0" applyNumberFormat="1" applyFont="1" applyBorder="1"/>
    <xf numFmtId="3" fontId="22" fillId="0" borderId="126" xfId="0" applyNumberFormat="1" applyFont="1" applyBorder="1"/>
    <xf numFmtId="3" fontId="22" fillId="82" borderId="126" xfId="0" applyNumberFormat="1" applyFont="1" applyFill="1" applyBorder="1"/>
    <xf numFmtId="3" fontId="116" fillId="0" borderId="0" xfId="0" applyNumberFormat="1" applyFont="1"/>
    <xf numFmtId="3" fontId="118" fillId="0" borderId="126" xfId="0" applyNumberFormat="1" applyFont="1" applyBorder="1"/>
    <xf numFmtId="4" fontId="115" fillId="0" borderId="126" xfId="0" applyNumberFormat="1" applyFont="1" applyBorder="1"/>
    <xf numFmtId="3" fontId="115" fillId="0" borderId="126" xfId="0" applyNumberFormat="1" applyFont="1" applyBorder="1"/>
    <xf numFmtId="4" fontId="115" fillId="0" borderId="126" xfId="0" applyNumberFormat="1" applyFont="1" applyFill="1" applyBorder="1"/>
    <xf numFmtId="4" fontId="116" fillId="0" borderId="0" xfId="0" applyNumberFormat="1" applyFont="1" applyFill="1"/>
    <xf numFmtId="3" fontId="116" fillId="0" borderId="0" xfId="0" applyNumberFormat="1" applyFont="1" applyFill="1"/>
    <xf numFmtId="3" fontId="119" fillId="0" borderId="4" xfId="0" applyNumberFormat="1" applyFont="1" applyBorder="1"/>
    <xf numFmtId="0" fontId="116" fillId="81" borderId="126" xfId="0" applyFont="1" applyFill="1" applyBorder="1"/>
    <xf numFmtId="3" fontId="22" fillId="81" borderId="126" xfId="0" applyNumberFormat="1" applyFont="1" applyFill="1" applyBorder="1"/>
    <xf numFmtId="3" fontId="22" fillId="0" borderId="126" xfId="0" applyNumberFormat="1" applyFont="1" applyFill="1" applyBorder="1"/>
    <xf numFmtId="3" fontId="115" fillId="0" borderId="0" xfId="0" applyNumberFormat="1" applyFont="1"/>
    <xf numFmtId="4" fontId="115" fillId="0" borderId="0" xfId="0" applyNumberFormat="1" applyFont="1"/>
    <xf numFmtId="3" fontId="4" fillId="0" borderId="126" xfId="0" applyNumberFormat="1" applyFont="1" applyBorder="1" applyAlignment="1"/>
    <xf numFmtId="3" fontId="4" fillId="0" borderId="129" xfId="0" applyNumberFormat="1" applyFont="1" applyBorder="1" applyAlignment="1"/>
    <xf numFmtId="193" fontId="4" fillId="0" borderId="0" xfId="0" applyNumberFormat="1" applyFont="1"/>
    <xf numFmtId="167" fontId="11" fillId="0" borderId="0" xfId="0" applyNumberFormat="1" applyFont="1" applyAlignment="1"/>
    <xf numFmtId="3" fontId="11" fillId="0" borderId="0" xfId="0" applyNumberFormat="1" applyFont="1"/>
    <xf numFmtId="193" fontId="4" fillId="0" borderId="126" xfId="0" applyNumberFormat="1" applyFont="1" applyBorder="1" applyAlignment="1"/>
    <xf numFmtId="193" fontId="4" fillId="0" borderId="0" xfId="0" applyNumberFormat="1" applyFont="1" applyBorder="1" applyAlignment="1">
      <alignment horizontal="center" vertical="center" wrapText="1"/>
    </xf>
    <xf numFmtId="164" fontId="138" fillId="3" borderId="0" xfId="1" applyNumberFormat="1" applyFont="1" applyFill="1" applyProtection="1">
      <protection locked="0"/>
    </xf>
    <xf numFmtId="4" fontId="118" fillId="0" borderId="126" xfId="0" applyNumberFormat="1" applyFont="1" applyFill="1" applyBorder="1"/>
    <xf numFmtId="4" fontId="118" fillId="0" borderId="126" xfId="0" applyNumberFormat="1" applyFont="1" applyBorder="1"/>
    <xf numFmtId="4" fontId="115" fillId="36" borderId="126" xfId="21413" applyNumberFormat="1" applyFont="1" applyFill="1" applyBorder="1"/>
    <xf numFmtId="4" fontId="116" fillId="0" borderId="0" xfId="0" applyNumberFormat="1" applyFont="1" applyBorder="1"/>
    <xf numFmtId="3" fontId="115" fillId="0" borderId="126" xfId="0" applyNumberFormat="1" applyFont="1" applyFill="1" applyBorder="1" applyAlignment="1">
      <alignment horizontal="left" vertical="center" wrapText="1"/>
    </xf>
    <xf numFmtId="3" fontId="118" fillId="0" borderId="126" xfId="0" applyNumberFormat="1" applyFont="1" applyFill="1" applyBorder="1" applyAlignment="1">
      <alignment horizontal="left" vertical="center" wrapText="1"/>
    </xf>
    <xf numFmtId="3" fontId="115" fillId="0" borderId="0" xfId="0" applyNumberFormat="1" applyFont="1" applyBorder="1"/>
    <xf numFmtId="3" fontId="115" fillId="0" borderId="0" xfId="0" applyNumberFormat="1" applyFont="1" applyBorder="1" applyAlignment="1">
      <alignment horizontal="left"/>
    </xf>
    <xf numFmtId="3" fontId="115" fillId="0" borderId="0" xfId="0" applyNumberFormat="1" applyFont="1" applyAlignment="1">
      <alignment horizontal="center" vertical="center"/>
    </xf>
    <xf numFmtId="3" fontId="21" fillId="0" borderId="126" xfId="7" applyNumberFormat="1" applyFont="1" applyBorder="1"/>
    <xf numFmtId="4" fontId="4" fillId="0" borderId="0" xfId="0" applyNumberFormat="1" applyFont="1" applyBorder="1"/>
    <xf numFmtId="193" fontId="8" fillId="0" borderId="126" xfId="0" applyNumberFormat="1" applyFont="1" applyFill="1" applyBorder="1" applyAlignment="1" applyProtection="1">
      <alignment horizontal="right"/>
    </xf>
    <xf numFmtId="3" fontId="8" fillId="0" borderId="126" xfId="0" applyNumberFormat="1" applyFont="1" applyFill="1" applyBorder="1" applyAlignment="1" applyProtection="1">
      <alignment horizontal="center" vertical="center" wrapText="1"/>
    </xf>
    <xf numFmtId="0" fontId="3" fillId="0" borderId="126" xfId="0" applyFont="1" applyBorder="1" applyAlignment="1">
      <alignment horizontal="center" vertical="center"/>
    </xf>
    <xf numFmtId="0" fontId="129" fillId="3" borderId="126" xfId="21414" applyFont="1" applyFill="1" applyBorder="1" applyAlignment="1">
      <alignment horizontal="left" vertical="center" wrapText="1"/>
    </xf>
    <xf numFmtId="3" fontId="0" fillId="36" borderId="126" xfId="0" applyNumberFormat="1" applyFill="1" applyBorder="1"/>
    <xf numFmtId="0" fontId="130" fillId="0" borderId="126" xfId="21414" applyFont="1" applyFill="1" applyBorder="1" applyAlignment="1">
      <alignment horizontal="left" vertical="center" wrapText="1" indent="1"/>
    </xf>
    <xf numFmtId="0" fontId="131" fillId="3" borderId="126" xfId="21414" applyFont="1" applyFill="1" applyBorder="1" applyAlignment="1">
      <alignment horizontal="left" vertical="center" wrapText="1"/>
    </xf>
    <xf numFmtId="0" fontId="130" fillId="3" borderId="126" xfId="21414" applyFont="1" applyFill="1" applyBorder="1" applyAlignment="1">
      <alignment horizontal="left" vertical="center" wrapText="1" indent="1"/>
    </xf>
    <xf numFmtId="0" fontId="129" fillId="0" borderId="126" xfId="0" applyFont="1" applyFill="1" applyBorder="1" applyAlignment="1">
      <alignment horizontal="left" vertical="center" wrapText="1"/>
    </xf>
    <xf numFmtId="0" fontId="131" fillId="0" borderId="126" xfId="0" applyFont="1" applyFill="1" applyBorder="1" applyAlignment="1">
      <alignment horizontal="left" vertical="center" wrapText="1"/>
    </xf>
    <xf numFmtId="3" fontId="0" fillId="36" borderId="126" xfId="0" applyNumberFormat="1" applyFill="1" applyBorder="1" applyAlignment="1">
      <alignment vertical="center"/>
    </xf>
    <xf numFmtId="0" fontId="132" fillId="3" borderId="126" xfId="0" applyFont="1" applyFill="1" applyBorder="1" applyAlignment="1">
      <alignment horizontal="left" vertical="center" wrapText="1" indent="1"/>
    </xf>
    <xf numFmtId="0" fontId="131" fillId="3" borderId="126" xfId="0" applyFont="1" applyFill="1" applyBorder="1" applyAlignment="1">
      <alignment horizontal="left" vertical="center" wrapText="1"/>
    </xf>
    <xf numFmtId="0" fontId="132" fillId="0" borderId="126" xfId="0" applyFont="1" applyFill="1" applyBorder="1" applyAlignment="1">
      <alignment horizontal="left" vertical="center" wrapText="1" indent="1"/>
    </xf>
    <xf numFmtId="0" fontId="132" fillId="0" borderId="126" xfId="21414" applyFont="1" applyFill="1" applyBorder="1" applyAlignment="1">
      <alignment horizontal="left" vertical="center" wrapText="1" indent="1"/>
    </xf>
    <xf numFmtId="0" fontId="131" fillId="0" borderId="126" xfId="21414" applyFont="1" applyFill="1" applyBorder="1" applyAlignment="1">
      <alignment horizontal="left" vertical="center" wrapText="1"/>
    </xf>
    <xf numFmtId="0" fontId="133" fillId="0" borderId="126" xfId="21414" applyFont="1" applyFill="1" applyBorder="1" applyAlignment="1">
      <alignment horizontal="center" vertical="center" wrapText="1"/>
    </xf>
    <xf numFmtId="0" fontId="130" fillId="3" borderId="126" xfId="0" applyFont="1" applyFill="1" applyBorder="1" applyAlignment="1">
      <alignment horizontal="left" vertical="center" wrapText="1" indent="1"/>
    </xf>
    <xf numFmtId="0" fontId="131" fillId="0" borderId="126" xfId="0" applyFont="1" applyBorder="1" applyAlignment="1">
      <alignment horizontal="left" vertical="center" wrapText="1"/>
    </xf>
    <xf numFmtId="0" fontId="130" fillId="0" borderId="126" xfId="0" applyFont="1" applyBorder="1" applyAlignment="1">
      <alignment horizontal="left" vertical="center" wrapText="1" indent="1"/>
    </xf>
    <xf numFmtId="0" fontId="131" fillId="0" borderId="126" xfId="21414" applyFont="1" applyBorder="1" applyAlignment="1">
      <alignment horizontal="left" vertical="center" wrapText="1"/>
    </xf>
    <xf numFmtId="0" fontId="130" fillId="0" borderId="126" xfId="0" applyFont="1" applyFill="1" applyBorder="1" applyAlignment="1">
      <alignment horizontal="left" vertical="center" wrapText="1" indent="1"/>
    </xf>
    <xf numFmtId="0" fontId="134" fillId="0" borderId="126" xfId="0" applyFont="1" applyBorder="1" applyAlignment="1">
      <alignment horizontal="left"/>
    </xf>
    <xf numFmtId="0" fontId="0" fillId="0" borderId="136" xfId="0" applyBorder="1" applyAlignment="1">
      <alignment horizontal="center"/>
    </xf>
    <xf numFmtId="0" fontId="0" fillId="0" borderId="134" xfId="0" applyBorder="1" applyAlignment="1">
      <alignment horizontal="center"/>
    </xf>
    <xf numFmtId="0" fontId="131" fillId="0" borderId="133" xfId="0" applyFont="1" applyFill="1" applyBorder="1" applyAlignment="1">
      <alignment horizontal="left" vertical="center" wrapText="1"/>
    </xf>
    <xf numFmtId="3" fontId="0" fillId="36" borderId="133" xfId="0" applyNumberFormat="1" applyFill="1" applyBorder="1"/>
    <xf numFmtId="38" fontId="115" fillId="0" borderId="126" xfId="0" applyNumberFormat="1" applyFont="1" applyBorder="1"/>
    <xf numFmtId="10" fontId="8" fillId="2" borderId="84" xfId="20961" applyNumberFormat="1" applyFont="1" applyFill="1" applyBorder="1" applyAlignment="1" applyProtection="1">
      <alignment vertical="center"/>
      <protection locked="0"/>
    </xf>
    <xf numFmtId="0" fontId="101" fillId="0" borderId="126" xfId="0" applyFont="1" applyFill="1" applyBorder="1" applyAlignment="1">
      <alignment horizontal="left" vertical="center" wrapText="1"/>
    </xf>
    <xf numFmtId="0" fontId="101" fillId="0" borderId="135" xfId="0" applyFont="1" applyFill="1" applyBorder="1" applyAlignment="1">
      <alignment horizontal="left" vertical="center" wrapText="1"/>
    </xf>
    <xf numFmtId="0" fontId="101" fillId="0" borderId="126" xfId="0" applyFont="1" applyBorder="1" applyAlignment="1">
      <alignment horizontal="left" vertical="center" wrapText="1"/>
    </xf>
    <xf numFmtId="0" fontId="101" fillId="0" borderId="126" xfId="0" applyFont="1" applyFill="1" applyBorder="1" applyAlignment="1">
      <alignment horizontal="left" vertical="center"/>
    </xf>
    <xf numFmtId="0" fontId="101" fillId="0" borderId="135" xfId="0" applyFont="1" applyFill="1" applyBorder="1" applyAlignment="1">
      <alignment horizontal="left" vertical="center"/>
    </xf>
    <xf numFmtId="0" fontId="146" fillId="0" borderId="126" xfId="0" applyFont="1" applyFill="1" applyBorder="1" applyAlignment="1">
      <alignment horizontal="left" vertical="center"/>
    </xf>
    <xf numFmtId="0" fontId="146" fillId="0" borderId="135" xfId="0" applyFont="1" applyFill="1" applyBorder="1" applyAlignment="1">
      <alignment horizontal="left" vertical="center"/>
    </xf>
    <xf numFmtId="0" fontId="8" fillId="0" borderId="126" xfId="11" applyFont="1" applyFill="1" applyBorder="1" applyAlignment="1" applyProtection="1">
      <alignment horizontal="left"/>
      <protection locked="0"/>
    </xf>
    <xf numFmtId="10" fontId="142" fillId="0" borderId="135" xfId="0" applyNumberFormat="1" applyFont="1" applyBorder="1" applyAlignment="1">
      <alignment horizontal="right" vertical="center"/>
    </xf>
    <xf numFmtId="0" fontId="143" fillId="0" borderId="126" xfId="0" applyFont="1" applyFill="1" applyBorder="1" applyAlignment="1" applyProtection="1">
      <alignment horizontal="left"/>
      <protection locked="0"/>
    </xf>
    <xf numFmtId="0" fontId="8" fillId="0" borderId="133" xfId="0" applyFont="1" applyBorder="1" applyAlignment="1">
      <alignment horizontal="left" vertical="center" wrapText="1"/>
    </xf>
    <xf numFmtId="10" fontId="142" fillId="0" borderId="132" xfId="0" applyNumberFormat="1" applyFont="1" applyBorder="1" applyAlignment="1">
      <alignment horizontal="right" vertical="center"/>
    </xf>
    <xf numFmtId="167" fontId="17" fillId="85" borderId="47" xfId="0" applyNumberFormat="1" applyFont="1" applyFill="1" applyBorder="1" applyAlignment="1">
      <alignment horizontal="center"/>
    </xf>
    <xf numFmtId="3" fontId="4" fillId="3" borderId="82" xfId="0" applyNumberFormat="1" applyFont="1" applyFill="1" applyBorder="1" applyAlignment="1">
      <alignment vertical="center"/>
    </xf>
    <xf numFmtId="3" fontId="4" fillId="3" borderId="14" xfId="0" applyNumberFormat="1" applyFont="1" applyFill="1" applyBorder="1" applyAlignment="1">
      <alignment vertical="center"/>
    </xf>
    <xf numFmtId="3" fontId="25" fillId="37" borderId="0" xfId="20" applyNumberFormat="1" applyBorder="1"/>
    <xf numFmtId="3" fontId="4" fillId="0" borderId="84" xfId="0" applyNumberFormat="1" applyFont="1" applyFill="1" applyBorder="1" applyAlignment="1">
      <alignment vertical="center"/>
    </xf>
    <xf numFmtId="3" fontId="4" fillId="0" borderId="85" xfId="0" applyNumberFormat="1" applyFont="1" applyFill="1" applyBorder="1" applyAlignment="1">
      <alignment vertical="center"/>
    </xf>
    <xf numFmtId="3" fontId="4" fillId="0" borderId="97" xfId="0" applyNumberFormat="1" applyFont="1" applyFill="1" applyBorder="1" applyAlignment="1">
      <alignment vertical="center"/>
    </xf>
    <xf numFmtId="10" fontId="4" fillId="0" borderId="79" xfId="20961" applyNumberFormat="1" applyFont="1" applyFill="1" applyBorder="1" applyAlignment="1">
      <alignment vertical="center"/>
    </xf>
    <xf numFmtId="164" fontId="0" fillId="0" borderId="0" xfId="0" applyNumberFormat="1"/>
    <xf numFmtId="43" fontId="0" fillId="0" borderId="0" xfId="0" applyNumberFormat="1"/>
    <xf numFmtId="0" fontId="101" fillId="0" borderId="126" xfId="0" applyFont="1" applyBorder="1"/>
    <xf numFmtId="195" fontId="8" fillId="2" borderId="84" xfId="20961" applyNumberFormat="1" applyFont="1" applyFill="1" applyBorder="1" applyAlignment="1" applyProtection="1">
      <alignment vertical="center"/>
      <protection locked="0"/>
    </xf>
    <xf numFmtId="3" fontId="20" fillId="0" borderId="0" xfId="0" applyNumberFormat="1" applyFont="1" applyAlignment="1">
      <alignment horizontal="left"/>
    </xf>
    <xf numFmtId="3" fontId="142" fillId="0" borderId="0" xfId="11" applyNumberFormat="1" applyFont="1" applyFill="1" applyBorder="1" applyAlignment="1" applyProtection="1">
      <alignment horizontal="left"/>
    </xf>
    <xf numFmtId="3" fontId="147" fillId="0" borderId="0" xfId="11" applyNumberFormat="1" applyFont="1" applyFill="1" applyBorder="1" applyAlignment="1" applyProtection="1">
      <alignment horizontal="left"/>
    </xf>
    <xf numFmtId="3" fontId="148" fillId="0" borderId="10" xfId="11" applyNumberFormat="1" applyFont="1" applyFill="1" applyBorder="1" applyAlignment="1" applyProtection="1">
      <alignment horizontal="left" vertical="center"/>
    </xf>
    <xf numFmtId="3" fontId="148" fillId="0" borderId="11" xfId="11" applyNumberFormat="1" applyFont="1" applyFill="1" applyBorder="1" applyAlignment="1" applyProtection="1">
      <alignment horizontal="left" vertical="center"/>
    </xf>
    <xf numFmtId="3" fontId="20" fillId="0" borderId="135" xfId="0" applyNumberFormat="1" applyFont="1" applyBorder="1" applyAlignment="1">
      <alignment horizontal="left" vertical="center"/>
    </xf>
    <xf numFmtId="3" fontId="20" fillId="0" borderId="126" xfId="0" applyNumberFormat="1" applyFont="1" applyBorder="1" applyAlignment="1">
      <alignment horizontal="left" vertical="center"/>
    </xf>
    <xf numFmtId="3" fontId="141" fillId="0" borderId="0" xfId="0" applyNumberFormat="1" applyFont="1" applyAlignment="1">
      <alignment horizontal="left"/>
    </xf>
    <xf numFmtId="3" fontId="6" fillId="0" borderId="0" xfId="0" applyNumberFormat="1" applyFont="1" applyAlignment="1">
      <alignment horizontal="right"/>
    </xf>
    <xf numFmtId="3" fontId="4" fillId="0" borderId="0" xfId="0" applyNumberFormat="1" applyFont="1" applyAlignment="1">
      <alignment horizontal="right"/>
    </xf>
    <xf numFmtId="3" fontId="6" fillId="0" borderId="0" xfId="11" applyNumberFormat="1" applyFont="1" applyFill="1" applyBorder="1" applyAlignment="1" applyProtection="1">
      <alignment horizontal="right"/>
    </xf>
    <xf numFmtId="3" fontId="14" fillId="0" borderId="0" xfId="11" applyNumberFormat="1" applyFont="1" applyFill="1" applyBorder="1" applyAlignment="1" applyProtection="1">
      <alignment horizontal="right"/>
    </xf>
    <xf numFmtId="3" fontId="149" fillId="3" borderId="126" xfId="21414" applyNumberFormat="1" applyFont="1" applyFill="1" applyBorder="1" applyAlignment="1">
      <alignment horizontal="right" vertical="center" wrapText="1"/>
    </xf>
    <xf numFmtId="3" fontId="150" fillId="0" borderId="126" xfId="21414" applyNumberFormat="1" applyFont="1" applyFill="1" applyBorder="1" applyAlignment="1">
      <alignment horizontal="right" vertical="center" wrapText="1" indent="1"/>
    </xf>
    <xf numFmtId="3" fontId="150" fillId="3" borderId="126" xfId="21414" applyNumberFormat="1" applyFont="1" applyFill="1" applyBorder="1" applyAlignment="1">
      <alignment horizontal="right" vertical="center" wrapText="1" indent="1"/>
    </xf>
    <xf numFmtId="3" fontId="149" fillId="0" borderId="126" xfId="0" applyNumberFormat="1" applyFont="1" applyFill="1" applyBorder="1" applyAlignment="1">
      <alignment horizontal="right" vertical="center" wrapText="1"/>
    </xf>
    <xf numFmtId="3" fontId="151" fillId="0" borderId="126" xfId="0" applyNumberFormat="1" applyFont="1" applyFill="1" applyBorder="1" applyAlignment="1">
      <alignment horizontal="right" vertical="center" wrapText="1"/>
    </xf>
    <xf numFmtId="3" fontId="152" fillId="3" borderId="126" xfId="0" applyNumberFormat="1" applyFont="1" applyFill="1" applyBorder="1" applyAlignment="1">
      <alignment horizontal="right" vertical="center" wrapText="1" indent="1"/>
    </xf>
    <xf numFmtId="3" fontId="151" fillId="3" borderId="126" xfId="0" applyNumberFormat="1" applyFont="1" applyFill="1" applyBorder="1" applyAlignment="1">
      <alignment horizontal="right" vertical="center" wrapText="1"/>
    </xf>
    <xf numFmtId="3" fontId="152" fillId="0" borderId="126" xfId="0" applyNumberFormat="1" applyFont="1" applyFill="1" applyBorder="1" applyAlignment="1">
      <alignment horizontal="right" vertical="center" wrapText="1" indent="1"/>
    </xf>
    <xf numFmtId="3" fontId="152" fillId="0" borderId="126" xfId="21414" applyNumberFormat="1" applyFont="1" applyFill="1" applyBorder="1" applyAlignment="1">
      <alignment horizontal="right" vertical="center" wrapText="1" indent="1"/>
    </xf>
    <xf numFmtId="3" fontId="151" fillId="0" borderId="126" xfId="21414" applyNumberFormat="1" applyFont="1" applyFill="1" applyBorder="1" applyAlignment="1">
      <alignment horizontal="right" vertical="center" wrapText="1"/>
    </xf>
    <xf numFmtId="3" fontId="133" fillId="0" borderId="126" xfId="21414" applyNumberFormat="1" applyFont="1" applyFill="1" applyBorder="1" applyAlignment="1">
      <alignment horizontal="right" vertical="center" wrapText="1"/>
    </xf>
    <xf numFmtId="3" fontId="150" fillId="3" borderId="126" xfId="0" applyNumberFormat="1" applyFont="1" applyFill="1" applyBorder="1" applyAlignment="1">
      <alignment horizontal="right" vertical="center" wrapText="1" indent="1"/>
    </xf>
    <xf numFmtId="3" fontId="151" fillId="0" borderId="126" xfId="0" applyNumberFormat="1" applyFont="1" applyBorder="1" applyAlignment="1">
      <alignment horizontal="right" vertical="center" wrapText="1"/>
    </xf>
    <xf numFmtId="3" fontId="150" fillId="0" borderId="126" xfId="0" applyNumberFormat="1" applyFont="1" applyBorder="1" applyAlignment="1">
      <alignment horizontal="right" vertical="center" wrapText="1" indent="1"/>
    </xf>
    <xf numFmtId="3" fontId="151" fillId="0" borderId="126" xfId="21414" applyNumberFormat="1" applyFont="1" applyBorder="1" applyAlignment="1">
      <alignment horizontal="right" vertical="center" wrapText="1"/>
    </xf>
    <xf numFmtId="3" fontId="150" fillId="0" borderId="126" xfId="0" applyNumberFormat="1" applyFont="1" applyFill="1" applyBorder="1" applyAlignment="1">
      <alignment horizontal="right" vertical="center" wrapText="1" indent="1"/>
    </xf>
    <xf numFmtId="3" fontId="153" fillId="0" borderId="126" xfId="0" applyNumberFormat="1" applyFont="1" applyBorder="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167" fontId="22" fillId="0" borderId="135" xfId="0" applyNumberFormat="1" applyFont="1" applyBorder="1" applyAlignment="1">
      <alignment horizontal="center"/>
    </xf>
    <xf numFmtId="167" fontId="18" fillId="0" borderId="135" xfId="0" applyNumberFormat="1" applyFont="1" applyBorder="1" applyAlignment="1">
      <alignment horizontal="center"/>
    </xf>
    <xf numFmtId="0" fontId="22" fillId="0" borderId="135" xfId="0" applyFont="1" applyBorder="1"/>
    <xf numFmtId="3" fontId="151" fillId="0" borderId="133" xfId="0" applyNumberFormat="1" applyFont="1" applyFill="1" applyBorder="1" applyAlignment="1">
      <alignment horizontal="right" vertical="center" wrapText="1"/>
    </xf>
    <xf numFmtId="0" fontId="22" fillId="0" borderId="132" xfId="0" applyFont="1" applyBorder="1"/>
    <xf numFmtId="14" fontId="4" fillId="0" borderId="0" xfId="0" applyNumberFormat="1" applyFont="1" applyAlignment="1">
      <alignment horizontal="left"/>
    </xf>
    <xf numFmtId="3" fontId="112" fillId="79" borderId="126" xfId="1" applyNumberFormat="1" applyFont="1" applyFill="1" applyBorder="1" applyAlignment="1" applyProtection="1">
      <alignment horizontal="right" vertical="center"/>
    </xf>
    <xf numFmtId="3" fontId="61" fillId="78" borderId="8" xfId="21412" applyNumberFormat="1" applyFont="1" applyFill="1" applyBorder="1" applyAlignment="1" applyProtection="1">
      <alignment horizontal="center" vertical="center"/>
      <protection locked="0"/>
    </xf>
    <xf numFmtId="3" fontId="112" fillId="0" borderId="126" xfId="1" applyNumberFormat="1" applyFont="1" applyFill="1" applyBorder="1" applyAlignment="1" applyProtection="1">
      <alignment horizontal="right" vertical="center"/>
      <protection locked="0"/>
    </xf>
    <xf numFmtId="164" fontId="112" fillId="0" borderId="126" xfId="948" applyNumberFormat="1" applyFont="1" applyFill="1" applyBorder="1" applyAlignment="1" applyProtection="1">
      <alignment horizontal="right" vertical="center"/>
      <protection locked="0"/>
    </xf>
    <xf numFmtId="3" fontId="112" fillId="3" borderId="126" xfId="1" applyNumberFormat="1" applyFont="1" applyFill="1" applyBorder="1" applyAlignment="1" applyProtection="1">
      <alignment horizontal="right" vertical="center"/>
      <protection locked="0"/>
    </xf>
    <xf numFmtId="10" fontId="61" fillId="78" borderId="128" xfId="20961" applyNumberFormat="1" applyFont="1" applyFill="1" applyBorder="1" applyAlignment="1" applyProtection="1">
      <alignment horizontal="center" vertical="center"/>
      <protection locked="0"/>
    </xf>
    <xf numFmtId="10" fontId="112" fillId="79" borderId="126" xfId="20961" applyNumberFormat="1" applyFont="1" applyFill="1" applyBorder="1" applyAlignment="1" applyProtection="1">
      <alignment horizontal="right" vertical="center"/>
    </xf>
    <xf numFmtId="38" fontId="124" fillId="0" borderId="0" xfId="0" applyNumberFormat="1" applyFont="1"/>
    <xf numFmtId="0" fontId="0" fillId="0" borderId="136" xfId="0" applyBorder="1" applyAlignment="1">
      <alignment horizontal="center" vertical="center"/>
    </xf>
    <xf numFmtId="164" fontId="124" fillId="0" borderId="126" xfId="7" applyNumberFormat="1" applyFont="1" applyBorder="1"/>
    <xf numFmtId="43" fontId="124" fillId="0" borderId="126" xfId="7" applyFont="1" applyBorder="1"/>
    <xf numFmtId="164" fontId="156" fillId="0" borderId="126" xfId="7" applyNumberFormat="1" applyFont="1" applyBorder="1"/>
    <xf numFmtId="164" fontId="120" fillId="0" borderId="126" xfId="0" applyNumberFormat="1" applyFont="1" applyBorder="1"/>
    <xf numFmtId="10" fontId="0" fillId="0" borderId="0" xfId="20961" applyNumberFormat="1" applyFont="1"/>
    <xf numFmtId="167" fontId="116" fillId="0" borderId="126" xfId="0" applyNumberFormat="1" applyFont="1" applyBorder="1"/>
    <xf numFmtId="167" fontId="119" fillId="0" borderId="126" xfId="0" applyNumberFormat="1" applyFont="1" applyBorder="1"/>
    <xf numFmtId="164" fontId="138" fillId="0" borderId="0" xfId="0" applyNumberFormat="1" applyFont="1"/>
    <xf numFmtId="0" fontId="14" fillId="0" borderId="0" xfId="11" applyFont="1" applyFill="1" applyBorder="1" applyAlignment="1" applyProtection="1">
      <alignment horizontal="left" vertical="center"/>
    </xf>
    <xf numFmtId="3" fontId="20" fillId="0" borderId="126" xfId="0" applyNumberFormat="1" applyFont="1" applyFill="1" applyBorder="1" applyAlignment="1">
      <alignment horizontal="left" vertical="center" wrapText="1"/>
    </xf>
    <xf numFmtId="3" fontId="20" fillId="0" borderId="126" xfId="7" applyNumberFormat="1" applyFont="1" applyFill="1" applyBorder="1" applyAlignment="1">
      <alignment horizontal="left" vertical="center" wrapText="1"/>
    </xf>
    <xf numFmtId="3" fontId="20" fillId="0" borderId="126" xfId="7" applyNumberFormat="1" applyFont="1" applyBorder="1" applyAlignment="1">
      <alignment horizontal="left" vertical="center"/>
    </xf>
    <xf numFmtId="0" fontId="0" fillId="0" borderId="136" xfId="0" applyBorder="1"/>
    <xf numFmtId="3" fontId="20" fillId="0" borderId="135" xfId="0" applyNumberFormat="1" applyFont="1" applyFill="1" applyBorder="1" applyAlignment="1">
      <alignment horizontal="left" vertical="center" wrapText="1"/>
    </xf>
    <xf numFmtId="3" fontId="20" fillId="0" borderId="135" xfId="7" applyNumberFormat="1" applyFont="1" applyFill="1" applyBorder="1" applyAlignment="1">
      <alignment horizontal="left" vertical="center" wrapText="1"/>
    </xf>
    <xf numFmtId="3" fontId="20" fillId="0" borderId="135" xfId="7" applyNumberFormat="1" applyFont="1" applyBorder="1" applyAlignment="1">
      <alignment horizontal="left" vertical="center"/>
    </xf>
    <xf numFmtId="0" fontId="0" fillId="0" borderId="134" xfId="0" applyBorder="1"/>
    <xf numFmtId="0" fontId="5" fillId="36" borderId="133" xfId="0" applyFont="1" applyFill="1" applyBorder="1" applyAlignment="1">
      <alignment vertical="center" wrapText="1"/>
    </xf>
    <xf numFmtId="3" fontId="145" fillId="36" borderId="133" xfId="0" applyNumberFormat="1" applyFont="1" applyFill="1" applyBorder="1" applyAlignment="1">
      <alignment horizontal="left" vertical="center"/>
    </xf>
    <xf numFmtId="3" fontId="145" fillId="36" borderId="132" xfId="0" applyNumberFormat="1" applyFont="1" applyFill="1" applyBorder="1" applyAlignment="1">
      <alignment horizontal="left" vertical="center"/>
    </xf>
    <xf numFmtId="0" fontId="5" fillId="36" borderId="126" xfId="0" applyFont="1" applyFill="1" applyBorder="1" applyAlignment="1">
      <alignment horizontal="left" vertical="top" wrapText="1"/>
    </xf>
    <xf numFmtId="0" fontId="6" fillId="3" borderId="126" xfId="13" applyFont="1" applyFill="1" applyBorder="1" applyAlignment="1" applyProtection="1">
      <alignment vertical="center" wrapText="1"/>
      <protection locked="0"/>
    </xf>
    <xf numFmtId="0" fontId="6" fillId="3" borderId="126" xfId="13" applyFont="1" applyFill="1" applyBorder="1" applyAlignment="1" applyProtection="1">
      <alignment horizontal="left" vertical="center" wrapText="1"/>
      <protection locked="0"/>
    </xf>
    <xf numFmtId="0" fontId="6" fillId="3" borderId="126" xfId="9" applyFont="1" applyFill="1" applyBorder="1" applyAlignment="1" applyProtection="1">
      <alignment horizontal="left" vertical="center" wrapText="1"/>
      <protection locked="0"/>
    </xf>
    <xf numFmtId="0" fontId="6" fillId="0" borderId="126" xfId="13" applyFont="1" applyBorder="1" applyAlignment="1" applyProtection="1">
      <alignment horizontal="left" vertical="center" wrapText="1"/>
      <protection locked="0"/>
    </xf>
    <xf numFmtId="0" fontId="6" fillId="0" borderId="126" xfId="13" applyFont="1" applyBorder="1" applyAlignment="1" applyProtection="1">
      <alignment wrapText="1"/>
      <protection locked="0"/>
    </xf>
    <xf numFmtId="0" fontId="6" fillId="0" borderId="126" xfId="13" applyFont="1" applyFill="1" applyBorder="1" applyAlignment="1" applyProtection="1">
      <alignment horizontal="left" vertical="center" wrapText="1"/>
      <protection locked="0"/>
    </xf>
    <xf numFmtId="1" fontId="14" fillId="36" borderId="126" xfId="2" applyNumberFormat="1" applyFont="1" applyFill="1" applyBorder="1" applyAlignment="1" applyProtection="1">
      <alignment horizontal="left" vertical="top" wrapText="1"/>
    </xf>
    <xf numFmtId="0" fontId="14" fillId="3" borderId="126" xfId="13" applyFont="1" applyFill="1" applyBorder="1" applyAlignment="1" applyProtection="1">
      <alignment vertical="center" wrapText="1"/>
      <protection locked="0"/>
    </xf>
    <xf numFmtId="0" fontId="6" fillId="3" borderId="126" xfId="13" applyFont="1" applyFill="1" applyBorder="1" applyAlignment="1" applyProtection="1">
      <alignment horizontal="left" vertical="center" wrapText="1" indent="3"/>
      <protection locked="0"/>
    </xf>
    <xf numFmtId="0" fontId="14" fillId="36" borderId="126" xfId="13" applyFont="1" applyFill="1" applyBorder="1" applyAlignment="1" applyProtection="1">
      <alignment vertical="center" wrapText="1"/>
      <protection locked="0"/>
    </xf>
    <xf numFmtId="0" fontId="6" fillId="83" borderId="126" xfId="13" applyFont="1" applyFill="1" applyBorder="1" applyAlignment="1" applyProtection="1">
      <alignment vertical="center" wrapText="1"/>
      <protection locked="0"/>
    </xf>
    <xf numFmtId="0" fontId="14" fillId="3" borderId="10" xfId="9" applyFont="1" applyFill="1" applyBorder="1" applyAlignment="1" applyProtection="1">
      <alignment horizontal="center" vertical="center" wrapText="1"/>
      <protection locked="0"/>
    </xf>
    <xf numFmtId="0" fontId="6" fillId="0" borderId="136" xfId="9" applyFont="1" applyFill="1" applyBorder="1" applyAlignment="1" applyProtection="1">
      <alignment horizontal="center" vertical="center"/>
      <protection locked="0"/>
    </xf>
    <xf numFmtId="193" fontId="6" fillId="36" borderId="135" xfId="2" applyNumberFormat="1" applyFont="1" applyFill="1" applyBorder="1" applyAlignment="1" applyProtection="1">
      <alignment vertical="top"/>
    </xf>
    <xf numFmtId="193" fontId="6" fillId="36" borderId="135" xfId="2" applyNumberFormat="1" applyFont="1" applyFill="1" applyBorder="1" applyAlignment="1" applyProtection="1">
      <alignment vertical="top" wrapText="1"/>
    </xf>
    <xf numFmtId="0" fontId="6" fillId="0" borderId="136" xfId="9" applyFont="1" applyFill="1" applyBorder="1" applyAlignment="1" applyProtection="1">
      <alignment horizontal="center" vertical="center" wrapText="1"/>
      <protection locked="0"/>
    </xf>
    <xf numFmtId="193" fontId="6" fillId="36" borderId="135" xfId="2" applyNumberFormat="1" applyFont="1" applyFill="1" applyBorder="1" applyAlignment="1" applyProtection="1">
      <alignment vertical="top" wrapText="1"/>
      <protection locked="0"/>
    </xf>
    <xf numFmtId="0" fontId="6" fillId="0" borderId="134" xfId="9" applyFont="1" applyFill="1" applyBorder="1" applyAlignment="1" applyProtection="1">
      <alignment horizontal="center" vertical="center" wrapText="1"/>
      <protection locked="0"/>
    </xf>
    <xf numFmtId="0" fontId="14" fillId="36" borderId="133" xfId="13" applyFont="1" applyFill="1" applyBorder="1" applyAlignment="1" applyProtection="1">
      <alignment vertical="center" wrapText="1"/>
      <protection locked="0"/>
    </xf>
    <xf numFmtId="193" fontId="6" fillId="36" borderId="132" xfId="2" applyNumberFormat="1" applyFont="1" applyFill="1" applyBorder="1" applyAlignment="1" applyProtection="1">
      <alignment vertical="top" wrapText="1"/>
    </xf>
    <xf numFmtId="196" fontId="116" fillId="0" borderId="0" xfId="0" applyNumberFormat="1" applyFont="1"/>
    <xf numFmtId="10" fontId="16" fillId="2" borderId="126" xfId="20961" applyNumberFormat="1" applyFont="1" applyFill="1" applyBorder="1" applyAlignment="1" applyProtection="1">
      <alignment vertical="center"/>
      <protection locked="0"/>
    </xf>
    <xf numFmtId="10" fontId="8" fillId="2" borderId="126" xfId="20961" applyNumberFormat="1" applyFont="1" applyFill="1" applyBorder="1" applyAlignment="1" applyProtection="1">
      <alignment vertical="center"/>
      <protection locked="0"/>
    </xf>
    <xf numFmtId="193" fontId="8" fillId="2" borderId="126" xfId="0" applyNumberFormat="1" applyFont="1" applyFill="1" applyBorder="1" applyAlignment="1" applyProtection="1">
      <alignment vertical="center"/>
      <protection locked="0"/>
    </xf>
    <xf numFmtId="193" fontId="16" fillId="2" borderId="126" xfId="0" applyNumberFormat="1" applyFont="1" applyFill="1" applyBorder="1" applyAlignment="1" applyProtection="1">
      <alignment vertical="center"/>
      <protection locked="0"/>
    </xf>
    <xf numFmtId="3" fontId="115" fillId="0" borderId="0" xfId="0" applyNumberFormat="1" applyFont="1" applyAlignment="1">
      <alignment wrapText="1"/>
    </xf>
    <xf numFmtId="3" fontId="115" fillId="0" borderId="4" xfId="0" applyNumberFormat="1" applyFont="1" applyBorder="1" applyAlignment="1">
      <alignment wrapText="1"/>
    </xf>
    <xf numFmtId="10" fontId="4" fillId="0" borderId="0" xfId="0" applyNumberFormat="1" applyFont="1"/>
    <xf numFmtId="197" fontId="124" fillId="0" borderId="0" xfId="0" applyNumberFormat="1" applyFont="1"/>
    <xf numFmtId="9" fontId="124" fillId="0" borderId="126" xfId="7" applyNumberFormat="1" applyFont="1" applyBorder="1"/>
    <xf numFmtId="0" fontId="127" fillId="0" borderId="0" xfId="0" applyNumberFormat="1" applyFont="1"/>
    <xf numFmtId="194" fontId="127" fillId="0" borderId="0" xfId="0" applyNumberFormat="1" applyFont="1"/>
    <xf numFmtId="167" fontId="116" fillId="0" borderId="0" xfId="0" applyNumberFormat="1" applyFont="1"/>
    <xf numFmtId="39" fontId="116" fillId="0" borderId="0" xfId="0" applyNumberFormat="1" applyFont="1" applyFill="1"/>
    <xf numFmtId="0" fontId="0" fillId="0" borderId="136" xfId="0" applyBorder="1" applyAlignment="1">
      <alignment horizontal="center" vertical="center"/>
    </xf>
    <xf numFmtId="10" fontId="142" fillId="2" borderId="16" xfId="20961" applyNumberFormat="1" applyFont="1" applyFill="1" applyBorder="1" applyAlignment="1" applyProtection="1">
      <alignment vertical="center"/>
      <protection locked="0"/>
    </xf>
    <xf numFmtId="3" fontId="6" fillId="0" borderId="0" xfId="0" applyNumberFormat="1" applyFont="1"/>
    <xf numFmtId="3" fontId="6" fillId="0" borderId="0" xfId="0" applyNumberFormat="1" applyFont="1" applyBorder="1"/>
    <xf numFmtId="3" fontId="0" fillId="0" borderId="126" xfId="0" applyNumberFormat="1" applyBorder="1"/>
    <xf numFmtId="3" fontId="0" fillId="0" borderId="126" xfId="0" applyNumberFormat="1" applyBorder="1" applyAlignment="1">
      <alignment vertical="center"/>
    </xf>
    <xf numFmtId="3" fontId="3" fillId="0" borderId="126" xfId="0" applyNumberFormat="1" applyFont="1" applyBorder="1"/>
    <xf numFmtId="3" fontId="0" fillId="0" borderId="133" xfId="0" applyNumberFormat="1" applyBorder="1"/>
    <xf numFmtId="3" fontId="8" fillId="0" borderId="135" xfId="0" applyNumberFormat="1" applyFont="1" applyFill="1" applyBorder="1" applyAlignment="1" applyProtection="1">
      <alignment horizontal="center" vertical="center" wrapText="1"/>
    </xf>
    <xf numFmtId="3" fontId="0" fillId="36" borderId="135" xfId="0" applyNumberFormat="1" applyFill="1" applyBorder="1"/>
    <xf numFmtId="3" fontId="0" fillId="36" borderId="135" xfId="0" applyNumberFormat="1" applyFill="1" applyBorder="1" applyAlignment="1">
      <alignment vertical="center"/>
    </xf>
    <xf numFmtId="3" fontId="0" fillId="0" borderId="126" xfId="0" applyNumberFormat="1" applyFill="1" applyBorder="1"/>
    <xf numFmtId="3" fontId="157" fillId="87" borderId="140" xfId="0" applyNumberFormat="1" applyFont="1" applyFill="1" applyBorder="1"/>
    <xf numFmtId="3" fontId="4" fillId="0" borderId="1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7" xfId="0" applyNumberFormat="1" applyFont="1" applyFill="1" applyBorder="1" applyAlignment="1">
      <alignment vertical="center"/>
    </xf>
    <xf numFmtId="195" fontId="0" fillId="0" borderId="0" xfId="20961" applyNumberFormat="1" applyFont="1"/>
    <xf numFmtId="195" fontId="124" fillId="0" borderId="126" xfId="20961" applyNumberFormat="1" applyFont="1" applyBorder="1"/>
    <xf numFmtId="10" fontId="124" fillId="0" borderId="126" xfId="7" applyNumberFormat="1" applyFont="1" applyBorder="1"/>
    <xf numFmtId="4" fontId="8" fillId="0" borderId="126" xfId="0" applyNumberFormat="1" applyFont="1" applyFill="1" applyBorder="1" applyAlignment="1" applyProtection="1">
      <alignment horizontal="center" vertical="center" wrapText="1"/>
    </xf>
    <xf numFmtId="0" fontId="131" fillId="0" borderId="126" xfId="0" applyFont="1" applyFill="1" applyBorder="1" applyAlignment="1">
      <alignment horizontal="justify" vertical="center" wrapText="1"/>
    </xf>
    <xf numFmtId="4" fontId="0" fillId="36" borderId="126" xfId="0" applyNumberFormat="1" applyFill="1" applyBorder="1"/>
    <xf numFmtId="0" fontId="129" fillId="0" borderId="126" xfId="0" applyFont="1" applyFill="1" applyBorder="1" applyAlignment="1">
      <alignment horizontal="justify" vertical="center" wrapText="1"/>
    </xf>
    <xf numFmtId="0" fontId="131" fillId="0" borderId="126" xfId="21414" applyFont="1" applyFill="1" applyBorder="1" applyAlignment="1">
      <alignment horizontal="justify" vertical="center" wrapText="1"/>
    </xf>
    <xf numFmtId="0" fontId="129" fillId="0" borderId="126" xfId="0" applyFont="1" applyFill="1" applyBorder="1" applyAlignment="1">
      <alignment vertical="center" wrapText="1"/>
    </xf>
    <xf numFmtId="0" fontId="131" fillId="0" borderId="126" xfId="0" applyFont="1" applyFill="1" applyBorder="1" applyAlignment="1">
      <alignment vertical="center" wrapText="1"/>
    </xf>
    <xf numFmtId="0" fontId="131" fillId="0" borderId="126" xfId="21414" applyFont="1" applyFill="1" applyBorder="1" applyAlignment="1">
      <alignment vertical="center" wrapText="1"/>
    </xf>
    <xf numFmtId="4" fontId="8" fillId="0" borderId="135" xfId="0" applyNumberFormat="1" applyFont="1" applyFill="1" applyBorder="1" applyAlignment="1" applyProtection="1">
      <alignment horizontal="center" vertical="center" wrapText="1"/>
    </xf>
    <xf numFmtId="4" fontId="0" fillId="36" borderId="135" xfId="0" applyNumberFormat="1" applyFill="1" applyBorder="1"/>
    <xf numFmtId="0" fontId="0" fillId="0" borderId="134" xfId="0" applyBorder="1" applyAlignment="1">
      <alignment horizontal="center" vertical="center"/>
    </xf>
    <xf numFmtId="0" fontId="131" fillId="0" borderId="133" xfId="21414" applyFont="1" applyFill="1" applyBorder="1" applyAlignment="1">
      <alignment vertical="center" wrapText="1"/>
    </xf>
    <xf numFmtId="4" fontId="0" fillId="36" borderId="133" xfId="0" applyNumberFormat="1" applyFill="1" applyBorder="1"/>
    <xf numFmtId="4" fontId="0" fillId="36" borderId="132" xfId="0" applyNumberFormat="1" applyFill="1" applyBorder="1"/>
    <xf numFmtId="0" fontId="8" fillId="0" borderId="126" xfId="0" applyFont="1" applyFill="1" applyBorder="1" applyAlignment="1" applyProtection="1">
      <alignment horizontal="center" vertical="center" wrapText="1"/>
    </xf>
    <xf numFmtId="0" fontId="8" fillId="0" borderId="135" xfId="0" applyFont="1" applyFill="1" applyBorder="1" applyAlignment="1" applyProtection="1">
      <alignment horizontal="center" vertical="center" wrapText="1"/>
    </xf>
    <xf numFmtId="0" fontId="14" fillId="83" borderId="126" xfId="0" applyNumberFormat="1" applyFont="1" applyFill="1" applyBorder="1" applyAlignment="1">
      <alignment vertical="center" wrapText="1"/>
    </xf>
    <xf numFmtId="193" fontId="8" fillId="36" borderId="126" xfId="0" applyNumberFormat="1" applyFont="1" applyFill="1" applyBorder="1" applyAlignment="1" applyProtection="1">
      <alignment horizontal="right"/>
    </xf>
    <xf numFmtId="193" fontId="8" fillId="36" borderId="135" xfId="0" applyNumberFormat="1" applyFont="1" applyFill="1" applyBorder="1" applyAlignment="1" applyProtection="1">
      <alignment horizontal="right"/>
    </xf>
    <xf numFmtId="0" fontId="14" fillId="0" borderId="126" xfId="0" applyNumberFormat="1" applyFont="1" applyFill="1" applyBorder="1" applyAlignment="1">
      <alignment vertical="center" wrapText="1"/>
    </xf>
    <xf numFmtId="0" fontId="6" fillId="0" borderId="126" xfId="0" applyNumberFormat="1" applyFont="1" applyFill="1" applyBorder="1" applyAlignment="1">
      <alignment horizontal="left" vertical="center" wrapText="1" indent="1"/>
    </xf>
    <xf numFmtId="0" fontId="3" fillId="0" borderId="126" xfId="0" applyFont="1" applyBorder="1" applyAlignment="1">
      <alignment vertical="center"/>
    </xf>
    <xf numFmtId="0" fontId="135" fillId="0" borderId="126" xfId="0" applyFont="1" applyFill="1" applyBorder="1" applyAlignment="1" applyProtection="1">
      <alignment horizontal="left" vertical="center" indent="1"/>
      <protection locked="0"/>
    </xf>
    <xf numFmtId="0" fontId="136" fillId="0" borderId="126" xfId="0" applyFont="1" applyFill="1" applyBorder="1" applyAlignment="1" applyProtection="1">
      <alignment horizontal="left" vertical="center" indent="3"/>
      <protection locked="0"/>
    </xf>
    <xf numFmtId="0" fontId="137" fillId="0" borderId="126" xfId="0" applyFont="1" applyFill="1" applyBorder="1" applyAlignment="1" applyProtection="1">
      <alignment horizontal="left" vertical="center" indent="3"/>
      <protection locked="0"/>
    </xf>
    <xf numFmtId="0" fontId="3" fillId="0" borderId="126" xfId="0" applyFont="1" applyFill="1" applyBorder="1" applyAlignment="1">
      <alignment vertical="center"/>
    </xf>
    <xf numFmtId="0" fontId="3" fillId="0" borderId="133" xfId="0" applyFont="1" applyBorder="1"/>
    <xf numFmtId="193" fontId="8" fillId="0" borderId="133" xfId="0" applyNumberFormat="1" applyFont="1" applyFill="1" applyBorder="1" applyAlignment="1" applyProtection="1">
      <alignment horizontal="right"/>
    </xf>
    <xf numFmtId="193" fontId="8" fillId="36" borderId="133" xfId="0" applyNumberFormat="1" applyFont="1" applyFill="1" applyBorder="1" applyAlignment="1" applyProtection="1">
      <alignment horizontal="right"/>
    </xf>
    <xf numFmtId="198" fontId="4" fillId="0" borderId="0" xfId="0" applyNumberFormat="1" applyFont="1"/>
    <xf numFmtId="14" fontId="116" fillId="0" borderId="0" xfId="0" applyNumberFormat="1" applyFont="1" applyAlignment="1">
      <alignment horizontal="left"/>
    </xf>
    <xf numFmtId="0" fontId="5" fillId="0" borderId="0" xfId="0" applyFont="1" applyBorder="1" applyAlignment="1">
      <alignment horizontal="center"/>
    </xf>
    <xf numFmtId="0" fontId="17" fillId="0" borderId="0" xfId="0" applyFont="1" applyFill="1" applyBorder="1" applyAlignment="1">
      <alignment horizontal="center"/>
    </xf>
    <xf numFmtId="0" fontId="4" fillId="0" borderId="126" xfId="0" applyFont="1" applyBorder="1" applyAlignment="1">
      <alignment vertical="center" wrapText="1"/>
    </xf>
    <xf numFmtId="3" fontId="20" fillId="36" borderId="126" xfId="0" applyNumberFormat="1" applyFont="1" applyFill="1" applyBorder="1" applyAlignment="1">
      <alignment vertical="center" wrapText="1"/>
    </xf>
    <xf numFmtId="14" fontId="6" fillId="3" borderId="126" xfId="8" quotePrefix="1" applyNumberFormat="1" applyFont="1" applyFill="1" applyBorder="1" applyAlignment="1" applyProtection="1">
      <alignment horizontal="left" vertical="center" wrapText="1" indent="2"/>
      <protection locked="0"/>
    </xf>
    <xf numFmtId="3" fontId="20" fillId="0" borderId="126" xfId="0" applyNumberFormat="1" applyFont="1" applyBorder="1" applyAlignment="1">
      <alignment vertical="center" wrapText="1"/>
    </xf>
    <xf numFmtId="14" fontId="6" fillId="3" borderId="126" xfId="8" quotePrefix="1" applyNumberFormat="1" applyFont="1" applyFill="1" applyBorder="1" applyAlignment="1" applyProtection="1">
      <alignment horizontal="left" vertical="center" wrapText="1" indent="3"/>
      <protection locked="0"/>
    </xf>
    <xf numFmtId="0" fontId="4" fillId="0" borderId="126" xfId="0" applyFont="1" applyFill="1" applyBorder="1" applyAlignment="1">
      <alignment horizontal="left" vertical="center" wrapText="1" indent="2"/>
    </xf>
    <xf numFmtId="0" fontId="4" fillId="0" borderId="126" xfId="0" applyFont="1" applyFill="1" applyBorder="1" applyAlignment="1">
      <alignment vertical="center" wrapText="1"/>
    </xf>
    <xf numFmtId="0" fontId="4" fillId="0" borderId="9" xfId="0" applyFont="1" applyBorder="1" applyAlignment="1">
      <alignment vertical="center" wrapText="1"/>
    </xf>
    <xf numFmtId="0" fontId="5" fillId="0" borderId="10" xfId="0" applyFont="1" applyBorder="1" applyAlignment="1">
      <alignment vertical="center" wrapText="1"/>
    </xf>
    <xf numFmtId="0" fontId="19" fillId="0" borderId="136" xfId="0" applyFont="1" applyBorder="1" applyAlignment="1">
      <alignment horizontal="center" vertical="center" wrapText="1"/>
    </xf>
    <xf numFmtId="3" fontId="20" fillId="36" borderId="135" xfId="0" applyNumberFormat="1" applyFont="1" applyFill="1" applyBorder="1" applyAlignment="1">
      <alignment vertical="center" wrapText="1"/>
    </xf>
    <xf numFmtId="3" fontId="20" fillId="0" borderId="135" xfId="0" applyNumberFormat="1" applyFont="1" applyBorder="1" applyAlignment="1">
      <alignment vertical="center" wrapText="1"/>
    </xf>
    <xf numFmtId="0" fontId="19" fillId="0" borderId="136" xfId="0" applyFont="1" applyFill="1" applyBorder="1" applyAlignment="1">
      <alignment horizontal="center" vertical="center" wrapText="1"/>
    </xf>
    <xf numFmtId="0" fontId="19" fillId="0" borderId="134" xfId="0" applyFont="1" applyBorder="1" applyAlignment="1">
      <alignment horizontal="center" vertical="center" wrapText="1"/>
    </xf>
    <xf numFmtId="0" fontId="5" fillId="0" borderId="133" xfId="0" applyFont="1" applyBorder="1" applyAlignment="1">
      <alignment vertical="center" wrapText="1"/>
    </xf>
    <xf numFmtId="3" fontId="20" fillId="36" borderId="133" xfId="0" applyNumberFormat="1" applyFont="1" applyFill="1" applyBorder="1" applyAlignment="1">
      <alignment vertical="center" wrapText="1"/>
    </xf>
    <xf numFmtId="3" fontId="20" fillId="36" borderId="132" xfId="0" applyNumberFormat="1" applyFont="1" applyFill="1" applyBorder="1" applyAlignment="1">
      <alignment vertical="center" wrapText="1"/>
    </xf>
    <xf numFmtId="0" fontId="121" fillId="0" borderId="126" xfId="0" applyFont="1" applyFill="1" applyBorder="1" applyAlignment="1">
      <alignment horizontal="left" indent="2"/>
    </xf>
    <xf numFmtId="195" fontId="158" fillId="0" borderId="126" xfId="20961" applyNumberFormat="1" applyFont="1" applyBorder="1"/>
    <xf numFmtId="10" fontId="158" fillId="0" borderId="126" xfId="20961" applyNumberFormat="1" applyFont="1" applyBorder="1"/>
    <xf numFmtId="43" fontId="158" fillId="0" borderId="126" xfId="7" applyFont="1" applyBorder="1"/>
    <xf numFmtId="0" fontId="159" fillId="0" borderId="0" xfId="0" applyFont="1"/>
    <xf numFmtId="10" fontId="8" fillId="86" borderId="126" xfId="20961" applyNumberFormat="1" applyFont="1" applyFill="1" applyBorder="1" applyAlignment="1" applyProtection="1">
      <alignment vertical="center"/>
      <protection locked="0"/>
    </xf>
    <xf numFmtId="0" fontId="103" fillId="0" borderId="52" xfId="0" applyFont="1" applyBorder="1" applyAlignment="1">
      <alignment horizontal="left" vertical="center" wrapText="1"/>
    </xf>
    <xf numFmtId="0" fontId="103" fillId="0" borderId="51" xfId="0" applyFont="1" applyBorder="1" applyAlignment="1">
      <alignment horizontal="left" vertical="center" wrapText="1"/>
    </xf>
    <xf numFmtId="0" fontId="0" fillId="0" borderId="126" xfId="0" applyBorder="1" applyAlignment="1">
      <alignment horizontal="center"/>
    </xf>
    <xf numFmtId="0" fontId="0" fillId="0" borderId="135" xfId="0" applyBorder="1" applyAlignment="1">
      <alignment horizontal="center"/>
    </xf>
    <xf numFmtId="0" fontId="0" fillId="0" borderId="9" xfId="0" applyBorder="1" applyAlignment="1">
      <alignment horizontal="center" vertical="center"/>
    </xf>
    <xf numFmtId="0" fontId="0" fillId="0" borderId="136" xfId="0" applyBorder="1" applyAlignment="1">
      <alignment horizontal="center" vertical="center"/>
    </xf>
    <xf numFmtId="0" fontId="127" fillId="0" borderId="10" xfId="0" applyFont="1" applyBorder="1" applyAlignment="1">
      <alignment horizontal="center" vertical="center"/>
    </xf>
    <xf numFmtId="0" fontId="127" fillId="0" borderId="126" xfId="0" applyFont="1" applyBorder="1" applyAlignment="1">
      <alignment horizontal="center" vertical="center"/>
    </xf>
    <xf numFmtId="3" fontId="9" fillId="0" borderId="10" xfId="0" applyNumberFormat="1" applyFont="1" applyFill="1" applyBorder="1" applyAlignment="1" applyProtection="1">
      <alignment horizontal="center" vertical="center"/>
    </xf>
    <xf numFmtId="3" fontId="9" fillId="0" borderId="11" xfId="0" applyNumberFormat="1" applyFont="1" applyFill="1" applyBorder="1" applyAlignment="1" applyProtection="1">
      <alignment horizontal="center" vertical="center"/>
    </xf>
    <xf numFmtId="0" fontId="127" fillId="0" borderId="10" xfId="0" applyFont="1" applyBorder="1" applyAlignment="1">
      <alignment horizontal="center" vertical="center" wrapText="1"/>
    </xf>
    <xf numFmtId="0" fontId="127" fillId="0" borderId="126" xfId="0" applyFont="1" applyBorder="1" applyAlignment="1">
      <alignment horizontal="center" vertical="center" wrapText="1"/>
    </xf>
    <xf numFmtId="4" fontId="9" fillId="0" borderId="10" xfId="0" applyNumberFormat="1" applyFont="1" applyFill="1" applyBorder="1" applyAlignment="1" applyProtection="1">
      <alignment horizontal="center" vertical="center"/>
    </xf>
    <xf numFmtId="4" fontId="9" fillId="0" borderId="11"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126" xfId="0" applyBorder="1" applyAlignment="1">
      <alignment horizontal="center" vertical="center" wrapText="1"/>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0" fontId="12" fillId="0" borderId="3" xfId="0" applyFont="1" applyBorder="1" applyAlignment="1">
      <alignment wrapText="1"/>
    </xf>
    <xf numFmtId="0" fontId="4" fillId="0" borderId="13" xfId="0" applyFont="1" applyBorder="1" applyAlignment="1"/>
    <xf numFmtId="0" fontId="9" fillId="0" borderId="126" xfId="0" applyFont="1" applyBorder="1" applyAlignment="1">
      <alignment horizontal="left" vertical="center" wrapText="1"/>
    </xf>
    <xf numFmtId="0" fontId="9" fillId="0" borderId="135" xfId="0" applyFont="1" applyBorder="1" applyAlignment="1">
      <alignment horizontal="left"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26" xfId="0" applyFont="1" applyFill="1" applyBorder="1" applyAlignment="1">
      <alignment horizontal="center" vertical="center" wrapText="1"/>
    </xf>
    <xf numFmtId="3" fontId="20" fillId="0" borderId="126" xfId="0" applyNumberFormat="1" applyFont="1" applyFill="1" applyBorder="1" applyAlignment="1">
      <alignment horizontal="left" vertical="center" wrapText="1"/>
    </xf>
    <xf numFmtId="3" fontId="20" fillId="0" borderId="126" xfId="0" applyNumberFormat="1" applyFont="1" applyFill="1" applyBorder="1" applyAlignment="1">
      <alignment horizontal="left"/>
    </xf>
    <xf numFmtId="3" fontId="20" fillId="0" borderId="135" xfId="0" applyNumberFormat="1" applyFont="1" applyFill="1" applyBorder="1" applyAlignment="1">
      <alignment horizontal="left"/>
    </xf>
    <xf numFmtId="0" fontId="5" fillId="36" borderId="101"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98" xfId="0" applyFont="1" applyFill="1" applyBorder="1" applyAlignment="1">
      <alignment horizontal="center" vertical="center" wrapText="1"/>
    </xf>
    <xf numFmtId="0" fontId="5" fillId="36" borderId="83" xfId="0" applyFont="1" applyFill="1" applyBorder="1" applyAlignment="1">
      <alignment horizontal="center" vertical="center" wrapText="1"/>
    </xf>
    <xf numFmtId="0" fontId="100" fillId="3" borderId="53" xfId="13" applyFont="1" applyFill="1" applyBorder="1" applyAlignment="1" applyProtection="1">
      <alignment horizontal="center" vertical="center" wrapText="1"/>
      <protection locked="0"/>
    </xf>
    <xf numFmtId="0" fontId="100" fillId="3" borderId="50" xfId="13" applyFont="1" applyFill="1" applyBorder="1" applyAlignment="1" applyProtection="1">
      <alignment horizontal="center" vertical="center" wrapText="1"/>
      <protection locked="0"/>
    </xf>
    <xf numFmtId="9" fontId="4" fillId="0" borderId="5" xfId="0" applyNumberFormat="1" applyFont="1" applyBorder="1" applyAlignment="1">
      <alignment horizontal="center" vertical="center"/>
    </xf>
    <xf numFmtId="9" fontId="4" fillId="0" borderId="7"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14" fillId="3" borderId="9" xfId="1" applyNumberFormat="1" applyFont="1" applyFill="1" applyBorder="1" applyAlignment="1" applyProtection="1">
      <alignment horizontal="center"/>
      <protection locked="0"/>
    </xf>
    <xf numFmtId="164" fontId="14" fillId="3" borderId="10" xfId="1" applyNumberFormat="1" applyFont="1" applyFill="1" applyBorder="1" applyAlignment="1" applyProtection="1">
      <alignment horizontal="center"/>
      <protection locked="0"/>
    </xf>
    <xf numFmtId="164" fontId="14" fillId="3" borderId="11" xfId="1" applyNumberFormat="1" applyFont="1" applyFill="1" applyBorder="1" applyAlignment="1" applyProtection="1">
      <alignment horizontal="center"/>
      <protection locked="0"/>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164" fontId="14" fillId="0" borderId="76" xfId="1" applyNumberFormat="1" applyFont="1" applyFill="1" applyBorder="1" applyAlignment="1" applyProtection="1">
      <alignment horizontal="center" vertical="center" wrapText="1"/>
      <protection locked="0"/>
    </xf>
    <xf numFmtId="164" fontId="14"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7" xfId="0" applyFont="1" applyFill="1" applyBorder="1" applyAlignment="1">
      <alignment horizontal="center" wrapText="1"/>
    </xf>
    <xf numFmtId="0" fontId="4" fillId="0" borderId="4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13" fillId="0" borderId="45" xfId="0" applyFont="1" applyFill="1" applyBorder="1" applyAlignment="1">
      <alignment horizontal="left" vertical="center"/>
    </xf>
    <xf numFmtId="0" fontId="13" fillId="0" borderId="46" xfId="0" applyFont="1" applyFill="1" applyBorder="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97" xfId="0" applyFont="1" applyBorder="1" applyAlignment="1">
      <alignment horizontal="center" vertical="center" wrapText="1"/>
    </xf>
    <xf numFmtId="0" fontId="118" fillId="0" borderId="104" xfId="0" applyNumberFormat="1" applyFont="1" applyFill="1" applyBorder="1" applyAlignment="1">
      <alignment horizontal="left" vertical="center" wrapText="1"/>
    </xf>
    <xf numFmtId="0" fontId="118" fillId="0" borderId="105" xfId="0" applyNumberFormat="1" applyFont="1" applyFill="1" applyBorder="1" applyAlignment="1">
      <alignment horizontal="left"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4" fontId="119" fillId="0" borderId="125" xfId="0" applyNumberFormat="1" applyFont="1" applyFill="1" applyBorder="1" applyAlignment="1">
      <alignment horizontal="center" vertical="center" wrapText="1"/>
    </xf>
    <xf numFmtId="4" fontId="119" fillId="0" borderId="124" xfId="0" applyNumberFormat="1" applyFont="1" applyFill="1" applyBorder="1" applyAlignment="1">
      <alignment horizontal="center" vertical="center" wrapText="1"/>
    </xf>
    <xf numFmtId="4" fontId="119" fillId="0" borderId="106" xfId="0" applyNumberFormat="1" applyFont="1" applyFill="1" applyBorder="1" applyAlignment="1">
      <alignment horizontal="center" vertical="center" wrapText="1"/>
    </xf>
    <xf numFmtId="4" fontId="119" fillId="0" borderId="44" xfId="0" applyNumberFormat="1" applyFont="1" applyFill="1" applyBorder="1" applyAlignment="1">
      <alignment horizontal="center" vertical="center" wrapText="1"/>
    </xf>
    <xf numFmtId="4" fontId="119" fillId="0" borderId="109" xfId="0" applyNumberFormat="1" applyFont="1" applyFill="1" applyBorder="1" applyAlignment="1">
      <alignment horizontal="center" vertical="center" wrapText="1"/>
    </xf>
    <xf numFmtId="4" fontId="119" fillId="0" borderId="8" xfId="0" applyNumberFormat="1" applyFont="1" applyFill="1" applyBorder="1" applyAlignment="1">
      <alignment horizontal="center" vertical="center" wrapText="1"/>
    </xf>
    <xf numFmtId="0" fontId="115" fillId="0" borderId="127"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126" xfId="0" applyFont="1" applyBorder="1" applyAlignment="1">
      <alignment horizontal="center" vertical="center" wrapText="1"/>
    </xf>
    <xf numFmtId="0" fontId="115" fillId="0" borderId="129" xfId="0" applyFont="1" applyBorder="1" applyAlignment="1">
      <alignment horizontal="center" vertical="center" wrapText="1"/>
    </xf>
    <xf numFmtId="0" fontId="115" fillId="0" borderId="128" xfId="0" applyFont="1" applyBorder="1" applyAlignment="1">
      <alignment horizontal="center" vertical="center" wrapText="1"/>
    </xf>
    <xf numFmtId="0" fontId="123" fillId="0" borderId="126" xfId="0" applyFont="1" applyFill="1" applyBorder="1" applyAlignment="1">
      <alignment horizontal="center" vertical="center"/>
    </xf>
    <xf numFmtId="0" fontId="117" fillId="0" borderId="125" xfId="0" applyFont="1" applyFill="1" applyBorder="1" applyAlignment="1">
      <alignment horizontal="center" vertical="center"/>
    </xf>
    <xf numFmtId="0" fontId="117" fillId="0" borderId="130" xfId="0" applyFont="1" applyFill="1" applyBorder="1" applyAlignment="1">
      <alignment horizontal="center" vertical="center"/>
    </xf>
    <xf numFmtId="0" fontId="117" fillId="0" borderId="44" xfId="0" applyFont="1" applyFill="1" applyBorder="1" applyAlignment="1">
      <alignment horizontal="center" vertical="center"/>
    </xf>
    <xf numFmtId="0" fontId="117" fillId="0" borderId="8" xfId="0" applyFont="1" applyFill="1" applyBorder="1" applyAlignment="1">
      <alignment horizontal="center" vertical="center"/>
    </xf>
    <xf numFmtId="0" fontId="118" fillId="0" borderId="126" xfId="0" applyFont="1" applyFill="1" applyBorder="1" applyAlignment="1">
      <alignment horizontal="center" vertical="center" wrapText="1"/>
    </xf>
    <xf numFmtId="0" fontId="118" fillId="0" borderId="125"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12" xfId="0" applyFont="1" applyFill="1" applyBorder="1" applyAlignment="1">
      <alignment horizontal="center" vertical="center" wrapText="1"/>
    </xf>
    <xf numFmtId="0" fontId="118" fillId="0" borderId="113" xfId="0" applyFont="1" applyFill="1" applyBorder="1" applyAlignment="1">
      <alignment horizontal="center" vertical="center" wrapText="1"/>
    </xf>
    <xf numFmtId="0" fontId="118" fillId="0" borderId="44"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31" xfId="0" applyFont="1" applyFill="1" applyBorder="1" applyAlignment="1">
      <alignment horizontal="center" vertical="center" wrapText="1"/>
    </xf>
    <xf numFmtId="3" fontId="118" fillId="0" borderId="114" xfId="0" applyNumberFormat="1" applyFont="1" applyFill="1" applyBorder="1" applyAlignment="1">
      <alignment horizontal="center" vertical="center" wrapText="1"/>
    </xf>
    <xf numFmtId="3" fontId="118" fillId="0" borderId="4" xfId="0" applyNumberFormat="1" applyFont="1" applyFill="1" applyBorder="1" applyAlignment="1">
      <alignment horizontal="center" vertical="center" wrapText="1"/>
    </xf>
    <xf numFmtId="0" fontId="115" fillId="0" borderId="114" xfId="0" applyFont="1" applyFill="1" applyBorder="1" applyAlignment="1">
      <alignment horizontal="center" vertical="center" wrapText="1"/>
    </xf>
    <xf numFmtId="0" fontId="115" fillId="0" borderId="125" xfId="0" applyFont="1" applyFill="1" applyBorder="1" applyAlignment="1">
      <alignment horizontal="center" vertical="center" wrapText="1"/>
    </xf>
    <xf numFmtId="0" fontId="115" fillId="0" borderId="124"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8" xfId="0" applyFont="1" applyBorder="1" applyAlignment="1">
      <alignment horizontal="center" vertical="center" wrapText="1"/>
    </xf>
    <xf numFmtId="0" fontId="115" fillId="0" borderId="135" xfId="0" applyFont="1" applyBorder="1" applyAlignment="1">
      <alignment horizontal="center" vertical="center" wrapText="1"/>
    </xf>
    <xf numFmtId="0" fontId="115" fillId="0" borderId="45" xfId="0" applyFont="1" applyFill="1" applyBorder="1" applyAlignment="1">
      <alignment horizontal="center" vertical="center" wrapText="1"/>
    </xf>
    <xf numFmtId="0" fontId="115" fillId="0" borderId="46" xfId="0" applyFont="1" applyFill="1" applyBorder="1" applyAlignment="1">
      <alignment horizontal="center" vertical="center" wrapText="1"/>
    </xf>
    <xf numFmtId="0" fontId="115" fillId="0" borderId="91" xfId="0" applyFont="1" applyFill="1" applyBorder="1" applyAlignment="1">
      <alignment horizontal="center" vertical="center" wrapText="1"/>
    </xf>
    <xf numFmtId="0" fontId="118" fillId="0" borderId="45" xfId="0" applyNumberFormat="1" applyFont="1" applyFill="1" applyBorder="1" applyAlignment="1">
      <alignment horizontal="left" vertical="top" wrapText="1"/>
    </xf>
    <xf numFmtId="0" fontId="118" fillId="0" borderId="91" xfId="0" applyNumberFormat="1" applyFont="1" applyFill="1" applyBorder="1" applyAlignment="1">
      <alignment horizontal="left" vertical="top" wrapText="1"/>
    </xf>
    <xf numFmtId="0" fontId="118" fillId="0" borderId="49" xfId="0" applyNumberFormat="1" applyFont="1" applyFill="1" applyBorder="1" applyAlignment="1">
      <alignment horizontal="left" vertical="top" wrapText="1"/>
    </xf>
    <xf numFmtId="0" fontId="118" fillId="0" borderId="78" xfId="0" applyNumberFormat="1" applyFont="1" applyFill="1" applyBorder="1" applyAlignment="1">
      <alignment horizontal="left" vertical="top" wrapText="1"/>
    </xf>
    <xf numFmtId="0" fontId="118" fillId="0" borderId="103"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5" fillId="0" borderId="12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115" fillId="0" borderId="125" xfId="0" applyFont="1" applyBorder="1" applyAlignment="1">
      <alignment horizontal="center" vertical="top" wrapText="1"/>
    </xf>
    <xf numFmtId="0" fontId="115" fillId="0" borderId="124" xfId="0" applyFont="1" applyBorder="1" applyAlignment="1">
      <alignment horizontal="center" vertical="top" wrapText="1"/>
    </xf>
    <xf numFmtId="0" fontId="115" fillId="0" borderId="125" xfId="0" applyFont="1" applyFill="1" applyBorder="1" applyAlignment="1">
      <alignment horizontal="center" vertical="top" wrapText="1"/>
    </xf>
    <xf numFmtId="0" fontId="115" fillId="0" borderId="131" xfId="0" applyFont="1" applyFill="1" applyBorder="1" applyAlignment="1">
      <alignment horizontal="center" vertical="top" wrapText="1"/>
    </xf>
    <xf numFmtId="0" fontId="115" fillId="0" borderId="128" xfId="0" applyFont="1" applyFill="1" applyBorder="1" applyAlignment="1">
      <alignment horizontal="center" vertical="top" wrapText="1"/>
    </xf>
    <xf numFmtId="0" fontId="104" fillId="0" borderId="115" xfId="0" applyNumberFormat="1" applyFont="1" applyFill="1" applyBorder="1" applyAlignment="1">
      <alignment horizontal="left" vertical="top" wrapText="1"/>
    </xf>
    <xf numFmtId="0" fontId="104" fillId="0" borderId="116" xfId="0" applyNumberFormat="1" applyFont="1" applyFill="1" applyBorder="1" applyAlignment="1">
      <alignment horizontal="left" vertical="top" wrapText="1"/>
    </xf>
    <xf numFmtId="0" fontId="121" fillId="0" borderId="126" xfId="0" applyFont="1" applyBorder="1" applyAlignment="1">
      <alignment horizontal="center" vertical="center"/>
    </xf>
    <xf numFmtId="0" fontId="120" fillId="0" borderId="126" xfId="0" applyFont="1" applyBorder="1" applyAlignment="1">
      <alignment horizontal="center" vertical="center" wrapText="1"/>
    </xf>
    <xf numFmtId="0" fontId="120" fillId="0" borderId="127" xfId="0" applyFont="1" applyBorder="1" applyAlignment="1">
      <alignment horizontal="center" vertical="center" wrapText="1"/>
    </xf>
    <xf numFmtId="0" fontId="104" fillId="0" borderId="56" xfId="0" applyFont="1" applyFill="1" applyBorder="1" applyAlignment="1">
      <alignment horizontal="center" vertical="center"/>
    </xf>
    <xf numFmtId="0" fontId="104" fillId="0" borderId="57" xfId="0" applyFont="1" applyFill="1" applyBorder="1" applyAlignment="1">
      <alignment horizontal="center" vertical="center"/>
    </xf>
    <xf numFmtId="0" fontId="104" fillId="0" borderId="58" xfId="0" applyFont="1" applyFill="1" applyBorder="1" applyAlignment="1">
      <alignment horizontal="center" vertical="center"/>
    </xf>
    <xf numFmtId="0" fontId="105" fillId="0" borderId="84" xfId="0" applyFont="1" applyFill="1" applyBorder="1" applyAlignment="1">
      <alignment horizontal="left" vertical="center" wrapText="1"/>
    </xf>
    <xf numFmtId="0" fontId="104" fillId="76" borderId="59" xfId="0" applyFont="1" applyFill="1" applyBorder="1" applyAlignment="1">
      <alignment horizontal="center" vertical="center" wrapText="1"/>
    </xf>
    <xf numFmtId="0" fontId="104" fillId="76" borderId="60" xfId="0" applyFont="1" applyFill="1" applyBorder="1" applyAlignment="1">
      <alignment horizontal="center" vertical="center" wrapText="1"/>
    </xf>
    <xf numFmtId="0" fontId="104" fillId="76" borderId="61" xfId="0" applyFont="1" applyFill="1" applyBorder="1" applyAlignment="1">
      <alignment horizontal="center" vertical="center" wrapText="1"/>
    </xf>
    <xf numFmtId="0" fontId="105" fillId="0" borderId="44" xfId="0" applyFont="1" applyFill="1" applyBorder="1" applyAlignment="1">
      <alignment horizontal="left" vertical="center" wrapText="1"/>
    </xf>
    <xf numFmtId="0" fontId="105" fillId="0" borderId="8"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5" fillId="0" borderId="83" xfId="0" applyFont="1" applyFill="1" applyBorder="1" applyAlignment="1">
      <alignment horizontal="left" vertical="center" wrapText="1"/>
    </xf>
    <xf numFmtId="0" fontId="105" fillId="3" borderId="85" xfId="0" applyFont="1" applyFill="1" applyBorder="1" applyAlignment="1">
      <alignment vertical="center" wrapText="1"/>
    </xf>
    <xf numFmtId="0" fontId="105" fillId="3" borderId="83" xfId="0" applyFont="1" applyFill="1" applyBorder="1" applyAlignment="1">
      <alignment vertical="center" wrapText="1"/>
    </xf>
    <xf numFmtId="0" fontId="125" fillId="3" borderId="85" xfId="0" applyFont="1" applyFill="1" applyBorder="1" applyAlignment="1">
      <alignment vertical="center" wrapText="1"/>
    </xf>
    <xf numFmtId="0" fontId="125" fillId="3" borderId="83" xfId="0" applyFont="1" applyFill="1" applyBorder="1" applyAlignment="1">
      <alignment vertical="center" wrapText="1"/>
    </xf>
    <xf numFmtId="0" fontId="105" fillId="0" borderId="85" xfId="0" applyFont="1" applyFill="1" applyBorder="1" applyAlignment="1">
      <alignment horizontal="left"/>
    </xf>
    <xf numFmtId="0" fontId="105" fillId="0" borderId="83" xfId="0" applyFont="1" applyFill="1" applyBorder="1" applyAlignment="1">
      <alignment horizontal="left"/>
    </xf>
    <xf numFmtId="0" fontId="105" fillId="82" borderId="85" xfId="0" applyFont="1" applyFill="1" applyBorder="1" applyAlignment="1">
      <alignment vertical="center" wrapText="1"/>
    </xf>
    <xf numFmtId="0" fontId="105" fillId="82" borderId="83" xfId="0" applyFont="1" applyFill="1" applyBorder="1" applyAlignment="1">
      <alignment vertical="center" wrapText="1"/>
    </xf>
    <xf numFmtId="0" fontId="105" fillId="82" borderId="121" xfId="0" applyFont="1" applyFill="1" applyBorder="1" applyAlignment="1">
      <alignment horizontal="left" vertical="center" wrapText="1"/>
    </xf>
    <xf numFmtId="0" fontId="105" fillId="82" borderId="122" xfId="0" applyFont="1" applyFill="1" applyBorder="1" applyAlignment="1">
      <alignment horizontal="left" vertical="center" wrapText="1"/>
    </xf>
    <xf numFmtId="0" fontId="105" fillId="82" borderId="123" xfId="0" applyFont="1" applyFill="1" applyBorder="1" applyAlignment="1">
      <alignment horizontal="left" vertical="center" wrapText="1"/>
    </xf>
    <xf numFmtId="0" fontId="105" fillId="3" borderId="63" xfId="0" applyFont="1" applyFill="1" applyBorder="1" applyAlignment="1">
      <alignment horizontal="left" vertical="center" wrapText="1"/>
    </xf>
    <xf numFmtId="0" fontId="105" fillId="3" borderId="64" xfId="0" applyFont="1" applyFill="1" applyBorder="1" applyAlignment="1">
      <alignment horizontal="left" vertical="center" wrapText="1"/>
    </xf>
    <xf numFmtId="0" fontId="105" fillId="82" borderId="66" xfId="0" applyFont="1" applyFill="1" applyBorder="1" applyAlignment="1">
      <alignment horizontal="left" vertical="center" wrapText="1"/>
    </xf>
    <xf numFmtId="0" fontId="105" fillId="82" borderId="67" xfId="0" applyFont="1" applyFill="1" applyBorder="1" applyAlignment="1">
      <alignment horizontal="left" vertical="center" wrapText="1"/>
    </xf>
    <xf numFmtId="0" fontId="105" fillId="82" borderId="44" xfId="0" applyFont="1" applyFill="1" applyBorder="1" applyAlignment="1">
      <alignment vertical="center" wrapText="1"/>
    </xf>
    <xf numFmtId="0" fontId="105" fillId="82" borderId="8" xfId="0" applyFont="1" applyFill="1" applyBorder="1" applyAlignment="1">
      <alignment vertical="center" wrapText="1"/>
    </xf>
    <xf numFmtId="0" fontId="105" fillId="0" borderId="63" xfId="0" applyFont="1" applyFill="1" applyBorder="1" applyAlignment="1">
      <alignment horizontal="left" vertical="center" wrapText="1"/>
    </xf>
    <xf numFmtId="0" fontId="105" fillId="0" borderId="6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3" borderId="83" xfId="0" applyFont="1" applyFill="1" applyBorder="1" applyAlignment="1">
      <alignment horizontal="left" vertical="center" wrapText="1"/>
    </xf>
    <xf numFmtId="0" fontId="104" fillId="76" borderId="68"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5" fillId="77" borderId="85" xfId="0" applyFont="1" applyFill="1" applyBorder="1" applyAlignment="1">
      <alignment vertical="center" wrapText="1"/>
    </xf>
    <xf numFmtId="0" fontId="105" fillId="77" borderId="83" xfId="0" applyFont="1" applyFill="1" applyBorder="1" applyAlignment="1">
      <alignment vertical="center" wrapText="1"/>
    </xf>
    <xf numFmtId="0" fontId="105" fillId="0" borderId="85" xfId="0" applyFont="1" applyFill="1" applyBorder="1" applyAlignment="1">
      <alignment vertical="center" wrapText="1"/>
    </xf>
    <xf numFmtId="0" fontId="105" fillId="0" borderId="83" xfId="0" applyFont="1" applyFill="1" applyBorder="1" applyAlignment="1">
      <alignment vertical="center" wrapText="1"/>
    </xf>
    <xf numFmtId="0" fontId="104" fillId="76" borderId="73" xfId="0" applyFont="1" applyFill="1" applyBorder="1" applyAlignment="1">
      <alignment horizontal="center" vertical="center"/>
    </xf>
    <xf numFmtId="0" fontId="104" fillId="76" borderId="74" xfId="0" applyFont="1" applyFill="1" applyBorder="1" applyAlignment="1">
      <alignment horizontal="center" vertical="center"/>
    </xf>
    <xf numFmtId="0" fontId="104" fillId="76" borderId="75" xfId="0" applyFont="1" applyFill="1" applyBorder="1" applyAlignment="1">
      <alignment horizontal="center" vertical="center"/>
    </xf>
    <xf numFmtId="0" fontId="104" fillId="76" borderId="126" xfId="0" applyFont="1" applyFill="1" applyBorder="1" applyAlignment="1">
      <alignment horizontal="center" vertical="center" wrapText="1"/>
    </xf>
    <xf numFmtId="0" fontId="104" fillId="0" borderId="126" xfId="0" applyFont="1" applyFill="1" applyBorder="1" applyAlignment="1">
      <alignment horizontal="center" vertical="center"/>
    </xf>
    <xf numFmtId="0" fontId="105" fillId="0" borderId="129" xfId="13" applyFont="1" applyFill="1" applyBorder="1" applyAlignment="1" applyProtection="1">
      <alignment horizontal="left" vertical="top" wrapText="1"/>
      <protection locked="0"/>
    </xf>
    <xf numFmtId="0" fontId="105" fillId="0" borderId="128" xfId="13" applyFont="1" applyFill="1" applyBorder="1" applyAlignment="1" applyProtection="1">
      <alignment horizontal="left" vertical="top" wrapText="1"/>
      <protection locked="0"/>
    </xf>
    <xf numFmtId="0" fontId="105" fillId="3" borderId="129" xfId="13" applyFont="1" applyFill="1" applyBorder="1" applyAlignment="1" applyProtection="1">
      <alignment horizontal="left" vertical="top" wrapText="1"/>
      <protection locked="0"/>
    </xf>
    <xf numFmtId="0" fontId="105" fillId="3" borderId="128" xfId="13" applyFont="1" applyFill="1" applyBorder="1" applyAlignment="1" applyProtection="1">
      <alignment horizontal="left" vertical="top" wrapText="1"/>
      <protection locked="0"/>
    </xf>
    <xf numFmtId="0" fontId="104" fillId="0" borderId="71"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29" xfId="0" applyFont="1" applyFill="1" applyBorder="1" applyAlignment="1">
      <alignment horizontal="center" vertical="center" wrapText="1"/>
    </xf>
    <xf numFmtId="0" fontId="104" fillId="76" borderId="128" xfId="0" applyFont="1" applyFill="1" applyBorder="1" applyAlignment="1">
      <alignment horizontal="center" vertical="center" wrapText="1"/>
    </xf>
    <xf numFmtId="0" fontId="105" fillId="0" borderId="129" xfId="0" applyNumberFormat="1" applyFont="1" applyFill="1" applyBorder="1" applyAlignment="1">
      <alignment horizontal="left" vertical="center" wrapText="1"/>
    </xf>
    <xf numFmtId="0" fontId="105" fillId="0" borderId="128" xfId="0" applyNumberFormat="1" applyFont="1" applyFill="1" applyBorder="1" applyAlignment="1">
      <alignment horizontal="left" vertical="center" wrapText="1"/>
    </xf>
    <xf numFmtId="0" fontId="105" fillId="0" borderId="126" xfId="0" applyFont="1" applyFill="1" applyBorder="1" applyAlignment="1">
      <alignment horizontal="left" vertical="top" wrapText="1"/>
    </xf>
    <xf numFmtId="0" fontId="105" fillId="0" borderId="129" xfId="0" applyFont="1" applyFill="1" applyBorder="1" applyAlignment="1">
      <alignment horizontal="left" vertical="top" wrapText="1"/>
    </xf>
    <xf numFmtId="0" fontId="105" fillId="0" borderId="126" xfId="0" applyFont="1" applyFill="1" applyBorder="1" applyAlignment="1">
      <alignment horizontal="left" vertical="center" wrapText="1"/>
    </xf>
    <xf numFmtId="0" fontId="105" fillId="0" borderId="126" xfId="0" applyNumberFormat="1" applyFont="1" applyFill="1" applyBorder="1" applyAlignment="1">
      <alignment horizontal="left" vertical="top" wrapText="1"/>
    </xf>
    <xf numFmtId="0" fontId="105" fillId="0" borderId="126" xfId="0" applyFont="1" applyBorder="1" applyAlignment="1">
      <alignment horizontal="center"/>
    </xf>
    <xf numFmtId="0" fontId="105" fillId="0" borderId="129" xfId="0" applyFont="1" applyFill="1" applyBorder="1" applyAlignment="1">
      <alignment horizontal="left" vertical="center" wrapText="1"/>
    </xf>
    <xf numFmtId="0" fontId="105" fillId="0" borderId="128" xfId="0" applyFont="1" applyFill="1" applyBorder="1" applyAlignment="1">
      <alignment horizontal="left" vertical="center" wrapText="1"/>
    </xf>
    <xf numFmtId="0" fontId="105" fillId="0" borderId="129" xfId="0" applyNumberFormat="1" applyFont="1" applyFill="1" applyBorder="1" applyAlignment="1">
      <alignment horizontal="left" vertical="top" wrapText="1"/>
    </xf>
    <xf numFmtId="0" fontId="105" fillId="0" borderId="128" xfId="0" applyNumberFormat="1" applyFont="1" applyFill="1" applyBorder="1" applyAlignment="1">
      <alignment horizontal="left" vertical="top" wrapText="1"/>
    </xf>
  </cellXfs>
  <cellStyles count="2141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09" xfId="21415"/>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b_Report/03.%20NBG/09.%20IFRS%20NBG/2023-06/FSF_I-BBG-MM-2023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Header"/>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Risk Weighted Risk Exposures"/>
      <sheetName val="CICR Buffer"/>
      <sheetName val="HHI Buffer"/>
      <sheetName val="CRA Buffer"/>
      <sheetName val="CRM"/>
      <sheetName val="LR"/>
      <sheetName val="op risk"/>
      <sheetName val="CR-RWA"/>
      <sheetName val="A-LD  "/>
    </sheetNames>
    <sheetDataSet>
      <sheetData sheetId="0"/>
      <sheetData sheetId="1"/>
      <sheetData sheetId="2"/>
      <sheetData sheetId="3">
        <row r="22">
          <cell r="S22">
            <v>17561320320.435703</v>
          </cell>
        </row>
        <row r="23">
          <cell r="S23">
            <v>17853735910.848049</v>
          </cell>
        </row>
        <row r="25">
          <cell r="S25">
            <v>-292415590.41235</v>
          </cell>
        </row>
        <row r="26">
          <cell r="S26">
            <v>15880791.632099997</v>
          </cell>
        </row>
        <row r="27">
          <cell r="S27">
            <v>19677333.412099998</v>
          </cell>
        </row>
        <row r="28">
          <cell r="S28">
            <v>-3796541.78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48">
          <cell r="P48">
            <v>16849604003.397335</v>
          </cell>
        </row>
        <row r="78">
          <cell r="O78">
            <v>1080671326.2890251</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RowHeight="15"/>
  <cols>
    <col min="1" max="1" width="10.28515625" style="2" customWidth="1"/>
    <col min="2" max="2" width="153" bestFit="1" customWidth="1"/>
    <col min="3" max="3" width="39.42578125" customWidth="1"/>
    <col min="7" max="7" width="25" customWidth="1"/>
  </cols>
  <sheetData>
    <row r="1" spans="1:3" ht="15.75">
      <c r="A1" s="7"/>
      <c r="B1" s="102" t="s">
        <v>157</v>
      </c>
      <c r="C1" s="40"/>
    </row>
    <row r="2" spans="1:3" s="99" customFormat="1" ht="15.75">
      <c r="A2" s="132">
        <v>1</v>
      </c>
      <c r="B2" s="100" t="s">
        <v>158</v>
      </c>
      <c r="C2" s="607" t="s">
        <v>982</v>
      </c>
    </row>
    <row r="3" spans="1:3" s="99" customFormat="1" ht="15.75">
      <c r="A3" s="132">
        <v>2</v>
      </c>
      <c r="B3" s="101" t="s">
        <v>159</v>
      </c>
      <c r="C3" s="585" t="s">
        <v>953</v>
      </c>
    </row>
    <row r="4" spans="1:3" s="99" customFormat="1" ht="15.75">
      <c r="A4" s="132">
        <v>3</v>
      </c>
      <c r="B4" s="101" t="s">
        <v>160</v>
      </c>
      <c r="C4" s="607" t="s">
        <v>983</v>
      </c>
    </row>
    <row r="5" spans="1:3" s="99" customFormat="1" ht="15.75">
      <c r="A5" s="133">
        <v>4</v>
      </c>
      <c r="B5" s="104" t="s">
        <v>161</v>
      </c>
      <c r="C5" s="607" t="s">
        <v>984</v>
      </c>
    </row>
    <row r="6" spans="1:3" s="103" customFormat="1" ht="65.25" customHeight="1">
      <c r="A6" s="787" t="s">
        <v>318</v>
      </c>
      <c r="B6" s="788"/>
      <c r="C6" s="788"/>
    </row>
    <row r="7" spans="1:3">
      <c r="A7" s="221" t="s">
        <v>248</v>
      </c>
      <c r="B7" s="222" t="s">
        <v>162</v>
      </c>
    </row>
    <row r="8" spans="1:3">
      <c r="A8" s="223">
        <v>1</v>
      </c>
      <c r="B8" s="219" t="s">
        <v>137</v>
      </c>
    </row>
    <row r="9" spans="1:3">
      <c r="A9" s="223">
        <v>2</v>
      </c>
      <c r="B9" s="219" t="s">
        <v>163</v>
      </c>
    </row>
    <row r="10" spans="1:3">
      <c r="A10" s="223">
        <v>3</v>
      </c>
      <c r="B10" s="219" t="s">
        <v>164</v>
      </c>
    </row>
    <row r="11" spans="1:3">
      <c r="A11" s="223">
        <v>4</v>
      </c>
      <c r="B11" s="219" t="s">
        <v>165</v>
      </c>
      <c r="C11" s="98"/>
    </row>
    <row r="12" spans="1:3">
      <c r="A12" s="223">
        <v>5</v>
      </c>
      <c r="B12" s="219" t="s">
        <v>105</v>
      </c>
    </row>
    <row r="13" spans="1:3">
      <c r="A13" s="223">
        <v>6</v>
      </c>
      <c r="B13" s="224" t="s">
        <v>89</v>
      </c>
    </row>
    <row r="14" spans="1:3">
      <c r="A14" s="223">
        <v>7</v>
      </c>
      <c r="B14" s="219" t="s">
        <v>166</v>
      </c>
    </row>
    <row r="15" spans="1:3">
      <c r="A15" s="223">
        <v>8</v>
      </c>
      <c r="B15" s="219" t="s">
        <v>169</v>
      </c>
    </row>
    <row r="16" spans="1:3">
      <c r="A16" s="223">
        <v>9</v>
      </c>
      <c r="B16" s="219" t="s">
        <v>83</v>
      </c>
    </row>
    <row r="17" spans="1:2">
      <c r="A17" s="225" t="s">
        <v>375</v>
      </c>
      <c r="B17" s="219" t="s">
        <v>355</v>
      </c>
    </row>
    <row r="18" spans="1:2">
      <c r="A18" s="223">
        <v>10</v>
      </c>
      <c r="B18" s="219" t="s">
        <v>170</v>
      </c>
    </row>
    <row r="19" spans="1:2">
      <c r="A19" s="223">
        <v>11</v>
      </c>
      <c r="B19" s="224" t="s">
        <v>153</v>
      </c>
    </row>
    <row r="20" spans="1:2">
      <c r="A20" s="223">
        <v>12</v>
      </c>
      <c r="B20" s="224" t="s">
        <v>150</v>
      </c>
    </row>
    <row r="21" spans="1:2">
      <c r="A21" s="223">
        <v>13</v>
      </c>
      <c r="B21" s="226" t="s">
        <v>294</v>
      </c>
    </row>
    <row r="22" spans="1:2">
      <c r="A22" s="223">
        <v>14</v>
      </c>
      <c r="B22" s="219" t="s">
        <v>348</v>
      </c>
    </row>
    <row r="23" spans="1:2">
      <c r="A23" s="227">
        <v>15</v>
      </c>
      <c r="B23" s="219" t="s">
        <v>72</v>
      </c>
    </row>
    <row r="24" spans="1:2">
      <c r="A24" s="227">
        <v>15.1</v>
      </c>
      <c r="B24" s="219" t="s">
        <v>384</v>
      </c>
    </row>
    <row r="25" spans="1:2">
      <c r="A25" s="227">
        <v>16</v>
      </c>
      <c r="B25" s="219" t="s">
        <v>449</v>
      </c>
    </row>
    <row r="26" spans="1:2">
      <c r="A26" s="227">
        <v>17</v>
      </c>
      <c r="B26" s="219" t="s">
        <v>672</v>
      </c>
    </row>
    <row r="27" spans="1:2">
      <c r="A27" s="227">
        <v>18</v>
      </c>
      <c r="B27" s="219" t="s">
        <v>930</v>
      </c>
    </row>
    <row r="28" spans="1:2">
      <c r="A28" s="227">
        <v>19</v>
      </c>
      <c r="B28" s="219" t="s">
        <v>931</v>
      </c>
    </row>
    <row r="29" spans="1:2">
      <c r="A29" s="227">
        <v>20</v>
      </c>
      <c r="B29" s="219" t="s">
        <v>932</v>
      </c>
    </row>
    <row r="30" spans="1:2">
      <c r="A30" s="227">
        <v>21</v>
      </c>
      <c r="B30" s="219" t="s">
        <v>541</v>
      </c>
    </row>
    <row r="31" spans="1:2">
      <c r="A31" s="227">
        <v>22</v>
      </c>
      <c r="B31" s="219" t="s">
        <v>998</v>
      </c>
    </row>
    <row r="32" spans="1:2" ht="25.5">
      <c r="A32" s="227">
        <v>23</v>
      </c>
      <c r="B32" s="487" t="s">
        <v>929</v>
      </c>
    </row>
    <row r="33" spans="1:2">
      <c r="A33" s="227">
        <v>24</v>
      </c>
      <c r="B33" s="219" t="s">
        <v>933</v>
      </c>
    </row>
    <row r="34" spans="1:2">
      <c r="A34" s="227">
        <v>25</v>
      </c>
      <c r="B34" s="219" t="s">
        <v>934</v>
      </c>
    </row>
    <row r="35" spans="1:2">
      <c r="A35" s="223">
        <v>26</v>
      </c>
      <c r="B35" s="219" t="s">
        <v>718</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2.28515625" bestFit="1" customWidth="1"/>
    <col min="6" max="6" width="12" bestFit="1" customWidth="1"/>
    <col min="7" max="7" width="11.28515625" bestFit="1" customWidth="1"/>
  </cols>
  <sheetData>
    <row r="1" spans="1:7" ht="15.75">
      <c r="A1" s="15" t="s">
        <v>106</v>
      </c>
      <c r="B1" s="14" t="str">
        <f>Info!C2</f>
        <v>სს ”საქართველოს ბანკი”</v>
      </c>
      <c r="D1" s="2"/>
      <c r="E1" s="2"/>
      <c r="F1" s="2"/>
    </row>
    <row r="2" spans="1:7" s="19" customFormat="1">
      <c r="A2" s="19" t="s">
        <v>107</v>
      </c>
      <c r="B2" s="647">
        <f>'1. key ratios'!B2</f>
        <v>45107</v>
      </c>
    </row>
    <row r="3" spans="1:7" s="19" customFormat="1"/>
    <row r="4" spans="1:7" ht="15.75" thickBot="1">
      <c r="A4" s="5" t="s">
        <v>254</v>
      </c>
      <c r="B4" s="28" t="s">
        <v>83</v>
      </c>
    </row>
    <row r="5" spans="1:7">
      <c r="A5" s="72" t="s">
        <v>24</v>
      </c>
      <c r="B5" s="689"/>
      <c r="C5" s="73" t="s">
        <v>25</v>
      </c>
    </row>
    <row r="6" spans="1:7">
      <c r="A6" s="690">
        <v>1</v>
      </c>
      <c r="B6" s="677" t="s">
        <v>26</v>
      </c>
      <c r="C6" s="691">
        <f>SUM(C7:C11)</f>
        <v>3978723976.9993882</v>
      </c>
      <c r="D6" s="496"/>
      <c r="G6" s="496"/>
    </row>
    <row r="7" spans="1:7">
      <c r="A7" s="690">
        <v>2</v>
      </c>
      <c r="B7" s="678" t="s">
        <v>27</v>
      </c>
      <c r="C7" s="494">
        <v>27993660.18</v>
      </c>
      <c r="G7" s="496"/>
    </row>
    <row r="8" spans="1:7">
      <c r="A8" s="690">
        <v>3</v>
      </c>
      <c r="B8" s="678" t="s">
        <v>28</v>
      </c>
      <c r="C8" s="494">
        <v>159400696.25627705</v>
      </c>
      <c r="G8" s="496"/>
    </row>
    <row r="9" spans="1:7">
      <c r="A9" s="690">
        <v>4</v>
      </c>
      <c r="B9" s="678" t="s">
        <v>29</v>
      </c>
      <c r="C9" s="494">
        <v>36382468.386899993</v>
      </c>
      <c r="G9" s="496"/>
    </row>
    <row r="10" spans="1:7">
      <c r="A10" s="690">
        <v>5</v>
      </c>
      <c r="B10" s="678" t="s">
        <v>30</v>
      </c>
      <c r="C10" s="494">
        <v>0</v>
      </c>
      <c r="G10" s="496"/>
    </row>
    <row r="11" spans="1:7">
      <c r="A11" s="690">
        <v>6</v>
      </c>
      <c r="B11" s="678" t="s">
        <v>31</v>
      </c>
      <c r="C11" s="494">
        <v>3754947152.1762114</v>
      </c>
      <c r="G11" s="496"/>
    </row>
    <row r="12" spans="1:7" s="4" customFormat="1">
      <c r="A12" s="690">
        <v>7</v>
      </c>
      <c r="B12" s="677" t="s">
        <v>32</v>
      </c>
      <c r="C12" s="692">
        <f>SUM(C13:C28)</f>
        <v>221054433.10059997</v>
      </c>
      <c r="D12" s="496"/>
      <c r="G12" s="496"/>
    </row>
    <row r="13" spans="1:7" s="4" customFormat="1">
      <c r="A13" s="690">
        <v>8</v>
      </c>
      <c r="B13" s="679" t="s">
        <v>33</v>
      </c>
      <c r="C13" s="494">
        <v>36382468.386899993</v>
      </c>
      <c r="G13" s="496"/>
    </row>
    <row r="14" spans="1:7" s="4" customFormat="1" ht="25.5">
      <c r="A14" s="690">
        <v>9</v>
      </c>
      <c r="B14" s="679" t="s">
        <v>34</v>
      </c>
      <c r="C14" s="494">
        <v>0</v>
      </c>
      <c r="G14" s="496"/>
    </row>
    <row r="15" spans="1:7" s="4" customFormat="1">
      <c r="A15" s="690">
        <v>10</v>
      </c>
      <c r="B15" s="680" t="s">
        <v>35</v>
      </c>
      <c r="C15" s="494">
        <v>162816614.84999999</v>
      </c>
      <c r="G15" s="496"/>
    </row>
    <row r="16" spans="1:7" s="4" customFormat="1">
      <c r="A16" s="690">
        <v>11</v>
      </c>
      <c r="B16" s="681" t="s">
        <v>36</v>
      </c>
      <c r="C16" s="494">
        <v>0</v>
      </c>
      <c r="G16" s="496"/>
    </row>
    <row r="17" spans="1:7" s="4" customFormat="1">
      <c r="A17" s="690">
        <v>12</v>
      </c>
      <c r="B17" s="680" t="s">
        <v>37</v>
      </c>
      <c r="C17" s="494">
        <v>10173</v>
      </c>
      <c r="G17" s="496"/>
    </row>
    <row r="18" spans="1:7" s="4" customFormat="1">
      <c r="A18" s="690">
        <v>13</v>
      </c>
      <c r="B18" s="680" t="s">
        <v>38</v>
      </c>
      <c r="C18" s="494">
        <v>4919453.3037</v>
      </c>
      <c r="G18" s="496"/>
    </row>
    <row r="19" spans="1:7" s="4" customFormat="1">
      <c r="A19" s="690">
        <v>14</v>
      </c>
      <c r="B19" s="680" t="s">
        <v>39</v>
      </c>
      <c r="C19" s="494">
        <v>0</v>
      </c>
      <c r="G19" s="496"/>
    </row>
    <row r="20" spans="1:7" s="4" customFormat="1" ht="25.5">
      <c r="A20" s="690">
        <v>15</v>
      </c>
      <c r="B20" s="680" t="s">
        <v>40</v>
      </c>
      <c r="C20" s="494">
        <v>0</v>
      </c>
      <c r="G20" s="496"/>
    </row>
    <row r="21" spans="1:7" s="4" customFormat="1" ht="25.5">
      <c r="A21" s="690">
        <v>16</v>
      </c>
      <c r="B21" s="679" t="s">
        <v>41</v>
      </c>
      <c r="C21" s="494">
        <v>0</v>
      </c>
      <c r="G21" s="496"/>
    </row>
    <row r="22" spans="1:7" s="4" customFormat="1">
      <c r="A22" s="690">
        <v>17</v>
      </c>
      <c r="B22" s="682" t="s">
        <v>42</v>
      </c>
      <c r="C22" s="494">
        <v>8950729.1899999995</v>
      </c>
      <c r="G22" s="496"/>
    </row>
    <row r="23" spans="1:7" s="4" customFormat="1">
      <c r="A23" s="690">
        <v>18</v>
      </c>
      <c r="B23" s="679" t="s">
        <v>721</v>
      </c>
      <c r="C23" s="494">
        <v>7974994.370000001</v>
      </c>
      <c r="G23" s="496"/>
    </row>
    <row r="24" spans="1:7" s="4" customFormat="1" ht="25.5">
      <c r="A24" s="690">
        <v>19</v>
      </c>
      <c r="B24" s="679" t="s">
        <v>43</v>
      </c>
      <c r="C24" s="495">
        <v>0</v>
      </c>
      <c r="G24" s="496"/>
    </row>
    <row r="25" spans="1:7" s="4" customFormat="1" ht="25.5">
      <c r="A25" s="690">
        <v>20</v>
      </c>
      <c r="B25" s="679" t="s">
        <v>44</v>
      </c>
      <c r="C25" s="495">
        <v>0</v>
      </c>
      <c r="G25" s="496"/>
    </row>
    <row r="26" spans="1:7" s="4" customFormat="1" ht="25.5">
      <c r="A26" s="690">
        <v>21</v>
      </c>
      <c r="B26" s="683" t="s">
        <v>45</v>
      </c>
      <c r="C26" s="495">
        <v>0</v>
      </c>
      <c r="G26" s="496"/>
    </row>
    <row r="27" spans="1:7" s="4" customFormat="1">
      <c r="A27" s="690">
        <v>22</v>
      </c>
      <c r="B27" s="683" t="s">
        <v>46</v>
      </c>
      <c r="C27" s="495">
        <v>0</v>
      </c>
      <c r="G27" s="496"/>
    </row>
    <row r="28" spans="1:7" s="4" customFormat="1" ht="25.5">
      <c r="A28" s="690">
        <v>23</v>
      </c>
      <c r="B28" s="683" t="s">
        <v>47</v>
      </c>
      <c r="C28" s="495"/>
      <c r="G28" s="496"/>
    </row>
    <row r="29" spans="1:7" s="4" customFormat="1">
      <c r="A29" s="690">
        <v>24</v>
      </c>
      <c r="B29" s="684" t="s">
        <v>21</v>
      </c>
      <c r="C29" s="692">
        <f>C6-C12</f>
        <v>3757669543.8987885</v>
      </c>
      <c r="D29" s="497"/>
      <c r="G29" s="496"/>
    </row>
    <row r="30" spans="1:7" s="4" customFormat="1">
      <c r="A30" s="693"/>
      <c r="B30" s="685"/>
      <c r="C30" s="495"/>
      <c r="G30" s="496"/>
    </row>
    <row r="31" spans="1:7" s="4" customFormat="1">
      <c r="A31" s="693">
        <v>25</v>
      </c>
      <c r="B31" s="684" t="s">
        <v>998</v>
      </c>
      <c r="C31" s="692">
        <f>C32+C35</f>
        <v>392655000</v>
      </c>
      <c r="D31" s="497"/>
      <c r="G31" s="496"/>
    </row>
    <row r="32" spans="1:7" s="4" customFormat="1">
      <c r="A32" s="693">
        <v>26</v>
      </c>
      <c r="B32" s="678" t="s">
        <v>48</v>
      </c>
      <c r="C32" s="694">
        <f>C33+C34</f>
        <v>0</v>
      </c>
      <c r="G32" s="496"/>
    </row>
    <row r="33" spans="1:7" s="4" customFormat="1">
      <c r="A33" s="693">
        <v>27</v>
      </c>
      <c r="B33" s="686" t="s">
        <v>49</v>
      </c>
      <c r="C33" s="495"/>
      <c r="G33" s="496"/>
    </row>
    <row r="34" spans="1:7" s="4" customFormat="1">
      <c r="A34" s="693">
        <v>28</v>
      </c>
      <c r="B34" s="686" t="s">
        <v>50</v>
      </c>
      <c r="C34" s="495"/>
      <c r="G34" s="496"/>
    </row>
    <row r="35" spans="1:7" s="4" customFormat="1">
      <c r="A35" s="693">
        <v>29</v>
      </c>
      <c r="B35" s="678" t="s">
        <v>51</v>
      </c>
      <c r="C35" s="494">
        <v>392655000</v>
      </c>
      <c r="G35" s="496"/>
    </row>
    <row r="36" spans="1:7" s="4" customFormat="1">
      <c r="A36" s="693">
        <v>30</v>
      </c>
      <c r="B36" s="684" t="s">
        <v>52</v>
      </c>
      <c r="C36" s="692">
        <f>SUM(C37:C41)</f>
        <v>0</v>
      </c>
      <c r="G36" s="496"/>
    </row>
    <row r="37" spans="1:7" s="4" customFormat="1">
      <c r="A37" s="693">
        <v>31</v>
      </c>
      <c r="B37" s="679" t="s">
        <v>53</v>
      </c>
      <c r="C37" s="495">
        <v>0</v>
      </c>
      <c r="G37" s="496"/>
    </row>
    <row r="38" spans="1:7" s="4" customFormat="1">
      <c r="A38" s="693">
        <v>32</v>
      </c>
      <c r="B38" s="680" t="s">
        <v>54</v>
      </c>
      <c r="C38" s="495">
        <v>0</v>
      </c>
      <c r="G38" s="496"/>
    </row>
    <row r="39" spans="1:7" s="4" customFormat="1" ht="25.5">
      <c r="A39" s="693">
        <v>33</v>
      </c>
      <c r="B39" s="679" t="s">
        <v>55</v>
      </c>
      <c r="C39" s="495">
        <v>0</v>
      </c>
      <c r="G39" s="496"/>
    </row>
    <row r="40" spans="1:7" s="4" customFormat="1" ht="25.5">
      <c r="A40" s="693">
        <v>34</v>
      </c>
      <c r="B40" s="679" t="s">
        <v>44</v>
      </c>
      <c r="C40" s="495"/>
      <c r="G40" s="496"/>
    </row>
    <row r="41" spans="1:7" s="4" customFormat="1" ht="25.5">
      <c r="A41" s="693">
        <v>35</v>
      </c>
      <c r="B41" s="683" t="s">
        <v>56</v>
      </c>
      <c r="C41" s="495"/>
      <c r="G41" s="496"/>
    </row>
    <row r="42" spans="1:7" s="4" customFormat="1">
      <c r="A42" s="693">
        <v>36</v>
      </c>
      <c r="B42" s="684" t="s">
        <v>22</v>
      </c>
      <c r="C42" s="692">
        <f>C31-C36</f>
        <v>392655000</v>
      </c>
      <c r="G42" s="496"/>
    </row>
    <row r="43" spans="1:7" s="4" customFormat="1">
      <c r="A43" s="693"/>
      <c r="B43" s="685"/>
      <c r="C43" s="495"/>
      <c r="G43" s="496"/>
    </row>
    <row r="44" spans="1:7" s="4" customFormat="1">
      <c r="A44" s="693">
        <v>37</v>
      </c>
      <c r="B44" s="687" t="s">
        <v>57</v>
      </c>
      <c r="C44" s="692">
        <f>SUM(C45:C47)</f>
        <v>384801900</v>
      </c>
      <c r="D44" s="497"/>
      <c r="G44" s="496"/>
    </row>
    <row r="45" spans="1:7" s="4" customFormat="1">
      <c r="A45" s="693">
        <v>38</v>
      </c>
      <c r="B45" s="678" t="s">
        <v>58</v>
      </c>
      <c r="C45" s="495">
        <v>384801900</v>
      </c>
      <c r="G45" s="496"/>
    </row>
    <row r="46" spans="1:7" s="4" customFormat="1">
      <c r="A46" s="693">
        <v>39</v>
      </c>
      <c r="B46" s="678" t="s">
        <v>59</v>
      </c>
      <c r="C46" s="495"/>
      <c r="G46" s="496"/>
    </row>
    <row r="47" spans="1:7" s="4" customFormat="1">
      <c r="A47" s="693">
        <v>40</v>
      </c>
      <c r="B47" s="688" t="s">
        <v>720</v>
      </c>
      <c r="C47" s="495"/>
      <c r="G47" s="496"/>
    </row>
    <row r="48" spans="1:7" s="4" customFormat="1">
      <c r="A48" s="693">
        <v>41</v>
      </c>
      <c r="B48" s="687" t="s">
        <v>60</v>
      </c>
      <c r="C48" s="692">
        <f>SUM(C49:C52)</f>
        <v>0</v>
      </c>
      <c r="G48" s="496"/>
    </row>
    <row r="49" spans="1:7" s="4" customFormat="1">
      <c r="A49" s="693">
        <v>42</v>
      </c>
      <c r="B49" s="679" t="s">
        <v>61</v>
      </c>
      <c r="C49" s="495"/>
      <c r="G49" s="496"/>
    </row>
    <row r="50" spans="1:7" s="4" customFormat="1">
      <c r="A50" s="693">
        <v>43</v>
      </c>
      <c r="B50" s="680" t="s">
        <v>62</v>
      </c>
      <c r="C50" s="495">
        <v>0</v>
      </c>
      <c r="G50" s="496"/>
    </row>
    <row r="51" spans="1:7" s="4" customFormat="1" ht="25.5">
      <c r="A51" s="693">
        <v>44</v>
      </c>
      <c r="B51" s="679" t="s">
        <v>63</v>
      </c>
      <c r="C51" s="495">
        <v>0</v>
      </c>
      <c r="G51" s="496"/>
    </row>
    <row r="52" spans="1:7" s="4" customFormat="1" ht="25.5">
      <c r="A52" s="693">
        <v>45</v>
      </c>
      <c r="B52" s="679" t="s">
        <v>44</v>
      </c>
      <c r="C52" s="495"/>
      <c r="G52" s="496"/>
    </row>
    <row r="53" spans="1:7" s="4" customFormat="1" ht="15.75" thickBot="1">
      <c r="A53" s="695">
        <v>46</v>
      </c>
      <c r="B53" s="696" t="s">
        <v>23</v>
      </c>
      <c r="C53" s="697">
        <f>C44-C48</f>
        <v>384801900</v>
      </c>
      <c r="D53" s="497"/>
      <c r="G53" s="496"/>
    </row>
    <row r="56" spans="1:7">
      <c r="B56" s="2" t="s">
        <v>139</v>
      </c>
    </row>
  </sheetData>
  <dataValidations count="1">
    <dataValidation operator="lessThanOrEqual" allowBlank="1" showInputMessage="1" showErrorMessage="1" errorTitle="Should be negative number" error="Should be whole negative number or 0" sqref="C36:C53 C24:C34"/>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defaultColWidth="9.140625" defaultRowHeight="12.75"/>
  <cols>
    <col min="1" max="1" width="10.85546875" style="192" bestFit="1" customWidth="1"/>
    <col min="2" max="2" width="59" style="192" customWidth="1"/>
    <col min="3" max="3" width="16.7109375" style="192" bestFit="1" customWidth="1"/>
    <col min="4" max="4" width="22.140625" style="498" customWidth="1"/>
    <col min="5" max="5" width="9.140625" style="192"/>
    <col min="6" max="6" width="12.85546875" style="192" bestFit="1" customWidth="1"/>
    <col min="7" max="16384" width="9.140625" style="192"/>
  </cols>
  <sheetData>
    <row r="1" spans="1:4" ht="15">
      <c r="A1" s="15" t="s">
        <v>106</v>
      </c>
      <c r="B1" s="14" t="str">
        <f>Info!C2</f>
        <v>სს ”საქართველოს ბანკი”</v>
      </c>
    </row>
    <row r="2" spans="1:4" s="19" customFormat="1" ht="15">
      <c r="A2" s="19" t="s">
        <v>107</v>
      </c>
      <c r="B2" s="647">
        <f>'1. key ratios'!B2</f>
        <v>45107</v>
      </c>
      <c r="D2" s="499"/>
    </row>
    <row r="3" spans="1:4" s="19" customFormat="1" ht="15">
      <c r="D3" s="499"/>
    </row>
    <row r="4" spans="1:4" ht="13.5" thickBot="1">
      <c r="A4" s="193" t="s">
        <v>354</v>
      </c>
      <c r="B4" s="213" t="s">
        <v>355</v>
      </c>
    </row>
    <row r="5" spans="1:4" s="214" customFormat="1">
      <c r="A5" s="815" t="s">
        <v>356</v>
      </c>
      <c r="B5" s="816"/>
      <c r="C5" s="205" t="s">
        <v>357</v>
      </c>
      <c r="D5" s="500" t="s">
        <v>358</v>
      </c>
    </row>
    <row r="6" spans="1:4" s="215" customFormat="1">
      <c r="A6" s="206">
        <v>1</v>
      </c>
      <c r="B6" s="207" t="s">
        <v>359</v>
      </c>
      <c r="C6" s="207"/>
      <c r="D6" s="501"/>
    </row>
    <row r="7" spans="1:4" s="215" customFormat="1">
      <c r="A7" s="208" t="s">
        <v>360</v>
      </c>
      <c r="B7" s="209" t="s">
        <v>361</v>
      </c>
      <c r="C7" s="250">
        <v>4.4999999999999998E-2</v>
      </c>
      <c r="D7" s="502">
        <f>C7*'5. RWA'!$C$13</f>
        <v>904685589.64644003</v>
      </c>
    </row>
    <row r="8" spans="1:4" s="215" customFormat="1">
      <c r="A8" s="208" t="s">
        <v>362</v>
      </c>
      <c r="B8" s="209" t="s">
        <v>363</v>
      </c>
      <c r="C8" s="251">
        <v>0.06</v>
      </c>
      <c r="D8" s="502">
        <f>C8*'5. RWA'!$C$13</f>
        <v>1206247452.8619199</v>
      </c>
    </row>
    <row r="9" spans="1:4" s="215" customFormat="1">
      <c r="A9" s="208" t="s">
        <v>364</v>
      </c>
      <c r="B9" s="209" t="s">
        <v>365</v>
      </c>
      <c r="C9" s="251">
        <v>0.08</v>
      </c>
      <c r="D9" s="502">
        <f>C9*'5. RWA'!$C$13</f>
        <v>1608329937.1492267</v>
      </c>
    </row>
    <row r="10" spans="1:4" s="215" customFormat="1">
      <c r="A10" s="206" t="s">
        <v>366</v>
      </c>
      <c r="B10" s="207" t="s">
        <v>367</v>
      </c>
      <c r="C10" s="252"/>
      <c r="D10" s="503"/>
    </row>
    <row r="11" spans="1:4" s="216" customFormat="1">
      <c r="A11" s="210" t="s">
        <v>368</v>
      </c>
      <c r="B11" s="211" t="s">
        <v>429</v>
      </c>
      <c r="C11" s="253">
        <v>2.5000000000000001E-2</v>
      </c>
      <c r="D11" s="504">
        <f>C11*'5. RWA'!$C$13</f>
        <v>502603105.35913336</v>
      </c>
    </row>
    <row r="12" spans="1:4" s="216" customFormat="1">
      <c r="A12" s="210" t="s">
        <v>369</v>
      </c>
      <c r="B12" s="211" t="s">
        <v>370</v>
      </c>
      <c r="C12" s="253">
        <v>0</v>
      </c>
      <c r="D12" s="504">
        <f>C12*'5. RWA'!$C$13</f>
        <v>0</v>
      </c>
    </row>
    <row r="13" spans="1:4" s="216" customFormat="1">
      <c r="A13" s="210" t="s">
        <v>371</v>
      </c>
      <c r="B13" s="211" t="s">
        <v>372</v>
      </c>
      <c r="C13" s="253">
        <v>2.5000000000000001E-2</v>
      </c>
      <c r="D13" s="504">
        <f>C13*'5. RWA'!$C$13</f>
        <v>502603105.35913336</v>
      </c>
    </row>
    <row r="14" spans="1:4" s="215" customFormat="1">
      <c r="A14" s="206" t="s">
        <v>373</v>
      </c>
      <c r="B14" s="207" t="s">
        <v>427</v>
      </c>
      <c r="C14" s="254"/>
      <c r="D14" s="503"/>
    </row>
    <row r="15" spans="1:4" s="215" customFormat="1">
      <c r="A15" s="220" t="s">
        <v>376</v>
      </c>
      <c r="B15" s="211" t="s">
        <v>428</v>
      </c>
      <c r="C15" s="253">
        <v>5.1272768975841029E-2</v>
      </c>
      <c r="D15" s="504">
        <f>C15*'5. RWA'!$C$13</f>
        <v>1030794116.3047652</v>
      </c>
    </row>
    <row r="16" spans="1:4" s="215" customFormat="1">
      <c r="A16" s="220" t="s">
        <v>377</v>
      </c>
      <c r="B16" s="211" t="s">
        <v>379</v>
      </c>
      <c r="C16" s="253">
        <v>5.8590705126721834E-2</v>
      </c>
      <c r="D16" s="504">
        <f>C16*'5. RWA'!$C$13</f>
        <v>1177914813.6748676</v>
      </c>
    </row>
    <row r="17" spans="1:6" s="215" customFormat="1">
      <c r="A17" s="220" t="s">
        <v>378</v>
      </c>
      <c r="B17" s="211" t="s">
        <v>425</v>
      </c>
      <c r="C17" s="253">
        <v>6.8219568483143936E-2</v>
      </c>
      <c r="D17" s="504">
        <f>C17*'5. RWA'!$C$13</f>
        <v>1371494678.6355281</v>
      </c>
    </row>
    <row r="18" spans="1:6" s="214" customFormat="1">
      <c r="A18" s="817" t="s">
        <v>426</v>
      </c>
      <c r="B18" s="818"/>
      <c r="C18" s="255" t="s">
        <v>357</v>
      </c>
      <c r="D18" s="505" t="s">
        <v>358</v>
      </c>
    </row>
    <row r="19" spans="1:6" s="215" customFormat="1">
      <c r="A19" s="212">
        <v>4</v>
      </c>
      <c r="B19" s="211" t="s">
        <v>21</v>
      </c>
      <c r="C19" s="253">
        <f>C7+C11+C12+C13+C15</f>
        <v>0.14627276897584102</v>
      </c>
      <c r="D19" s="502">
        <f>C19*'5. RWA'!$C$13</f>
        <v>2940685916.6694717</v>
      </c>
      <c r="E19" s="507"/>
      <c r="F19" s="508"/>
    </row>
    <row r="20" spans="1:6" s="215" customFormat="1">
      <c r="A20" s="212">
        <v>5</v>
      </c>
      <c r="B20" s="211" t="s">
        <v>84</v>
      </c>
      <c r="C20" s="253">
        <f>C8+C11+C12+C13+C16</f>
        <v>0.16859070512672181</v>
      </c>
      <c r="D20" s="502">
        <f>C20*'5. RWA'!$C$13</f>
        <v>3389368477.2550535</v>
      </c>
      <c r="E20" s="507"/>
      <c r="F20" s="508"/>
    </row>
    <row r="21" spans="1:6" s="215" customFormat="1" ht="13.5" thickBot="1">
      <c r="A21" s="217" t="s">
        <v>374</v>
      </c>
      <c r="B21" s="218" t="s">
        <v>83</v>
      </c>
      <c r="C21" s="256">
        <f>C9+C11+C12+C13+C17</f>
        <v>0.19821956848314393</v>
      </c>
      <c r="D21" s="506">
        <f>C21*'5. RWA'!$C$13</f>
        <v>3985030826.5030212</v>
      </c>
      <c r="E21" s="507"/>
      <c r="F21" s="508"/>
    </row>
    <row r="22" spans="1:6">
      <c r="F22" s="193"/>
    </row>
    <row r="23" spans="1:6" ht="63.75">
      <c r="B23" s="21" t="s">
        <v>430</v>
      </c>
    </row>
    <row r="31" spans="1:6">
      <c r="B31" s="192" t="s">
        <v>998</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10.7109375" style="36" customWidth="1"/>
    <col min="2" max="2" width="100.85546875" style="36" customWidth="1"/>
    <col min="3" max="3" width="44.140625" style="618" customWidth="1"/>
    <col min="4" max="4" width="48" style="36" customWidth="1"/>
    <col min="5" max="5" width="15.85546875" bestFit="1" customWidth="1"/>
  </cols>
  <sheetData>
    <row r="1" spans="1:7">
      <c r="A1" s="15" t="s">
        <v>106</v>
      </c>
      <c r="B1" s="17" t="str">
        <f>Info!C2</f>
        <v>სს ”საქართველოს ბანკი”</v>
      </c>
      <c r="C1" s="617"/>
      <c r="E1" s="2"/>
      <c r="F1" s="2"/>
    </row>
    <row r="2" spans="1:7" s="19" customFormat="1" ht="15">
      <c r="A2" s="19" t="s">
        <v>107</v>
      </c>
      <c r="B2" s="647">
        <f>'1. key ratios'!B2</f>
        <v>45107</v>
      </c>
      <c r="C2" s="618"/>
    </row>
    <row r="3" spans="1:7" s="19" customFormat="1" ht="15">
      <c r="A3" s="24"/>
      <c r="C3" s="619"/>
    </row>
    <row r="4" spans="1:7" s="19" customFormat="1" thickBot="1">
      <c r="A4" s="19" t="s">
        <v>255</v>
      </c>
      <c r="B4" s="117" t="s">
        <v>170</v>
      </c>
      <c r="C4" s="620"/>
      <c r="D4" s="118" t="s">
        <v>85</v>
      </c>
    </row>
    <row r="5" spans="1:7" ht="38.25">
      <c r="A5" s="638" t="s">
        <v>24</v>
      </c>
      <c r="B5" s="639" t="s">
        <v>142</v>
      </c>
      <c r="C5" s="640" t="s">
        <v>851</v>
      </c>
      <c r="D5" s="641" t="s">
        <v>171</v>
      </c>
    </row>
    <row r="6" spans="1:7">
      <c r="A6" s="579">
        <v>1</v>
      </c>
      <c r="B6" s="559" t="s">
        <v>836</v>
      </c>
      <c r="C6" s="621">
        <f>SUM(C7:C9)</f>
        <v>3447891121.0565996</v>
      </c>
      <c r="D6" s="642"/>
      <c r="E6" s="6"/>
    </row>
    <row r="7" spans="1:7">
      <c r="A7" s="579">
        <v>1.1000000000000001</v>
      </c>
      <c r="B7" s="561" t="s">
        <v>94</v>
      </c>
      <c r="C7" s="622">
        <f>'2. SOFP'!E8</f>
        <v>844702887.25300002</v>
      </c>
      <c r="D7" s="642"/>
      <c r="E7" s="6"/>
    </row>
    <row r="8" spans="1:7">
      <c r="A8" s="579">
        <v>1.2</v>
      </c>
      <c r="B8" s="561" t="s">
        <v>95</v>
      </c>
      <c r="C8" s="622">
        <f>'2. SOFP'!E9</f>
        <v>2099812814.9400001</v>
      </c>
      <c r="D8" s="642"/>
      <c r="E8" s="6"/>
    </row>
    <row r="9" spans="1:7">
      <c r="A9" s="579">
        <v>1.3</v>
      </c>
      <c r="B9" s="561" t="s">
        <v>96</v>
      </c>
      <c r="C9" s="622">
        <f>'2. SOFP'!E10</f>
        <v>503375418.86360002</v>
      </c>
      <c r="D9" s="642"/>
      <c r="E9" s="6"/>
    </row>
    <row r="10" spans="1:7">
      <c r="A10" s="579">
        <v>2</v>
      </c>
      <c r="B10" s="562" t="s">
        <v>725</v>
      </c>
      <c r="C10" s="622">
        <f>'2. SOFP'!E11</f>
        <v>21133526.699999999</v>
      </c>
      <c r="D10" s="642"/>
      <c r="E10" s="6"/>
    </row>
    <row r="11" spans="1:7">
      <c r="A11" s="579">
        <v>2.1</v>
      </c>
      <c r="B11" s="563" t="s">
        <v>726</v>
      </c>
      <c r="C11" s="623">
        <f>'2. SOFP'!E12</f>
        <v>21133526.699999999</v>
      </c>
      <c r="D11" s="643"/>
      <c r="E11" s="6"/>
    </row>
    <row r="12" spans="1:7" ht="21">
      <c r="A12" s="579">
        <v>3</v>
      </c>
      <c r="B12" s="564" t="s">
        <v>727</v>
      </c>
      <c r="C12" s="624"/>
      <c r="D12" s="643"/>
      <c r="E12" s="6"/>
    </row>
    <row r="13" spans="1:7" ht="21">
      <c r="A13" s="579">
        <v>4</v>
      </c>
      <c r="B13" s="565" t="s">
        <v>728</v>
      </c>
      <c r="C13" s="625"/>
      <c r="D13" s="643"/>
      <c r="E13" s="6"/>
      <c r="G13" t="s">
        <v>986</v>
      </c>
    </row>
    <row r="14" spans="1:7">
      <c r="A14" s="579">
        <v>5</v>
      </c>
      <c r="B14" s="565" t="s">
        <v>729</v>
      </c>
      <c r="C14" s="625">
        <f>SUM(C15)+C17</f>
        <v>4253210329.9979992</v>
      </c>
      <c r="D14" s="643"/>
      <c r="E14" s="6"/>
    </row>
    <row r="15" spans="1:7">
      <c r="A15" s="579">
        <v>5.0999999999999996</v>
      </c>
      <c r="B15" s="567" t="s">
        <v>730</v>
      </c>
      <c r="C15" s="626">
        <f>'2. SOFP'!E16</f>
        <v>5517062.6937000006</v>
      </c>
      <c r="D15" s="643"/>
      <c r="E15" s="6"/>
    </row>
    <row r="16" spans="1:7" ht="25.5">
      <c r="A16" s="579"/>
      <c r="B16" s="680" t="s">
        <v>988</v>
      </c>
      <c r="C16" s="626">
        <f>'9. Capital'!C18</f>
        <v>4919453.3037</v>
      </c>
      <c r="D16" s="643" t="s">
        <v>985</v>
      </c>
      <c r="E16" s="6"/>
    </row>
    <row r="17" spans="1:5">
      <c r="A17" s="579">
        <v>5.2</v>
      </c>
      <c r="B17" s="567" t="s">
        <v>564</v>
      </c>
      <c r="C17" s="626">
        <f>'2. SOFP'!E17</f>
        <v>4247693267.3042994</v>
      </c>
      <c r="D17" s="643"/>
      <c r="E17" s="6"/>
    </row>
    <row r="18" spans="1:5">
      <c r="A18" s="579">
        <v>5.3</v>
      </c>
      <c r="B18" s="567" t="s">
        <v>731</v>
      </c>
      <c r="C18" s="626">
        <f>'2. SOFP'!E18</f>
        <v>0</v>
      </c>
      <c r="D18" s="643"/>
      <c r="E18" s="6"/>
    </row>
    <row r="19" spans="1:5">
      <c r="A19" s="579">
        <v>6</v>
      </c>
      <c r="B19" s="564" t="s">
        <v>732</v>
      </c>
      <c r="C19" s="624">
        <f>SUM(C20:C21)</f>
        <v>17717216569.942238</v>
      </c>
      <c r="D19" s="643"/>
      <c r="E19" s="6"/>
    </row>
    <row r="20" spans="1:5">
      <c r="A20" s="579">
        <v>6.1</v>
      </c>
      <c r="B20" s="567" t="s">
        <v>564</v>
      </c>
      <c r="C20" s="626">
        <f>'2. SOFP'!E20</f>
        <v>220587571.5411</v>
      </c>
      <c r="D20" s="643"/>
      <c r="E20" s="6"/>
    </row>
    <row r="21" spans="1:5">
      <c r="A21" s="579">
        <v>6.2</v>
      </c>
      <c r="B21" s="567" t="s">
        <v>731</v>
      </c>
      <c r="C21" s="626">
        <f>'2. SOFP'!E21</f>
        <v>17496628998.401138</v>
      </c>
      <c r="D21" s="643"/>
      <c r="E21" s="6"/>
    </row>
    <row r="22" spans="1:5">
      <c r="A22" s="579">
        <v>7</v>
      </c>
      <c r="B22" s="568" t="s">
        <v>733</v>
      </c>
      <c r="C22" s="627">
        <f>'2. SOFP'!E22</f>
        <v>157029813.86999997</v>
      </c>
      <c r="D22" s="643">
        <v>0</v>
      </c>
      <c r="E22" s="6"/>
    </row>
    <row r="23" spans="1:5" ht="21">
      <c r="A23" s="579"/>
      <c r="B23" s="568" t="s">
        <v>989</v>
      </c>
      <c r="C23" s="627">
        <f>'9. Capital'!C22</f>
        <v>8950729.1899999995</v>
      </c>
      <c r="D23" s="643" t="s">
        <v>981</v>
      </c>
      <c r="E23" s="6"/>
    </row>
    <row r="24" spans="1:5">
      <c r="A24" s="579"/>
      <c r="B24" s="568"/>
      <c r="C24" s="627"/>
      <c r="D24" s="643"/>
      <c r="E24" s="6"/>
    </row>
    <row r="25" spans="1:5">
      <c r="A25" s="579">
        <v>8</v>
      </c>
      <c r="B25" s="568" t="s">
        <v>734</v>
      </c>
      <c r="C25" s="627">
        <f>'2. SOFP'!E23</f>
        <v>30407303.619224988</v>
      </c>
      <c r="D25" s="643"/>
      <c r="E25" s="6"/>
    </row>
    <row r="26" spans="1:5">
      <c r="A26" s="579">
        <v>9</v>
      </c>
      <c r="B26" s="565" t="s">
        <v>735</v>
      </c>
      <c r="C26" s="625">
        <f>SUM(C27:C28)</f>
        <v>606618823.27000022</v>
      </c>
      <c r="D26" s="643"/>
      <c r="E26" s="6"/>
    </row>
    <row r="27" spans="1:5">
      <c r="A27" s="579">
        <v>9.1</v>
      </c>
      <c r="B27" s="569" t="s">
        <v>736</v>
      </c>
      <c r="C27" s="628">
        <f>'2. SOFP'!E25</f>
        <v>466692434.13999999</v>
      </c>
      <c r="D27" s="643"/>
      <c r="E27" s="6"/>
    </row>
    <row r="28" spans="1:5">
      <c r="A28" s="579">
        <v>9.1999999999999993</v>
      </c>
      <c r="B28" s="569" t="s">
        <v>737</v>
      </c>
      <c r="C28" s="628">
        <f>'2. SOFP'!E26</f>
        <v>139926389.1300002</v>
      </c>
      <c r="D28" s="643"/>
      <c r="E28" s="6"/>
    </row>
    <row r="29" spans="1:5">
      <c r="A29" s="579">
        <v>10</v>
      </c>
      <c r="B29" s="565" t="s">
        <v>35</v>
      </c>
      <c r="C29" s="625">
        <f>SUM(C30:C31)</f>
        <v>162816614.84999999</v>
      </c>
      <c r="D29" s="643"/>
      <c r="E29" s="6"/>
    </row>
    <row r="30" spans="1:5">
      <c r="A30" s="579">
        <v>10.1</v>
      </c>
      <c r="B30" s="569" t="s">
        <v>738</v>
      </c>
      <c r="C30" s="628">
        <f>'2. SOFP'!E28</f>
        <v>33331342.84</v>
      </c>
      <c r="D30" s="643" t="s">
        <v>987</v>
      </c>
      <c r="E30" s="6"/>
    </row>
    <row r="31" spans="1:5">
      <c r="A31" s="579">
        <v>10.199999999999999</v>
      </c>
      <c r="B31" s="569" t="s">
        <v>998</v>
      </c>
      <c r="C31" s="628">
        <f>'2. SOFP'!E29</f>
        <v>129485272.00999999</v>
      </c>
      <c r="D31" s="643" t="s">
        <v>987</v>
      </c>
      <c r="E31" s="6"/>
    </row>
    <row r="32" spans="1:5">
      <c r="A32" s="579">
        <v>11</v>
      </c>
      <c r="B32" s="565" t="s">
        <v>740</v>
      </c>
      <c r="C32" s="625">
        <f>SUM(C33:C34)</f>
        <v>0</v>
      </c>
      <c r="D32" s="643"/>
      <c r="E32" s="6"/>
    </row>
    <row r="33" spans="1:5">
      <c r="A33" s="579">
        <v>11.1</v>
      </c>
      <c r="B33" s="569" t="s">
        <v>741</v>
      </c>
      <c r="C33" s="628">
        <f>'2. SOFP'!E31</f>
        <v>0</v>
      </c>
      <c r="D33" s="643"/>
      <c r="E33" s="6"/>
    </row>
    <row r="34" spans="1:5">
      <c r="A34" s="579">
        <v>11.2</v>
      </c>
      <c r="B34" s="569" t="s">
        <v>742</v>
      </c>
      <c r="C34" s="628">
        <f>'2. SOFP'!E32</f>
        <v>0</v>
      </c>
      <c r="D34" s="643"/>
      <c r="E34" s="6"/>
    </row>
    <row r="35" spans="1:5">
      <c r="A35" s="579">
        <v>13</v>
      </c>
      <c r="B35" s="565" t="s">
        <v>97</v>
      </c>
      <c r="C35" s="628">
        <f>'2. SOFP'!E33</f>
        <v>419128253.45786589</v>
      </c>
      <c r="D35" s="643"/>
      <c r="E35" s="6"/>
    </row>
    <row r="36" spans="1:5">
      <c r="A36" s="579">
        <v>13.1</v>
      </c>
      <c r="B36" s="570" t="s">
        <v>743</v>
      </c>
      <c r="C36" s="629">
        <f>'2. SOFP'!E34</f>
        <v>141856351.75</v>
      </c>
      <c r="D36" s="643"/>
      <c r="E36" s="6"/>
    </row>
    <row r="37" spans="1:5">
      <c r="A37" s="579">
        <v>13.2</v>
      </c>
      <c r="B37" s="570" t="s">
        <v>744</v>
      </c>
      <c r="C37" s="629">
        <f>'2. SOFP'!E35</f>
        <v>0</v>
      </c>
      <c r="D37" s="643"/>
      <c r="E37" s="6"/>
    </row>
    <row r="38" spans="1:5">
      <c r="A38" s="579">
        <v>14</v>
      </c>
      <c r="B38" s="571" t="s">
        <v>745</v>
      </c>
      <c r="C38" s="630">
        <f>SUM(C6,C10,C12,C13,C14,C19,C22,C25,C26,C29,C32,C35)</f>
        <v>26815452356.763927</v>
      </c>
      <c r="D38" s="643"/>
      <c r="E38" s="6"/>
    </row>
    <row r="39" spans="1:5">
      <c r="A39" s="579"/>
      <c r="B39" s="572" t="s">
        <v>102</v>
      </c>
      <c r="C39" s="631"/>
      <c r="D39" s="643"/>
      <c r="E39" s="6"/>
    </row>
    <row r="40" spans="1:5">
      <c r="A40" s="579">
        <v>15</v>
      </c>
      <c r="B40" s="568" t="s">
        <v>746</v>
      </c>
      <c r="C40" s="623">
        <f>'2. SOFP'!E38</f>
        <v>16383097.399999999</v>
      </c>
      <c r="D40" s="643"/>
      <c r="E40" s="6"/>
    </row>
    <row r="41" spans="1:5">
      <c r="A41" s="579">
        <v>15.1</v>
      </c>
      <c r="B41" s="563" t="s">
        <v>726</v>
      </c>
      <c r="C41" s="623">
        <f>'2. SOFP'!E39</f>
        <v>16383097.399999999</v>
      </c>
      <c r="D41" s="643"/>
      <c r="E41" s="6"/>
    </row>
    <row r="42" spans="1:5" ht="21">
      <c r="A42" s="579">
        <v>16</v>
      </c>
      <c r="B42" s="568" t="s">
        <v>747</v>
      </c>
      <c r="C42" s="627"/>
      <c r="D42" s="643"/>
      <c r="E42" s="6"/>
    </row>
    <row r="43" spans="1:5">
      <c r="A43" s="579">
        <v>17</v>
      </c>
      <c r="B43" s="568" t="s">
        <v>748</v>
      </c>
      <c r="C43" s="627">
        <f>SUM(C44:C47)</f>
        <v>21740893435.746181</v>
      </c>
      <c r="D43" s="643"/>
      <c r="E43" s="6"/>
    </row>
    <row r="44" spans="1:5">
      <c r="A44" s="579">
        <v>17.100000000000001</v>
      </c>
      <c r="B44" s="573" t="s">
        <v>749</v>
      </c>
      <c r="C44" s="632">
        <f>'2. SOFP'!E42</f>
        <v>19634903119.946182</v>
      </c>
      <c r="D44" s="643"/>
      <c r="E44" s="6"/>
    </row>
    <row r="45" spans="1:5">
      <c r="A45" s="579">
        <v>17.2</v>
      </c>
      <c r="B45" s="561" t="s">
        <v>98</v>
      </c>
      <c r="C45" s="622">
        <f>'2. SOFP'!E43</f>
        <v>1662413709.97</v>
      </c>
      <c r="D45" s="643"/>
      <c r="E45" s="6"/>
    </row>
    <row r="46" spans="1:5">
      <c r="A46" s="579">
        <v>17.3</v>
      </c>
      <c r="B46" s="573" t="s">
        <v>750</v>
      </c>
      <c r="C46" s="632">
        <f>'2. SOFP'!E44</f>
        <v>335503670.50999999</v>
      </c>
      <c r="D46" s="643"/>
      <c r="E46" s="6"/>
    </row>
    <row r="47" spans="1:5">
      <c r="A47" s="579">
        <v>17.399999999999999</v>
      </c>
      <c r="B47" s="573" t="s">
        <v>751</v>
      </c>
      <c r="C47" s="632">
        <f>'2. SOFP'!E45</f>
        <v>108072935.32000001</v>
      </c>
      <c r="D47" s="643"/>
      <c r="E47" s="6"/>
    </row>
    <row r="48" spans="1:5">
      <c r="A48" s="579">
        <v>18</v>
      </c>
      <c r="B48" s="574" t="s">
        <v>752</v>
      </c>
      <c r="C48" s="633">
        <f>'2. SOFP'!E46</f>
        <v>5520475.0489999996</v>
      </c>
      <c r="D48" s="643"/>
      <c r="E48" s="6"/>
    </row>
    <row r="49" spans="1:5">
      <c r="A49" s="579">
        <v>19</v>
      </c>
      <c r="B49" s="574" t="s">
        <v>753</v>
      </c>
      <c r="C49" s="633">
        <f>SUM(C50:C51)</f>
        <v>155626760.94222438</v>
      </c>
      <c r="D49" s="643"/>
      <c r="E49" s="6"/>
    </row>
    <row r="50" spans="1:5">
      <c r="A50" s="579">
        <v>19.100000000000001</v>
      </c>
      <c r="B50" s="575" t="s">
        <v>754</v>
      </c>
      <c r="C50" s="634">
        <f>'2. SOFP'!E48</f>
        <v>135393514.77610567</v>
      </c>
      <c r="D50" s="643"/>
      <c r="E50" s="6"/>
    </row>
    <row r="51" spans="1:5">
      <c r="A51" s="579">
        <v>19.2</v>
      </c>
      <c r="B51" s="575" t="s">
        <v>755</v>
      </c>
      <c r="C51" s="634">
        <f>'2. SOFP'!E49</f>
        <v>20233246.166118711</v>
      </c>
      <c r="D51" s="643"/>
      <c r="E51" s="6"/>
    </row>
    <row r="52" spans="1:5">
      <c r="A52" s="579">
        <v>20</v>
      </c>
      <c r="B52" s="571" t="s">
        <v>99</v>
      </c>
      <c r="C52" s="634">
        <f>'2. SOFP'!E50</f>
        <v>781464193.60000002</v>
      </c>
      <c r="D52" s="643"/>
      <c r="E52" s="6"/>
    </row>
    <row r="53" spans="1:5" ht="21">
      <c r="A53" s="579"/>
      <c r="B53" s="571" t="str">
        <f>'9. Capital'!B35</f>
        <v>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v>
      </c>
      <c r="C53" s="634">
        <f>'9. Capital'!C35</f>
        <v>392655000</v>
      </c>
      <c r="D53" s="643" t="s">
        <v>990</v>
      </c>
      <c r="E53" s="6"/>
    </row>
    <row r="54" spans="1:5">
      <c r="A54" s="579"/>
      <c r="B54" s="571" t="str">
        <f>'9. Capital'!B45</f>
        <v>ინსტრუმენტები, რომლებიც აკმაყოფილებენ მეორადი კაპიტალის კრიტერიუმებს</v>
      </c>
      <c r="C54" s="634">
        <f>'9. Capital'!C45</f>
        <v>384801900</v>
      </c>
      <c r="D54" s="643" t="s">
        <v>991</v>
      </c>
      <c r="E54" s="6"/>
    </row>
    <row r="55" spans="1:5">
      <c r="A55" s="579">
        <v>21</v>
      </c>
      <c r="B55" s="562" t="s">
        <v>87</v>
      </c>
      <c r="C55" s="634">
        <f>'2. SOFP'!E51</f>
        <v>217422703.6938</v>
      </c>
      <c r="D55" s="643"/>
      <c r="E55" s="6"/>
    </row>
    <row r="56" spans="1:5">
      <c r="A56" s="579">
        <v>21.1</v>
      </c>
      <c r="B56" s="561" t="s">
        <v>756</v>
      </c>
      <c r="C56" s="634">
        <f>'2. SOFP'!E52</f>
        <v>3622279.43</v>
      </c>
      <c r="D56" s="643"/>
      <c r="E56" s="6"/>
    </row>
    <row r="57" spans="1:5">
      <c r="A57" s="579">
        <v>22</v>
      </c>
      <c r="B57" s="571" t="s">
        <v>757</v>
      </c>
      <c r="C57" s="630">
        <f>SUM(C40,C42,C43,C48,C49,C52,C55)</f>
        <v>22917310666.431206</v>
      </c>
      <c r="D57" s="643"/>
      <c r="E57" s="6"/>
    </row>
    <row r="58" spans="1:5">
      <c r="A58" s="579"/>
      <c r="B58" s="572" t="s">
        <v>758</v>
      </c>
      <c r="C58" s="631"/>
      <c r="D58" s="643"/>
      <c r="E58" s="6"/>
    </row>
    <row r="59" spans="1:5">
      <c r="A59" s="579">
        <v>23</v>
      </c>
      <c r="B59" s="571" t="s">
        <v>103</v>
      </c>
      <c r="C59" s="630">
        <f>'2. SOFP'!E55</f>
        <v>27993660.18</v>
      </c>
      <c r="D59" s="643" t="s">
        <v>992</v>
      </c>
      <c r="E59" s="6"/>
    </row>
    <row r="60" spans="1:5">
      <c r="A60" s="579">
        <v>24</v>
      </c>
      <c r="B60" s="571" t="s">
        <v>759</v>
      </c>
      <c r="C60" s="630">
        <f>'2. SOFP'!E56</f>
        <v>0</v>
      </c>
      <c r="D60" s="643"/>
      <c r="E60" s="6"/>
    </row>
    <row r="61" spans="1:5">
      <c r="A61" s="579">
        <v>25</v>
      </c>
      <c r="B61" s="576" t="s">
        <v>100</v>
      </c>
      <c r="C61" s="635">
        <f>'2. SOFP'!E57</f>
        <v>423163731.56</v>
      </c>
      <c r="D61" s="643" t="s">
        <v>994</v>
      </c>
      <c r="E61" s="6"/>
    </row>
    <row r="62" spans="1:5">
      <c r="A62" s="579">
        <v>26</v>
      </c>
      <c r="B62" s="574" t="s">
        <v>760</v>
      </c>
      <c r="C62" s="633">
        <f>'2. SOFP'!E58</f>
        <v>-10173</v>
      </c>
      <c r="D62" s="643" t="s">
        <v>993</v>
      </c>
      <c r="E62" s="6"/>
    </row>
    <row r="63" spans="1:5">
      <c r="A63" s="579">
        <v>27</v>
      </c>
      <c r="B63" s="574" t="s">
        <v>761</v>
      </c>
      <c r="C63" s="633">
        <f>'2. SOFP'!E59</f>
        <v>0</v>
      </c>
      <c r="D63" s="643"/>
      <c r="E63" s="6"/>
    </row>
    <row r="64" spans="1:5">
      <c r="A64" s="579">
        <v>27.1</v>
      </c>
      <c r="B64" s="577" t="s">
        <v>762</v>
      </c>
      <c r="C64" s="633">
        <f>'2. SOFP'!E60</f>
        <v>0</v>
      </c>
      <c r="D64" s="643"/>
      <c r="E64" s="6"/>
    </row>
    <row r="65" spans="1:5">
      <c r="A65" s="579">
        <v>27.2</v>
      </c>
      <c r="B65" s="573" t="s">
        <v>763</v>
      </c>
      <c r="C65" s="633">
        <f>'2. SOFP'!E61</f>
        <v>0</v>
      </c>
      <c r="D65" s="643"/>
      <c r="E65" s="6"/>
    </row>
    <row r="66" spans="1:5">
      <c r="A66" s="579">
        <v>28</v>
      </c>
      <c r="B66" s="562" t="s">
        <v>764</v>
      </c>
      <c r="C66" s="633">
        <f>'2. SOFP'!E62</f>
        <v>-263763035.30372295</v>
      </c>
      <c r="D66" s="643"/>
      <c r="E66" s="6"/>
    </row>
    <row r="67" spans="1:5">
      <c r="A67" s="579">
        <v>29</v>
      </c>
      <c r="B67" s="574" t="s">
        <v>765</v>
      </c>
      <c r="C67" s="633">
        <f>SUM(C68:C70)</f>
        <v>36382468.386899993</v>
      </c>
      <c r="D67" s="644"/>
      <c r="E67" s="6"/>
    </row>
    <row r="68" spans="1:5">
      <c r="A68" s="579">
        <v>29.1</v>
      </c>
      <c r="B68" s="567" t="s">
        <v>766</v>
      </c>
      <c r="C68" s="626">
        <f>'2. SOFP'!E64</f>
        <v>2358668.17</v>
      </c>
      <c r="D68" s="643" t="s">
        <v>996</v>
      </c>
      <c r="E68" s="6"/>
    </row>
    <row r="69" spans="1:5" ht="21">
      <c r="A69" s="579">
        <v>29.2</v>
      </c>
      <c r="B69" s="577" t="s">
        <v>767</v>
      </c>
      <c r="C69" s="636">
        <f>'2. SOFP'!E65</f>
        <v>1129029</v>
      </c>
      <c r="D69" s="643" t="s">
        <v>996</v>
      </c>
      <c r="E69" s="6"/>
    </row>
    <row r="70" spans="1:5" ht="21">
      <c r="A70" s="579">
        <v>29.3</v>
      </c>
      <c r="B70" s="569" t="s">
        <v>768</v>
      </c>
      <c r="C70" s="628">
        <f>'2. SOFP'!E66</f>
        <v>32894771.216899995</v>
      </c>
      <c r="D70" s="643" t="s">
        <v>996</v>
      </c>
      <c r="E70" s="6"/>
    </row>
    <row r="71" spans="1:5">
      <c r="A71" s="579">
        <v>30</v>
      </c>
      <c r="B71" s="565" t="s">
        <v>101</v>
      </c>
      <c r="C71" s="625">
        <f>'2. SOFP'!E67</f>
        <v>3754947152.1762114</v>
      </c>
      <c r="D71" s="597" t="s">
        <v>995</v>
      </c>
      <c r="E71" s="6"/>
    </row>
    <row r="72" spans="1:5">
      <c r="A72" s="579">
        <v>31</v>
      </c>
      <c r="B72" s="578" t="s">
        <v>769</v>
      </c>
      <c r="C72" s="637">
        <f>SUM(C59,C60,C61,C62,C63,C66,C67,C71)</f>
        <v>3978713803.9993882</v>
      </c>
      <c r="D72" s="644"/>
      <c r="E72" s="6"/>
    </row>
    <row r="73" spans="1:5" ht="16.5" thickBot="1">
      <c r="A73" s="580">
        <v>32</v>
      </c>
      <c r="B73" s="581" t="s">
        <v>770</v>
      </c>
      <c r="C73" s="645">
        <f>SUM(C57,C72)</f>
        <v>26896024470.430595</v>
      </c>
      <c r="D73" s="64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40625" defaultRowHeight="12.75"/>
  <cols>
    <col min="1" max="1" width="10.5703125" style="2" bestFit="1" customWidth="1"/>
    <col min="2" max="2" width="97" style="2" bestFit="1" customWidth="1"/>
    <col min="3" max="3" width="16.42578125" style="2" customWidth="1"/>
    <col min="4" max="4" width="13.28515625" style="2" bestFit="1" customWidth="1"/>
    <col min="5" max="5" width="15.42578125" style="2" customWidth="1"/>
    <col min="6" max="6" width="13.28515625" style="2" bestFit="1" customWidth="1"/>
    <col min="7" max="7" width="17.7109375" style="2" customWidth="1"/>
    <col min="8" max="8" width="13.28515625" style="2" bestFit="1" customWidth="1"/>
    <col min="9" max="9" width="13.140625" style="2" customWidth="1"/>
    <col min="10" max="10" width="13.28515625" style="2" bestFit="1" customWidth="1"/>
    <col min="11" max="11" width="18.85546875" style="2" customWidth="1"/>
    <col min="12" max="12" width="13.28515625" style="2" bestFit="1" customWidth="1"/>
    <col min="13" max="13" width="12.7109375" style="2" bestFit="1" customWidth="1"/>
    <col min="14" max="14" width="13.28515625" style="2" bestFit="1" customWidth="1"/>
    <col min="15" max="15" width="14.85546875" style="2" customWidth="1"/>
    <col min="16" max="16" width="13.28515625" style="2" bestFit="1" customWidth="1"/>
    <col min="17" max="17" width="14.140625" style="2" customWidth="1"/>
    <col min="18" max="18" width="13.28515625" style="2" bestFit="1" customWidth="1"/>
    <col min="19" max="19" width="31.5703125" style="2" bestFit="1" customWidth="1"/>
    <col min="20" max="20" width="10.85546875" style="10" bestFit="1" customWidth="1"/>
    <col min="21" max="16384" width="9.140625" style="10"/>
  </cols>
  <sheetData>
    <row r="1" spans="1:20">
      <c r="A1" s="2" t="s">
        <v>106</v>
      </c>
      <c r="B1" s="192" t="str">
        <f>Info!C2</f>
        <v>სს ”საქართველოს ბანკი”</v>
      </c>
    </row>
    <row r="2" spans="1:20">
      <c r="A2" s="2" t="s">
        <v>107</v>
      </c>
      <c r="B2" s="281">
        <f>'1. key ratios'!B2</f>
        <v>45107</v>
      </c>
    </row>
    <row r="4" spans="1:20" ht="26.25" thickBot="1">
      <c r="A4" s="35" t="s">
        <v>256</v>
      </c>
      <c r="B4" s="162" t="s">
        <v>291</v>
      </c>
      <c r="E4" s="2">
        <v>0</v>
      </c>
    </row>
    <row r="5" spans="1:20">
      <c r="A5" s="70"/>
      <c r="B5" s="71"/>
      <c r="C5" s="64" t="s">
        <v>0</v>
      </c>
      <c r="D5" s="64" t="s">
        <v>1</v>
      </c>
      <c r="E5" s="64" t="s">
        <v>2</v>
      </c>
      <c r="F5" s="64" t="s">
        <v>3</v>
      </c>
      <c r="G5" s="64" t="s">
        <v>4</v>
      </c>
      <c r="H5" s="64" t="s">
        <v>5</v>
      </c>
      <c r="I5" s="64" t="s">
        <v>143</v>
      </c>
      <c r="J5" s="64" t="s">
        <v>144</v>
      </c>
      <c r="K5" s="64" t="s">
        <v>145</v>
      </c>
      <c r="L5" s="64" t="s">
        <v>146</v>
      </c>
      <c r="M5" s="64" t="s">
        <v>147</v>
      </c>
      <c r="N5" s="64" t="s">
        <v>148</v>
      </c>
      <c r="O5" s="64" t="s">
        <v>278</v>
      </c>
      <c r="P5" s="64" t="s">
        <v>279</v>
      </c>
      <c r="Q5" s="64" t="s">
        <v>280</v>
      </c>
      <c r="R5" s="154" t="s">
        <v>281</v>
      </c>
      <c r="S5" s="65" t="s">
        <v>282</v>
      </c>
    </row>
    <row r="6" spans="1:20" ht="46.5" customHeight="1">
      <c r="A6" s="75"/>
      <c r="B6" s="823" t="s">
        <v>283</v>
      </c>
      <c r="C6" s="821">
        <v>0</v>
      </c>
      <c r="D6" s="822"/>
      <c r="E6" s="821">
        <v>0.2</v>
      </c>
      <c r="F6" s="822"/>
      <c r="G6" s="821">
        <v>0.35</v>
      </c>
      <c r="H6" s="822"/>
      <c r="I6" s="821">
        <v>0.5</v>
      </c>
      <c r="J6" s="822"/>
      <c r="K6" s="821">
        <v>0.75</v>
      </c>
      <c r="L6" s="822"/>
      <c r="M6" s="821">
        <v>1</v>
      </c>
      <c r="N6" s="822"/>
      <c r="O6" s="821">
        <v>1.5</v>
      </c>
      <c r="P6" s="822"/>
      <c r="Q6" s="821">
        <v>2.5</v>
      </c>
      <c r="R6" s="822"/>
      <c r="S6" s="819" t="s">
        <v>154</v>
      </c>
    </row>
    <row r="7" spans="1:20">
      <c r="A7" s="75"/>
      <c r="B7" s="824"/>
      <c r="C7" s="161" t="s">
        <v>276</v>
      </c>
      <c r="D7" s="161" t="s">
        <v>277</v>
      </c>
      <c r="E7" s="161" t="s">
        <v>276</v>
      </c>
      <c r="F7" s="161" t="s">
        <v>277</v>
      </c>
      <c r="G7" s="161" t="s">
        <v>276</v>
      </c>
      <c r="H7" s="161" t="s">
        <v>277</v>
      </c>
      <c r="I7" s="161" t="s">
        <v>276</v>
      </c>
      <c r="J7" s="161" t="s">
        <v>277</v>
      </c>
      <c r="K7" s="161" t="s">
        <v>276</v>
      </c>
      <c r="L7" s="161" t="s">
        <v>277</v>
      </c>
      <c r="M7" s="161" t="s">
        <v>276</v>
      </c>
      <c r="N7" s="161" t="s">
        <v>277</v>
      </c>
      <c r="O7" s="161" t="s">
        <v>276</v>
      </c>
      <c r="P7" s="161" t="s">
        <v>277</v>
      </c>
      <c r="Q7" s="161" t="s">
        <v>276</v>
      </c>
      <c r="R7" s="161" t="s">
        <v>277</v>
      </c>
      <c r="S7" s="820"/>
    </row>
    <row r="8" spans="1:20" s="78" customFormat="1">
      <c r="A8" s="68">
        <v>1</v>
      </c>
      <c r="B8" s="96" t="s">
        <v>132</v>
      </c>
      <c r="C8" s="537">
        <v>3705214071.5999999</v>
      </c>
      <c r="D8" s="537"/>
      <c r="E8" s="537">
        <v>0</v>
      </c>
      <c r="F8" s="538"/>
      <c r="G8" s="537"/>
      <c r="H8" s="537"/>
      <c r="I8" s="537">
        <v>0</v>
      </c>
      <c r="J8" s="537"/>
      <c r="K8" s="537">
        <v>0.35</v>
      </c>
      <c r="L8" s="537"/>
      <c r="M8" s="537">
        <v>1861167016</v>
      </c>
      <c r="N8" s="537"/>
      <c r="O8" s="537">
        <v>0</v>
      </c>
      <c r="P8" s="537"/>
      <c r="Q8" s="537">
        <v>0</v>
      </c>
      <c r="R8" s="538"/>
      <c r="S8" s="167">
        <f>$C$6*SUM(C8:D8)+$E$6*SUM(E8:F8)+$G$6*SUM(G8:H8)+$I$6*SUM(I8:J8)+$K$6*SUM(K8:L8)+$M$6*SUM(M8:N8)+$O$6*SUM(O8:P8)+$Q$6*SUM(Q8:R8)</f>
        <v>1861167016.2625</v>
      </c>
      <c r="T8" s="540"/>
    </row>
    <row r="9" spans="1:20" s="78" customFormat="1">
      <c r="A9" s="68">
        <v>2</v>
      </c>
      <c r="B9" s="96" t="s">
        <v>133</v>
      </c>
      <c r="C9" s="537">
        <v>0</v>
      </c>
      <c r="D9" s="537"/>
      <c r="E9" s="537">
        <v>0</v>
      </c>
      <c r="F9" s="537"/>
      <c r="G9" s="537"/>
      <c r="H9" s="537"/>
      <c r="I9" s="537">
        <v>0</v>
      </c>
      <c r="J9" s="537"/>
      <c r="K9" s="537">
        <v>0</v>
      </c>
      <c r="L9" s="537"/>
      <c r="M9" s="537">
        <v>0</v>
      </c>
      <c r="N9" s="537"/>
      <c r="O9" s="537">
        <v>0</v>
      </c>
      <c r="P9" s="537"/>
      <c r="Q9" s="537">
        <v>0</v>
      </c>
      <c r="R9" s="538"/>
      <c r="S9" s="167">
        <f t="shared" ref="S9:S21" si="0">$C$6*SUM(C9:D9)+$E$6*SUM(E9:F9)+$G$6*SUM(G9:H9)+$I$6*SUM(I9:J9)+$K$6*SUM(K9:L9)+$M$6*SUM(M9:N9)+$O$6*SUM(O9:P9)+$Q$6*SUM(Q9:R9)</f>
        <v>0</v>
      </c>
      <c r="T9" s="540"/>
    </row>
    <row r="10" spans="1:20" s="78" customFormat="1">
      <c r="A10" s="68">
        <v>3</v>
      </c>
      <c r="B10" s="96" t="s">
        <v>134</v>
      </c>
      <c r="C10" s="537">
        <v>0</v>
      </c>
      <c r="D10" s="537"/>
      <c r="E10" s="537">
        <v>0</v>
      </c>
      <c r="F10" s="537"/>
      <c r="G10" s="537"/>
      <c r="H10" s="537"/>
      <c r="I10" s="537">
        <v>0</v>
      </c>
      <c r="J10" s="537"/>
      <c r="K10" s="537">
        <v>0</v>
      </c>
      <c r="L10" s="537"/>
      <c r="M10" s="537">
        <v>0</v>
      </c>
      <c r="N10" s="537"/>
      <c r="O10" s="537">
        <v>0</v>
      </c>
      <c r="P10" s="537"/>
      <c r="Q10" s="537">
        <v>0</v>
      </c>
      <c r="R10" s="538"/>
      <c r="S10" s="167">
        <f t="shared" si="0"/>
        <v>0</v>
      </c>
      <c r="T10" s="540"/>
    </row>
    <row r="11" spans="1:20" s="78" customFormat="1">
      <c r="A11" s="68">
        <v>4</v>
      </c>
      <c r="B11" s="96" t="s">
        <v>135</v>
      </c>
      <c r="C11" s="537">
        <v>848733359.76999998</v>
      </c>
      <c r="D11" s="537"/>
      <c r="E11" s="537">
        <v>0</v>
      </c>
      <c r="F11" s="537"/>
      <c r="G11" s="537"/>
      <c r="H11" s="537"/>
      <c r="I11" s="537">
        <v>0</v>
      </c>
      <c r="J11" s="537"/>
      <c r="K11" s="537">
        <v>0</v>
      </c>
      <c r="L11" s="537"/>
      <c r="M11" s="537">
        <v>0</v>
      </c>
      <c r="N11" s="537"/>
      <c r="O11" s="537">
        <v>0</v>
      </c>
      <c r="P11" s="537"/>
      <c r="Q11" s="537">
        <v>0</v>
      </c>
      <c r="R11" s="538"/>
      <c r="S11" s="167">
        <f t="shared" si="0"/>
        <v>0</v>
      </c>
      <c r="T11" s="540"/>
    </row>
    <row r="12" spans="1:20" s="78" customFormat="1">
      <c r="A12" s="68">
        <v>5</v>
      </c>
      <c r="B12" s="96" t="s">
        <v>939</v>
      </c>
      <c r="C12" s="537">
        <v>0</v>
      </c>
      <c r="D12" s="537"/>
      <c r="E12" s="537">
        <v>0</v>
      </c>
      <c r="F12" s="537"/>
      <c r="G12" s="537"/>
      <c r="H12" s="537"/>
      <c r="I12" s="537">
        <v>0</v>
      </c>
      <c r="J12" s="537"/>
      <c r="K12" s="537">
        <v>0</v>
      </c>
      <c r="L12" s="537"/>
      <c r="M12" s="537">
        <v>0</v>
      </c>
      <c r="N12" s="537"/>
      <c r="O12" s="537">
        <v>0</v>
      </c>
      <c r="P12" s="537"/>
      <c r="Q12" s="537">
        <v>0</v>
      </c>
      <c r="R12" s="538"/>
      <c r="S12" s="167">
        <f t="shared" si="0"/>
        <v>0</v>
      </c>
      <c r="T12" s="540"/>
    </row>
    <row r="13" spans="1:20" s="78" customFormat="1">
      <c r="A13" s="68">
        <v>6</v>
      </c>
      <c r="B13" s="96" t="s">
        <v>136</v>
      </c>
      <c r="C13" s="537">
        <v>0</v>
      </c>
      <c r="D13" s="537"/>
      <c r="E13" s="537">
        <v>528757353.14789999</v>
      </c>
      <c r="F13" s="537"/>
      <c r="G13" s="537">
        <v>0</v>
      </c>
      <c r="H13" s="537"/>
      <c r="I13" s="537">
        <v>33828408.905000001</v>
      </c>
      <c r="J13" s="537"/>
      <c r="K13" s="537">
        <v>0</v>
      </c>
      <c r="L13" s="537"/>
      <c r="M13" s="537">
        <v>14200514.466800001</v>
      </c>
      <c r="N13" s="537"/>
      <c r="O13" s="537">
        <v>0</v>
      </c>
      <c r="P13" s="537"/>
      <c r="Q13" s="537">
        <v>0</v>
      </c>
      <c r="R13" s="538"/>
      <c r="S13" s="167">
        <f t="shared" si="0"/>
        <v>136866189.54888001</v>
      </c>
      <c r="T13" s="540"/>
    </row>
    <row r="14" spans="1:20" s="78" customFormat="1">
      <c r="A14" s="68">
        <v>7</v>
      </c>
      <c r="B14" s="96" t="s">
        <v>69</v>
      </c>
      <c r="C14" s="537"/>
      <c r="D14" s="537"/>
      <c r="E14" s="537">
        <v>0</v>
      </c>
      <c r="F14" s="537"/>
      <c r="G14" s="537">
        <v>0</v>
      </c>
      <c r="H14" s="537"/>
      <c r="I14" s="537">
        <v>0</v>
      </c>
      <c r="J14" s="537"/>
      <c r="K14" s="537">
        <v>0</v>
      </c>
      <c r="L14" s="537"/>
      <c r="M14" s="537">
        <v>6799750569.6752996</v>
      </c>
      <c r="N14" s="537">
        <v>994058923.59554994</v>
      </c>
      <c r="O14" s="537">
        <v>0</v>
      </c>
      <c r="P14" s="537"/>
      <c r="Q14" s="537">
        <v>0</v>
      </c>
      <c r="R14" s="538"/>
      <c r="S14" s="167">
        <f t="shared" si="0"/>
        <v>7793809493.2708492</v>
      </c>
      <c r="T14" s="540"/>
    </row>
    <row r="15" spans="1:20" s="78" customFormat="1">
      <c r="A15" s="68">
        <v>8</v>
      </c>
      <c r="B15" s="96" t="s">
        <v>70</v>
      </c>
      <c r="C15" s="537"/>
      <c r="D15" s="537"/>
      <c r="E15" s="537"/>
      <c r="F15" s="537"/>
      <c r="G15" s="537">
        <v>0</v>
      </c>
      <c r="H15" s="537"/>
      <c r="I15" s="537">
        <v>0</v>
      </c>
      <c r="J15" s="537"/>
      <c r="K15" s="537">
        <v>6147838724.1634998</v>
      </c>
      <c r="L15" s="537">
        <v>115483203.59130001</v>
      </c>
      <c r="M15" s="537">
        <v>0</v>
      </c>
      <c r="N15" s="537">
        <v>0</v>
      </c>
      <c r="O15" s="537"/>
      <c r="P15" s="537"/>
      <c r="Q15" s="537">
        <v>0</v>
      </c>
      <c r="R15" s="538"/>
      <c r="S15" s="167">
        <f t="shared" si="0"/>
        <v>4697491445.8161001</v>
      </c>
      <c r="T15" s="540"/>
    </row>
    <row r="16" spans="1:20" s="78" customFormat="1">
      <c r="A16" s="68">
        <v>9</v>
      </c>
      <c r="B16" s="96" t="s">
        <v>940</v>
      </c>
      <c r="C16" s="537"/>
      <c r="D16" s="537"/>
      <c r="E16" s="537"/>
      <c r="F16" s="537"/>
      <c r="G16" s="537">
        <v>4337351809.1826</v>
      </c>
      <c r="H16" s="537"/>
      <c r="I16" s="537">
        <v>0</v>
      </c>
      <c r="J16" s="537"/>
      <c r="K16" s="537">
        <v>0</v>
      </c>
      <c r="L16" s="537"/>
      <c r="M16" s="537">
        <v>0</v>
      </c>
      <c r="N16" s="537"/>
      <c r="O16" s="537">
        <v>0</v>
      </c>
      <c r="P16" s="537"/>
      <c r="Q16" s="537">
        <v>0</v>
      </c>
      <c r="R16" s="538"/>
      <c r="S16" s="167">
        <f t="shared" si="0"/>
        <v>1518073133.2139099</v>
      </c>
      <c r="T16" s="540"/>
    </row>
    <row r="17" spans="1:22" s="78" customFormat="1">
      <c r="A17" s="68">
        <v>10</v>
      </c>
      <c r="B17" s="96" t="s">
        <v>65</v>
      </c>
      <c r="C17" s="537"/>
      <c r="D17" s="537"/>
      <c r="E17" s="537"/>
      <c r="F17" s="537"/>
      <c r="G17" s="537">
        <v>0</v>
      </c>
      <c r="H17" s="537"/>
      <c r="I17" s="537">
        <v>24434476.517100014</v>
      </c>
      <c r="J17" s="537"/>
      <c r="K17" s="537">
        <v>0</v>
      </c>
      <c r="L17" s="537"/>
      <c r="M17" s="537">
        <v>174278510.3619</v>
      </c>
      <c r="N17" s="537"/>
      <c r="O17" s="537">
        <v>2916821.4706999999</v>
      </c>
      <c r="P17" s="537"/>
      <c r="Q17" s="537">
        <v>0</v>
      </c>
      <c r="R17" s="538"/>
      <c r="S17" s="167">
        <f t="shared" si="0"/>
        <v>190870980.82650003</v>
      </c>
      <c r="T17" s="540"/>
    </row>
    <row r="18" spans="1:22" s="78" customFormat="1">
      <c r="A18" s="68">
        <v>11</v>
      </c>
      <c r="B18" s="96" t="s">
        <v>66</v>
      </c>
      <c r="C18" s="537"/>
      <c r="D18" s="537"/>
      <c r="E18" s="537"/>
      <c r="F18" s="537"/>
      <c r="G18" s="537">
        <v>0</v>
      </c>
      <c r="H18" s="537"/>
      <c r="I18" s="537">
        <v>0</v>
      </c>
      <c r="J18" s="537"/>
      <c r="K18" s="537">
        <v>0</v>
      </c>
      <c r="L18" s="537"/>
      <c r="M18" s="537">
        <v>93741616.600999996</v>
      </c>
      <c r="N18" s="537"/>
      <c r="O18" s="537">
        <v>94147743.183400005</v>
      </c>
      <c r="P18" s="537"/>
      <c r="Q18" s="537">
        <v>45510754.992701903</v>
      </c>
      <c r="R18" s="538"/>
      <c r="S18" s="167">
        <f t="shared" si="0"/>
        <v>348740118.85785472</v>
      </c>
      <c r="T18" s="540"/>
    </row>
    <row r="19" spans="1:22" s="78" customFormat="1">
      <c r="A19" s="68">
        <v>12</v>
      </c>
      <c r="B19" s="96" t="s">
        <v>67</v>
      </c>
      <c r="C19" s="537"/>
      <c r="D19" s="537"/>
      <c r="E19" s="537"/>
      <c r="F19" s="537"/>
      <c r="G19" s="537">
        <v>0</v>
      </c>
      <c r="H19" s="537"/>
      <c r="I19" s="537">
        <v>0</v>
      </c>
      <c r="J19" s="537"/>
      <c r="K19" s="537">
        <v>0</v>
      </c>
      <c r="L19" s="537"/>
      <c r="M19" s="537">
        <v>0</v>
      </c>
      <c r="N19" s="537"/>
      <c r="O19" s="537">
        <v>0</v>
      </c>
      <c r="P19" s="537"/>
      <c r="Q19" s="537">
        <v>0</v>
      </c>
      <c r="R19" s="538"/>
      <c r="S19" s="167">
        <f t="shared" si="0"/>
        <v>0</v>
      </c>
      <c r="T19" s="540"/>
    </row>
    <row r="20" spans="1:22" s="78" customFormat="1">
      <c r="A20" s="68">
        <v>13</v>
      </c>
      <c r="B20" s="96" t="s">
        <v>68</v>
      </c>
      <c r="C20" s="537"/>
      <c r="D20" s="537"/>
      <c r="E20" s="537"/>
      <c r="F20" s="537"/>
      <c r="G20" s="537">
        <v>0</v>
      </c>
      <c r="H20" s="537"/>
      <c r="I20" s="537">
        <v>0</v>
      </c>
      <c r="J20" s="537"/>
      <c r="K20" s="537">
        <v>0</v>
      </c>
      <c r="L20" s="537"/>
      <c r="M20" s="537">
        <v>0</v>
      </c>
      <c r="N20" s="537"/>
      <c r="O20" s="537">
        <v>0</v>
      </c>
      <c r="P20" s="537"/>
      <c r="Q20" s="537">
        <v>0</v>
      </c>
      <c r="R20" s="538"/>
      <c r="S20" s="167">
        <f t="shared" si="0"/>
        <v>0</v>
      </c>
      <c r="T20" s="540"/>
    </row>
    <row r="21" spans="1:22" s="78" customFormat="1">
      <c r="A21" s="68">
        <v>14</v>
      </c>
      <c r="B21" s="96" t="s">
        <v>152</v>
      </c>
      <c r="C21" s="537">
        <v>844702887.2529999</v>
      </c>
      <c r="D21" s="537"/>
      <c r="E21" s="537"/>
      <c r="F21" s="537"/>
      <c r="G21" s="537">
        <v>0</v>
      </c>
      <c r="H21" s="537"/>
      <c r="I21" s="537">
        <v>0</v>
      </c>
      <c r="J21" s="537"/>
      <c r="K21" s="537">
        <v>0</v>
      </c>
      <c r="L21" s="537"/>
      <c r="M21" s="537">
        <v>1011835975.0890166</v>
      </c>
      <c r="N21" s="537"/>
      <c r="O21" s="537">
        <v>0</v>
      </c>
      <c r="P21" s="537"/>
      <c r="Q21" s="537">
        <v>148568390.82529998</v>
      </c>
      <c r="R21" s="538"/>
      <c r="S21" s="167">
        <f t="shared" si="0"/>
        <v>1383256952.1522665</v>
      </c>
      <c r="T21" s="540"/>
    </row>
    <row r="22" spans="1:22" ht="13.5" thickBot="1">
      <c r="A22" s="50"/>
      <c r="B22" s="80" t="s">
        <v>64</v>
      </c>
      <c r="C22" s="138">
        <f>SUM(C8:C21)</f>
        <v>5398650318.6230001</v>
      </c>
      <c r="D22" s="138">
        <f t="shared" ref="D22:S22" si="1">SUM(D8:D21)</f>
        <v>0</v>
      </c>
      <c r="E22" s="138">
        <f t="shared" si="1"/>
        <v>528757353.14789999</v>
      </c>
      <c r="F22" s="138">
        <f t="shared" si="1"/>
        <v>0</v>
      </c>
      <c r="G22" s="138">
        <f t="shared" si="1"/>
        <v>4337351809.1826</v>
      </c>
      <c r="H22" s="138">
        <f t="shared" si="1"/>
        <v>0</v>
      </c>
      <c r="I22" s="138">
        <f t="shared" si="1"/>
        <v>58262885.422100015</v>
      </c>
      <c r="J22" s="138">
        <f t="shared" si="1"/>
        <v>0</v>
      </c>
      <c r="K22" s="138">
        <f t="shared" si="1"/>
        <v>6147838724.5135002</v>
      </c>
      <c r="L22" s="138">
        <f t="shared" si="1"/>
        <v>115483203.59130001</v>
      </c>
      <c r="M22" s="138">
        <f t="shared" si="1"/>
        <v>9954974202.1940155</v>
      </c>
      <c r="N22" s="138">
        <f t="shared" si="1"/>
        <v>994058923.59554994</v>
      </c>
      <c r="O22" s="138">
        <f t="shared" si="1"/>
        <v>97064564.654100001</v>
      </c>
      <c r="P22" s="138">
        <f t="shared" si="1"/>
        <v>0</v>
      </c>
      <c r="Q22" s="138">
        <f t="shared" si="1"/>
        <v>194079145.81800187</v>
      </c>
      <c r="R22" s="138">
        <f t="shared" si="1"/>
        <v>0</v>
      </c>
      <c r="S22" s="168">
        <f t="shared" si="1"/>
        <v>17930275329.94886</v>
      </c>
      <c r="T22" s="541"/>
    </row>
    <row r="24" spans="1:22">
      <c r="C24" s="539"/>
      <c r="E24" s="539"/>
      <c r="G24" s="539"/>
      <c r="I24" s="539"/>
      <c r="K24" s="539"/>
      <c r="M24" s="539"/>
      <c r="O24" s="539"/>
      <c r="Q24" s="539"/>
      <c r="S24" s="489">
        <f>S22-'[4]Risk Weighted Risk Exposures'!$P$48-'[4]Risk Weighted Risk Exposures'!$O$78</f>
        <v>0.26250004768371582</v>
      </c>
    </row>
    <row r="30" spans="1:22">
      <c r="C30" s="539"/>
      <c r="D30" s="539"/>
      <c r="E30" s="539"/>
      <c r="F30" s="539"/>
      <c r="G30" s="539"/>
      <c r="H30" s="539"/>
      <c r="I30" s="539"/>
      <c r="J30" s="539"/>
      <c r="K30" s="539"/>
      <c r="L30" s="539"/>
      <c r="M30" s="539"/>
      <c r="N30" s="539"/>
      <c r="O30" s="539"/>
      <c r="P30" s="539"/>
      <c r="Q30" s="539"/>
      <c r="R30" s="539"/>
      <c r="S30" s="539"/>
      <c r="T30" s="539"/>
      <c r="U30" s="539"/>
      <c r="V30" s="539"/>
    </row>
    <row r="31" spans="1:22">
      <c r="B31" s="2" t="s">
        <v>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106</v>
      </c>
      <c r="B1" s="192" t="str">
        <f>Info!C2</f>
        <v>სს ”საქართველოს ბანკი”</v>
      </c>
    </row>
    <row r="2" spans="1:22">
      <c r="A2" s="2" t="s">
        <v>107</v>
      </c>
      <c r="B2" s="281">
        <f>'1. key ratios'!B2</f>
        <v>45107</v>
      </c>
      <c r="E2" s="2">
        <v>0</v>
      </c>
    </row>
    <row r="3" spans="1:22" ht="15">
      <c r="M3" s="544" t="s">
        <v>950</v>
      </c>
      <c r="N3" s="544"/>
      <c r="O3" s="544" t="s">
        <v>951</v>
      </c>
      <c r="P3" s="544"/>
      <c r="Q3" s="544"/>
      <c r="R3" s="544" t="s">
        <v>952</v>
      </c>
    </row>
    <row r="4" spans="1:22" ht="27.75" thickBot="1">
      <c r="A4" s="2" t="s">
        <v>257</v>
      </c>
      <c r="B4" s="163" t="s">
        <v>292</v>
      </c>
      <c r="V4" s="118" t="s">
        <v>85</v>
      </c>
    </row>
    <row r="5" spans="1:22">
      <c r="A5" s="48"/>
      <c r="B5" s="49"/>
      <c r="C5" s="825" t="s">
        <v>114</v>
      </c>
      <c r="D5" s="826"/>
      <c r="E5" s="826"/>
      <c r="F5" s="826"/>
      <c r="G5" s="826"/>
      <c r="H5" s="826"/>
      <c r="I5" s="826"/>
      <c r="J5" s="826"/>
      <c r="K5" s="826"/>
      <c r="L5" s="827"/>
      <c r="M5" s="825" t="s">
        <v>115</v>
      </c>
      <c r="N5" s="826"/>
      <c r="O5" s="826"/>
      <c r="P5" s="826"/>
      <c r="Q5" s="826"/>
      <c r="R5" s="826"/>
      <c r="S5" s="827"/>
      <c r="T5" s="830" t="s">
        <v>290</v>
      </c>
      <c r="U5" s="830" t="s">
        <v>289</v>
      </c>
      <c r="V5" s="828" t="s">
        <v>116</v>
      </c>
    </row>
    <row r="6" spans="1:22" s="35" customFormat="1" ht="127.5">
      <c r="A6" s="66"/>
      <c r="B6" s="97"/>
      <c r="C6" s="46" t="s">
        <v>117</v>
      </c>
      <c r="D6" s="45" t="s">
        <v>118</v>
      </c>
      <c r="E6" s="42" t="s">
        <v>119</v>
      </c>
      <c r="F6" s="164" t="s">
        <v>284</v>
      </c>
      <c r="G6" s="45" t="s">
        <v>120</v>
      </c>
      <c r="H6" s="45" t="s">
        <v>121</v>
      </c>
      <c r="I6" s="45" t="s">
        <v>122</v>
      </c>
      <c r="J6" s="45" t="s">
        <v>151</v>
      </c>
      <c r="K6" s="45" t="s">
        <v>123</v>
      </c>
      <c r="L6" s="47" t="s">
        <v>124</v>
      </c>
      <c r="M6" s="46" t="s">
        <v>125</v>
      </c>
      <c r="N6" s="45" t="s">
        <v>126</v>
      </c>
      <c r="O6" s="45" t="s">
        <v>127</v>
      </c>
      <c r="P6" s="45" t="s">
        <v>128</v>
      </c>
      <c r="Q6" s="45" t="s">
        <v>129</v>
      </c>
      <c r="R6" s="45" t="s">
        <v>130</v>
      </c>
      <c r="S6" s="47" t="s">
        <v>131</v>
      </c>
      <c r="T6" s="831"/>
      <c r="U6" s="831"/>
      <c r="V6" s="829"/>
    </row>
    <row r="7" spans="1:22" s="78" customFormat="1">
      <c r="A7" s="79">
        <v>1</v>
      </c>
      <c r="B7" s="96" t="s">
        <v>132</v>
      </c>
      <c r="C7" s="139"/>
      <c r="D7" s="542">
        <v>0</v>
      </c>
      <c r="E7" s="542"/>
      <c r="F7" s="542"/>
      <c r="G7" s="542"/>
      <c r="H7" s="542"/>
      <c r="I7" s="542"/>
      <c r="J7" s="542"/>
      <c r="K7" s="542"/>
      <c r="L7" s="542"/>
      <c r="M7" s="542">
        <v>0</v>
      </c>
      <c r="N7" s="542"/>
      <c r="O7" s="542"/>
      <c r="P7" s="542"/>
      <c r="Q7" s="542"/>
      <c r="R7" s="542">
        <v>0</v>
      </c>
      <c r="S7" s="542"/>
      <c r="T7" s="158"/>
      <c r="U7" s="157"/>
      <c r="V7" s="140">
        <f>SUM(C7:S7)</f>
        <v>0</v>
      </c>
    </row>
    <row r="8" spans="1:22" s="78" customFormat="1">
      <c r="A8" s="79">
        <v>2</v>
      </c>
      <c r="B8" s="96" t="s">
        <v>133</v>
      </c>
      <c r="C8" s="139"/>
      <c r="D8" s="542">
        <v>0</v>
      </c>
      <c r="E8" s="542"/>
      <c r="F8" s="542"/>
      <c r="G8" s="542"/>
      <c r="H8" s="542"/>
      <c r="I8" s="542"/>
      <c r="J8" s="542"/>
      <c r="K8" s="542"/>
      <c r="L8" s="542"/>
      <c r="M8" s="542"/>
      <c r="N8" s="542"/>
      <c r="O8" s="542"/>
      <c r="P8" s="542"/>
      <c r="Q8" s="542"/>
      <c r="R8" s="542">
        <v>0</v>
      </c>
      <c r="S8" s="542"/>
      <c r="T8" s="157"/>
      <c r="U8" s="157"/>
      <c r="V8" s="140">
        <f t="shared" ref="V8:V20" si="0">SUM(C8:S8)</f>
        <v>0</v>
      </c>
    </row>
    <row r="9" spans="1:22" s="78" customFormat="1">
      <c r="A9" s="79">
        <v>3</v>
      </c>
      <c r="B9" s="96" t="s">
        <v>134</v>
      </c>
      <c r="C9" s="139"/>
      <c r="D9" s="542">
        <v>0</v>
      </c>
      <c r="E9" s="542"/>
      <c r="F9" s="542"/>
      <c r="G9" s="542"/>
      <c r="H9" s="542"/>
      <c r="I9" s="542"/>
      <c r="J9" s="542"/>
      <c r="K9" s="542"/>
      <c r="L9" s="542"/>
      <c r="M9" s="542"/>
      <c r="N9" s="542"/>
      <c r="O9" s="542"/>
      <c r="P9" s="542"/>
      <c r="Q9" s="542"/>
      <c r="R9" s="542">
        <v>0</v>
      </c>
      <c r="S9" s="542"/>
      <c r="T9" s="157"/>
      <c r="U9" s="157"/>
      <c r="V9" s="140">
        <f>SUM(C9:S9)</f>
        <v>0</v>
      </c>
    </row>
    <row r="10" spans="1:22" s="78" customFormat="1">
      <c r="A10" s="79">
        <v>4</v>
      </c>
      <c r="B10" s="96" t="s">
        <v>135</v>
      </c>
      <c r="C10" s="139"/>
      <c r="D10" s="542">
        <v>0</v>
      </c>
      <c r="E10" s="542"/>
      <c r="F10" s="542"/>
      <c r="G10" s="542"/>
      <c r="H10" s="542"/>
      <c r="I10" s="542"/>
      <c r="J10" s="542"/>
      <c r="K10" s="542"/>
      <c r="L10" s="542"/>
      <c r="M10" s="542"/>
      <c r="N10" s="542"/>
      <c r="O10" s="542"/>
      <c r="P10" s="542"/>
      <c r="Q10" s="542"/>
      <c r="R10" s="542">
        <v>0</v>
      </c>
      <c r="S10" s="542"/>
      <c r="T10" s="157"/>
      <c r="U10" s="157"/>
      <c r="V10" s="140">
        <f t="shared" si="0"/>
        <v>0</v>
      </c>
    </row>
    <row r="11" spans="1:22" s="78" customFormat="1">
      <c r="A11" s="79">
        <v>5</v>
      </c>
      <c r="B11" s="96" t="s">
        <v>939</v>
      </c>
      <c r="C11" s="139"/>
      <c r="D11" s="542">
        <v>0</v>
      </c>
      <c r="E11" s="542"/>
      <c r="F11" s="542"/>
      <c r="G11" s="542"/>
      <c r="H11" s="542"/>
      <c r="I11" s="542"/>
      <c r="J11" s="542"/>
      <c r="K11" s="542"/>
      <c r="L11" s="542"/>
      <c r="M11" s="542"/>
      <c r="N11" s="542"/>
      <c r="O11" s="542"/>
      <c r="P11" s="542"/>
      <c r="Q11" s="542"/>
      <c r="R11" s="542">
        <v>0</v>
      </c>
      <c r="S11" s="542"/>
      <c r="T11" s="157"/>
      <c r="U11" s="157"/>
      <c r="V11" s="140">
        <f t="shared" si="0"/>
        <v>0</v>
      </c>
    </row>
    <row r="12" spans="1:22" s="78" customFormat="1">
      <c r="A12" s="79">
        <v>6</v>
      </c>
      <c r="B12" s="96" t="s">
        <v>136</v>
      </c>
      <c r="C12" s="139"/>
      <c r="D12" s="542">
        <v>0</v>
      </c>
      <c r="E12" s="542"/>
      <c r="F12" s="542"/>
      <c r="G12" s="542"/>
      <c r="H12" s="542"/>
      <c r="I12" s="542"/>
      <c r="J12" s="542"/>
      <c r="K12" s="542"/>
      <c r="L12" s="542"/>
      <c r="M12" s="542"/>
      <c r="N12" s="542"/>
      <c r="O12" s="542"/>
      <c r="P12" s="542"/>
      <c r="Q12" s="542"/>
      <c r="R12" s="542">
        <v>0</v>
      </c>
      <c r="S12" s="542"/>
      <c r="T12" s="157"/>
      <c r="U12" s="157"/>
      <c r="V12" s="140">
        <f t="shared" si="0"/>
        <v>0</v>
      </c>
    </row>
    <row r="13" spans="1:22" s="78" customFormat="1">
      <c r="A13" s="79">
        <v>7</v>
      </c>
      <c r="B13" s="96" t="s">
        <v>69</v>
      </c>
      <c r="C13" s="139"/>
      <c r="D13" s="542">
        <v>102259356.71439999</v>
      </c>
      <c r="E13" s="542"/>
      <c r="F13" s="542"/>
      <c r="G13" s="542"/>
      <c r="H13" s="542"/>
      <c r="I13" s="542"/>
      <c r="J13" s="542"/>
      <c r="K13" s="542"/>
      <c r="L13" s="542"/>
      <c r="M13" s="542">
        <v>16933042.908</v>
      </c>
      <c r="N13" s="542"/>
      <c r="O13" s="542">
        <v>72173689.687999994</v>
      </c>
      <c r="P13" s="542"/>
      <c r="Q13" s="542"/>
      <c r="R13" s="542">
        <v>163555661.2624</v>
      </c>
      <c r="S13" s="542"/>
      <c r="T13" s="157"/>
      <c r="U13" s="157"/>
      <c r="V13" s="140">
        <f t="shared" si="0"/>
        <v>354921750.57279998</v>
      </c>
    </row>
    <row r="14" spans="1:22" s="78" customFormat="1">
      <c r="A14" s="79">
        <v>8</v>
      </c>
      <c r="B14" s="96" t="s">
        <v>70</v>
      </c>
      <c r="C14" s="139"/>
      <c r="D14" s="542">
        <v>64939858.072300002</v>
      </c>
      <c r="E14" s="542"/>
      <c r="F14" s="542"/>
      <c r="G14" s="542"/>
      <c r="H14" s="542"/>
      <c r="I14" s="542"/>
      <c r="J14" s="542">
        <v>0</v>
      </c>
      <c r="K14" s="542"/>
      <c r="L14" s="542"/>
      <c r="M14" s="542">
        <v>4411983.7918999996</v>
      </c>
      <c r="N14" s="542"/>
      <c r="O14" s="542">
        <v>1499153.3404999999</v>
      </c>
      <c r="P14" s="542"/>
      <c r="Q14" s="542"/>
      <c r="R14" s="542">
        <v>0</v>
      </c>
      <c r="S14" s="542"/>
      <c r="T14" s="157"/>
      <c r="U14" s="157"/>
      <c r="V14" s="140">
        <f t="shared" si="0"/>
        <v>70850995.204699993</v>
      </c>
    </row>
    <row r="15" spans="1:22" s="78" customFormat="1">
      <c r="A15" s="79">
        <v>9</v>
      </c>
      <c r="B15" s="96" t="s">
        <v>940</v>
      </c>
      <c r="C15" s="139"/>
      <c r="D15" s="542">
        <v>518839.6568</v>
      </c>
      <c r="E15" s="542"/>
      <c r="F15" s="542"/>
      <c r="G15" s="542"/>
      <c r="H15" s="542"/>
      <c r="I15" s="542"/>
      <c r="J15" s="542"/>
      <c r="K15" s="542"/>
      <c r="L15" s="542"/>
      <c r="M15" s="542">
        <v>957479.68729999999</v>
      </c>
      <c r="N15" s="542"/>
      <c r="O15" s="542">
        <v>254172.53279999999</v>
      </c>
      <c r="P15" s="542"/>
      <c r="Q15" s="542"/>
      <c r="R15" s="542">
        <v>0</v>
      </c>
      <c r="S15" s="542"/>
      <c r="T15" s="157"/>
      <c r="U15" s="157"/>
      <c r="V15" s="140">
        <f t="shared" si="0"/>
        <v>1730491.8768999998</v>
      </c>
    </row>
    <row r="16" spans="1:22" s="78" customFormat="1">
      <c r="A16" s="79">
        <v>10</v>
      </c>
      <c r="B16" s="96" t="s">
        <v>65</v>
      </c>
      <c r="C16" s="139"/>
      <c r="D16" s="542">
        <v>2337427.9397999998</v>
      </c>
      <c r="E16" s="542"/>
      <c r="F16" s="542"/>
      <c r="G16" s="542"/>
      <c r="H16" s="542"/>
      <c r="I16" s="542"/>
      <c r="J16" s="542"/>
      <c r="K16" s="542"/>
      <c r="L16" s="542"/>
      <c r="M16" s="542">
        <v>981504.32393299998</v>
      </c>
      <c r="N16" s="542"/>
      <c r="O16" s="542">
        <v>1197774.7487400002</v>
      </c>
      <c r="P16" s="542"/>
      <c r="Q16" s="542"/>
      <c r="R16" s="542">
        <v>0</v>
      </c>
      <c r="S16" s="542"/>
      <c r="T16" s="157"/>
      <c r="U16" s="157"/>
      <c r="V16" s="140">
        <f t="shared" si="0"/>
        <v>4516707.0124730002</v>
      </c>
    </row>
    <row r="17" spans="1:22" s="78" customFormat="1">
      <c r="A17" s="79">
        <v>11</v>
      </c>
      <c r="B17" s="96" t="s">
        <v>66</v>
      </c>
      <c r="C17" s="139"/>
      <c r="D17" s="542">
        <v>447057.90100000001</v>
      </c>
      <c r="E17" s="542"/>
      <c r="F17" s="542"/>
      <c r="G17" s="542"/>
      <c r="H17" s="542"/>
      <c r="I17" s="542">
        <v>0</v>
      </c>
      <c r="J17" s="542"/>
      <c r="K17" s="542"/>
      <c r="L17" s="542"/>
      <c r="M17" s="542">
        <v>152963.9896</v>
      </c>
      <c r="N17" s="542"/>
      <c r="O17" s="542">
        <v>-5.7500000000000002E-2</v>
      </c>
      <c r="P17" s="542"/>
      <c r="Q17" s="542"/>
      <c r="R17" s="542">
        <v>0</v>
      </c>
      <c r="S17" s="542"/>
      <c r="T17" s="157"/>
      <c r="U17" s="157"/>
      <c r="V17" s="140">
        <f t="shared" si="0"/>
        <v>600021.83310000005</v>
      </c>
    </row>
    <row r="18" spans="1:22" s="78" customFormat="1">
      <c r="A18" s="79">
        <v>12</v>
      </c>
      <c r="B18" s="96" t="s">
        <v>67</v>
      </c>
      <c r="C18" s="139"/>
      <c r="D18" s="542">
        <v>0</v>
      </c>
      <c r="E18" s="542"/>
      <c r="F18" s="542"/>
      <c r="G18" s="542"/>
      <c r="H18" s="542"/>
      <c r="I18" s="542"/>
      <c r="J18" s="542"/>
      <c r="K18" s="542"/>
      <c r="L18" s="542"/>
      <c r="M18" s="542"/>
      <c r="N18" s="542"/>
      <c r="O18" s="542"/>
      <c r="P18" s="542"/>
      <c r="Q18" s="542"/>
      <c r="R18" s="542">
        <v>0</v>
      </c>
      <c r="S18" s="542"/>
      <c r="T18" s="157"/>
      <c r="U18" s="157"/>
      <c r="V18" s="140">
        <f t="shared" si="0"/>
        <v>0</v>
      </c>
    </row>
    <row r="19" spans="1:22" s="78" customFormat="1">
      <c r="A19" s="79">
        <v>13</v>
      </c>
      <c r="B19" s="96" t="s">
        <v>68</v>
      </c>
      <c r="C19" s="139"/>
      <c r="D19" s="542">
        <v>0</v>
      </c>
      <c r="E19" s="542"/>
      <c r="F19" s="542"/>
      <c r="G19" s="542"/>
      <c r="H19" s="542"/>
      <c r="I19" s="542"/>
      <c r="J19" s="542"/>
      <c r="K19" s="542"/>
      <c r="L19" s="542"/>
      <c r="M19" s="542"/>
      <c r="N19" s="542"/>
      <c r="O19" s="542"/>
      <c r="P19" s="542"/>
      <c r="Q19" s="542"/>
      <c r="R19" s="542">
        <v>0</v>
      </c>
      <c r="S19" s="542"/>
      <c r="T19" s="157"/>
      <c r="U19" s="157"/>
      <c r="V19" s="140">
        <f t="shared" si="0"/>
        <v>0</v>
      </c>
    </row>
    <row r="20" spans="1:22" s="78" customFormat="1">
      <c r="A20" s="79">
        <v>14</v>
      </c>
      <c r="B20" s="96" t="s">
        <v>152</v>
      </c>
      <c r="C20" s="139"/>
      <c r="D20" s="542">
        <v>0</v>
      </c>
      <c r="E20" s="542"/>
      <c r="F20" s="542"/>
      <c r="G20" s="542"/>
      <c r="H20" s="542"/>
      <c r="I20" s="542"/>
      <c r="J20" s="542"/>
      <c r="K20" s="542"/>
      <c r="L20" s="542"/>
      <c r="M20" s="542"/>
      <c r="N20" s="542"/>
      <c r="O20" s="542"/>
      <c r="P20" s="542"/>
      <c r="Q20" s="542"/>
      <c r="R20" s="542">
        <v>0</v>
      </c>
      <c r="S20" s="542"/>
      <c r="T20" s="157"/>
      <c r="U20" s="157"/>
      <c r="V20" s="140">
        <f t="shared" si="0"/>
        <v>0</v>
      </c>
    </row>
    <row r="21" spans="1:22" ht="13.5" thickBot="1">
      <c r="A21" s="50"/>
      <c r="B21" s="51" t="s">
        <v>64</v>
      </c>
      <c r="C21" s="141">
        <f>SUM(C7:C20)</f>
        <v>0</v>
      </c>
      <c r="D21" s="138">
        <f t="shared" ref="D21:V21" si="1">SUM(D7:D20)</f>
        <v>170502540.2843</v>
      </c>
      <c r="E21" s="138">
        <f t="shared" si="1"/>
        <v>0</v>
      </c>
      <c r="F21" s="138">
        <f t="shared" si="1"/>
        <v>0</v>
      </c>
      <c r="G21" s="138">
        <f t="shared" si="1"/>
        <v>0</v>
      </c>
      <c r="H21" s="138">
        <f t="shared" si="1"/>
        <v>0</v>
      </c>
      <c r="I21" s="138">
        <f t="shared" si="1"/>
        <v>0</v>
      </c>
      <c r="J21" s="138">
        <f t="shared" si="1"/>
        <v>0</v>
      </c>
      <c r="K21" s="138">
        <f t="shared" si="1"/>
        <v>0</v>
      </c>
      <c r="L21" s="142">
        <f t="shared" si="1"/>
        <v>0</v>
      </c>
      <c r="M21" s="141">
        <f t="shared" si="1"/>
        <v>23436974.700733002</v>
      </c>
      <c r="N21" s="138">
        <f t="shared" si="1"/>
        <v>0</v>
      </c>
      <c r="O21" s="138">
        <f t="shared" si="1"/>
        <v>75124790.252539992</v>
      </c>
      <c r="P21" s="138">
        <f t="shared" si="1"/>
        <v>0</v>
      </c>
      <c r="Q21" s="138">
        <f t="shared" si="1"/>
        <v>0</v>
      </c>
      <c r="R21" s="138">
        <f t="shared" si="1"/>
        <v>163555661.2624</v>
      </c>
      <c r="S21" s="142">
        <f t="shared" si="1"/>
        <v>0</v>
      </c>
      <c r="T21" s="142">
        <f>SUM(T7:T20)</f>
        <v>0</v>
      </c>
      <c r="U21" s="142">
        <f t="shared" si="1"/>
        <v>0</v>
      </c>
      <c r="V21" s="143">
        <f t="shared" si="1"/>
        <v>432619966.499973</v>
      </c>
    </row>
    <row r="23" spans="1:22">
      <c r="V23" s="539">
        <v>0</v>
      </c>
    </row>
    <row r="24" spans="1:22">
      <c r="A24" s="16"/>
      <c r="B24" s="16"/>
      <c r="C24" s="38"/>
      <c r="D24" s="543">
        <v>0</v>
      </c>
      <c r="E24" s="38"/>
    </row>
    <row r="25" spans="1:22">
      <c r="A25" s="43"/>
      <c r="B25" s="43"/>
      <c r="C25" s="16"/>
      <c r="D25" s="38"/>
      <c r="E25" s="38"/>
    </row>
    <row r="26" spans="1:22">
      <c r="A26" s="43"/>
      <c r="B26" s="44"/>
      <c r="C26" s="16"/>
      <c r="D26" s="38"/>
      <c r="E26" s="38"/>
    </row>
    <row r="27" spans="1:22">
      <c r="A27" s="43"/>
      <c r="B27" s="43"/>
      <c r="C27" s="16"/>
      <c r="D27" s="38"/>
      <c r="E27" s="38"/>
    </row>
    <row r="28" spans="1:22">
      <c r="A28" s="43"/>
      <c r="B28" s="44"/>
      <c r="C28" s="16"/>
      <c r="D28" s="38"/>
      <c r="E28" s="38"/>
    </row>
    <row r="31" spans="1:22">
      <c r="B31" s="2" t="s">
        <v>998</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106</v>
      </c>
      <c r="B1" s="192" t="str">
        <f>Info!C2</f>
        <v>სს ”საქართველოს ბანკი”</v>
      </c>
    </row>
    <row r="2" spans="1:9">
      <c r="A2" s="2" t="s">
        <v>107</v>
      </c>
      <c r="B2" s="281">
        <f>'1. key ratios'!B2</f>
        <v>45107</v>
      </c>
    </row>
    <row r="4" spans="1:9" ht="13.5" thickBot="1">
      <c r="A4" s="2" t="s">
        <v>258</v>
      </c>
      <c r="B4" s="160" t="s">
        <v>293</v>
      </c>
    </row>
    <row r="5" spans="1:9">
      <c r="A5" s="48"/>
      <c r="B5" s="76"/>
      <c r="C5" s="81" t="s">
        <v>0</v>
      </c>
      <c r="D5" s="81" t="s">
        <v>1</v>
      </c>
      <c r="E5" s="81" t="s">
        <v>2</v>
      </c>
      <c r="F5" s="81" t="s">
        <v>3</v>
      </c>
      <c r="G5" s="155" t="s">
        <v>4</v>
      </c>
      <c r="H5" s="82" t="s">
        <v>5</v>
      </c>
      <c r="I5" s="22"/>
    </row>
    <row r="6" spans="1:9">
      <c r="A6" s="75"/>
      <c r="B6" s="20"/>
      <c r="C6" s="832" t="s">
        <v>285</v>
      </c>
      <c r="D6" s="836" t="s">
        <v>306</v>
      </c>
      <c r="E6" s="837"/>
      <c r="F6" s="832" t="s">
        <v>312</v>
      </c>
      <c r="G6" s="832" t="s">
        <v>313</v>
      </c>
      <c r="H6" s="834" t="s">
        <v>287</v>
      </c>
      <c r="I6" s="22"/>
    </row>
    <row r="7" spans="1:9" ht="63.75">
      <c r="A7" s="75"/>
      <c r="B7" s="20"/>
      <c r="C7" s="833"/>
      <c r="D7" s="159" t="s">
        <v>288</v>
      </c>
      <c r="E7" s="159" t="s">
        <v>286</v>
      </c>
      <c r="F7" s="833"/>
      <c r="G7" s="833"/>
      <c r="H7" s="835"/>
      <c r="I7" s="22"/>
    </row>
    <row r="8" spans="1:9">
      <c r="A8" s="39">
        <v>1</v>
      </c>
      <c r="B8" s="96" t="s">
        <v>132</v>
      </c>
      <c r="C8" s="144">
        <v>5566381087.6000004</v>
      </c>
      <c r="D8" s="145"/>
      <c r="E8" s="144"/>
      <c r="F8" s="144">
        <f>'11. CRWA'!S8</f>
        <v>1861167016.2625</v>
      </c>
      <c r="G8" s="156">
        <f>'11. CRWA'!S8-'12. CRM'!V7</f>
        <v>1861167016.2625</v>
      </c>
      <c r="H8" s="165">
        <f>G8/(C8+E8)</f>
        <v>0.33435853330425863</v>
      </c>
    </row>
    <row r="9" spans="1:9">
      <c r="A9" s="39">
        <v>2</v>
      </c>
      <c r="B9" s="96" t="s">
        <v>133</v>
      </c>
      <c r="C9" s="144">
        <v>0</v>
      </c>
      <c r="D9" s="145"/>
      <c r="E9" s="144"/>
      <c r="F9" s="144">
        <f>'11. CRWA'!S9</f>
        <v>0</v>
      </c>
      <c r="G9" s="156">
        <f>'11. CRWA'!S9-'12. CRM'!V8</f>
        <v>0</v>
      </c>
      <c r="H9" s="165" t="e">
        <f t="shared" ref="H9:H21" si="0">G9/(C9+E9)</f>
        <v>#DIV/0!</v>
      </c>
    </row>
    <row r="10" spans="1:9">
      <c r="A10" s="39">
        <v>3</v>
      </c>
      <c r="B10" s="96" t="s">
        <v>134</v>
      </c>
      <c r="C10" s="144">
        <v>0</v>
      </c>
      <c r="D10" s="145"/>
      <c r="E10" s="144"/>
      <c r="F10" s="144">
        <f>'11. CRWA'!S10</f>
        <v>0</v>
      </c>
      <c r="G10" s="156">
        <f>'11. CRWA'!S10-'12. CRM'!V9</f>
        <v>0</v>
      </c>
      <c r="H10" s="165" t="e">
        <f t="shared" si="0"/>
        <v>#DIV/0!</v>
      </c>
    </row>
    <row r="11" spans="1:9">
      <c r="A11" s="39">
        <v>4</v>
      </c>
      <c r="B11" s="96" t="s">
        <v>135</v>
      </c>
      <c r="C11" s="144">
        <v>848733359.76999998</v>
      </c>
      <c r="D11" s="145"/>
      <c r="E11" s="144"/>
      <c r="F11" s="144">
        <f>'11. CRWA'!S11</f>
        <v>0</v>
      </c>
      <c r="G11" s="156">
        <f>'11. CRWA'!S11-'12. CRM'!V10</f>
        <v>0</v>
      </c>
      <c r="H11" s="165">
        <f t="shared" si="0"/>
        <v>0</v>
      </c>
    </row>
    <row r="12" spans="1:9">
      <c r="A12" s="39">
        <v>5</v>
      </c>
      <c r="B12" s="96" t="s">
        <v>939</v>
      </c>
      <c r="C12" s="144">
        <v>0</v>
      </c>
      <c r="D12" s="145"/>
      <c r="E12" s="144"/>
      <c r="F12" s="144">
        <f>'11. CRWA'!S12</f>
        <v>0</v>
      </c>
      <c r="G12" s="156">
        <f>'11. CRWA'!S12-'12. CRM'!V11</f>
        <v>0</v>
      </c>
      <c r="H12" s="165" t="e">
        <f t="shared" si="0"/>
        <v>#DIV/0!</v>
      </c>
    </row>
    <row r="13" spans="1:9">
      <c r="A13" s="39">
        <v>6</v>
      </c>
      <c r="B13" s="96" t="s">
        <v>136</v>
      </c>
      <c r="C13" s="144">
        <v>576786276.51969993</v>
      </c>
      <c r="D13" s="145"/>
      <c r="E13" s="144"/>
      <c r="F13" s="144">
        <f>'11. CRWA'!S13</f>
        <v>136866189.54888001</v>
      </c>
      <c r="G13" s="156">
        <f>'11. CRWA'!S13-'12. CRM'!V12</f>
        <v>136866189.54888001</v>
      </c>
      <c r="H13" s="165">
        <f t="shared" si="0"/>
        <v>0.23729099515807464</v>
      </c>
    </row>
    <row r="14" spans="1:9">
      <c r="A14" s="39">
        <v>7</v>
      </c>
      <c r="B14" s="96" t="s">
        <v>69</v>
      </c>
      <c r="C14" s="144">
        <v>6799750569.6752996</v>
      </c>
      <c r="D14" s="145">
        <v>2411827514.6238003</v>
      </c>
      <c r="E14" s="144">
        <v>994058923.59555006</v>
      </c>
      <c r="F14" s="144">
        <f>'11. CRWA'!S14</f>
        <v>7793809493.2708492</v>
      </c>
      <c r="G14" s="156">
        <f>'11. CRWA'!S14-'12. CRM'!V13</f>
        <v>7438887742.6980495</v>
      </c>
      <c r="H14" s="165">
        <f>G14/(C14+E14)</f>
        <v>0.95446106927822161</v>
      </c>
    </row>
    <row r="15" spans="1:9">
      <c r="A15" s="39">
        <v>8</v>
      </c>
      <c r="B15" s="96" t="s">
        <v>70</v>
      </c>
      <c r="C15" s="144">
        <v>6147838724.1634998</v>
      </c>
      <c r="D15" s="145">
        <v>230966407.18260002</v>
      </c>
      <c r="E15" s="144">
        <v>115483203.59130001</v>
      </c>
      <c r="F15" s="144">
        <f>'11. CRWA'!S15</f>
        <v>4697491445.8161001</v>
      </c>
      <c r="G15" s="156">
        <f>'11. CRWA'!S15-'12. CRM'!V14</f>
        <v>4626640450.6114006</v>
      </c>
      <c r="H15" s="165">
        <f t="shared" si="0"/>
        <v>0.73868795249199382</v>
      </c>
    </row>
    <row r="16" spans="1:9">
      <c r="A16" s="39">
        <v>9</v>
      </c>
      <c r="B16" s="96" t="s">
        <v>940</v>
      </c>
      <c r="C16" s="144">
        <v>4337351809.1826</v>
      </c>
      <c r="D16" s="145"/>
      <c r="E16" s="144"/>
      <c r="F16" s="144">
        <f>'11. CRWA'!S16</f>
        <v>1518073133.2139099</v>
      </c>
      <c r="G16" s="156">
        <f>'11. CRWA'!S16-'12. CRM'!V15</f>
        <v>1516342641.3370099</v>
      </c>
      <c r="H16" s="165">
        <f t="shared" si="0"/>
        <v>0.34960102570576901</v>
      </c>
    </row>
    <row r="17" spans="1:8">
      <c r="A17" s="39">
        <v>10</v>
      </c>
      <c r="B17" s="96" t="s">
        <v>65</v>
      </c>
      <c r="C17" s="144">
        <v>201629808.3497</v>
      </c>
      <c r="D17" s="145"/>
      <c r="E17" s="144"/>
      <c r="F17" s="144">
        <f>'11. CRWA'!S17</f>
        <v>190870980.82650003</v>
      </c>
      <c r="G17" s="156">
        <f>'11. CRWA'!S17-'12. CRM'!V16</f>
        <v>186354273.81402704</v>
      </c>
      <c r="H17" s="165">
        <f t="shared" si="0"/>
        <v>0.92423970115976306</v>
      </c>
    </row>
    <row r="18" spans="1:8">
      <c r="A18" s="39">
        <v>11</v>
      </c>
      <c r="B18" s="96" t="s">
        <v>66</v>
      </c>
      <c r="C18" s="144">
        <v>233400114.77710187</v>
      </c>
      <c r="D18" s="145"/>
      <c r="E18" s="144"/>
      <c r="F18" s="144">
        <f>'11. CRWA'!S18</f>
        <v>348740118.85785472</v>
      </c>
      <c r="G18" s="156">
        <f>'11. CRWA'!S18-'12. CRM'!V17</f>
        <v>348140097.0247547</v>
      </c>
      <c r="H18" s="165">
        <f t="shared" si="0"/>
        <v>1.491602081503816</v>
      </c>
    </row>
    <row r="19" spans="1:8">
      <c r="A19" s="39">
        <v>12</v>
      </c>
      <c r="B19" s="96" t="s">
        <v>67</v>
      </c>
      <c r="C19" s="144">
        <v>0</v>
      </c>
      <c r="D19" s="145"/>
      <c r="E19" s="144"/>
      <c r="F19" s="144">
        <f>'11. CRWA'!S19</f>
        <v>0</v>
      </c>
      <c r="G19" s="156">
        <f>'11. CRWA'!S19-'12. CRM'!V18</f>
        <v>0</v>
      </c>
      <c r="H19" s="165" t="e">
        <f t="shared" si="0"/>
        <v>#DIV/0!</v>
      </c>
    </row>
    <row r="20" spans="1:8">
      <c r="A20" s="39">
        <v>13</v>
      </c>
      <c r="B20" s="96" t="s">
        <v>68</v>
      </c>
      <c r="C20" s="144">
        <v>0</v>
      </c>
      <c r="D20" s="145"/>
      <c r="E20" s="144"/>
      <c r="F20" s="144">
        <f>'11. CRWA'!S20</f>
        <v>0</v>
      </c>
      <c r="G20" s="156">
        <f>'11. CRWA'!S20-'12. CRM'!V19</f>
        <v>0</v>
      </c>
      <c r="H20" s="165" t="e">
        <f t="shared" si="0"/>
        <v>#DIV/0!</v>
      </c>
    </row>
    <row r="21" spans="1:8">
      <c r="A21" s="39">
        <v>14</v>
      </c>
      <c r="B21" s="96" t="s">
        <v>152</v>
      </c>
      <c r="C21" s="144">
        <v>2184152718.6810164</v>
      </c>
      <c r="D21" s="145"/>
      <c r="E21" s="144"/>
      <c r="F21" s="144">
        <f>'11. CRWA'!S21</f>
        <v>1383256952.1522665</v>
      </c>
      <c r="G21" s="156">
        <f>'11. CRWA'!S21-'12. CRM'!V20</f>
        <v>1383256952.1522665</v>
      </c>
      <c r="H21" s="165">
        <f t="shared" si="0"/>
        <v>0.63331512504656673</v>
      </c>
    </row>
    <row r="22" spans="1:8" ht="13.5" thickBot="1">
      <c r="A22" s="77"/>
      <c r="B22" s="83" t="s">
        <v>64</v>
      </c>
      <c r="C22" s="138">
        <f>SUM(C8:C21)</f>
        <v>26896024468.718922</v>
      </c>
      <c r="D22" s="138">
        <f t="shared" ref="D22:G22" si="1">SUM(D8:D21)</f>
        <v>2642793921.8064003</v>
      </c>
      <c r="E22" s="138">
        <f t="shared" si="1"/>
        <v>1109542127.1868501</v>
      </c>
      <c r="F22" s="138">
        <f t="shared" si="1"/>
        <v>17930275329.94886</v>
      </c>
      <c r="G22" s="138">
        <f t="shared" si="1"/>
        <v>17497655363.448891</v>
      </c>
      <c r="H22" s="166">
        <f>G22/(C22+E22)</f>
        <v>0.62479204994934578</v>
      </c>
    </row>
    <row r="24" spans="1:8">
      <c r="C24" s="192"/>
      <c r="D24" s="192"/>
      <c r="E24" s="192"/>
      <c r="F24" s="192"/>
      <c r="G24" s="192"/>
      <c r="H24" s="192"/>
    </row>
    <row r="25" spans="1:8">
      <c r="C25" s="192"/>
      <c r="D25" s="192"/>
      <c r="E25" s="192"/>
      <c r="F25" s="760"/>
      <c r="G25" s="192"/>
      <c r="H25" s="192"/>
    </row>
    <row r="26" spans="1:8">
      <c r="C26" s="192"/>
      <c r="D26" s="192"/>
      <c r="E26" s="192"/>
      <c r="F26" s="192"/>
      <c r="G26" s="192"/>
      <c r="H26" s="192"/>
    </row>
    <row r="27" spans="1:8">
      <c r="C27" s="192"/>
      <c r="D27" s="192"/>
      <c r="E27" s="192"/>
      <c r="F27" s="192"/>
      <c r="G27" s="192"/>
      <c r="H27" s="192"/>
    </row>
    <row r="31" spans="1:8">
      <c r="B31" s="2" t="s">
        <v>998</v>
      </c>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192" bestFit="1" customWidth="1"/>
    <col min="2" max="2" width="104.140625" style="192" customWidth="1"/>
    <col min="3" max="11" width="12.7109375" style="192" customWidth="1"/>
    <col min="12" max="16384" width="9.140625" style="192"/>
  </cols>
  <sheetData>
    <row r="1" spans="1:11">
      <c r="A1" s="192" t="s">
        <v>106</v>
      </c>
      <c r="B1" s="192" t="str">
        <f>Info!C2</f>
        <v>სს ”საქართველოს ბანკი”</v>
      </c>
    </row>
    <row r="2" spans="1:11">
      <c r="A2" s="192" t="s">
        <v>107</v>
      </c>
      <c r="B2" s="281">
        <f>'1. key ratios'!B2</f>
        <v>45107</v>
      </c>
      <c r="C2" s="193"/>
      <c r="D2" s="193"/>
    </row>
    <row r="3" spans="1:11">
      <c r="B3" s="193"/>
      <c r="C3" s="193"/>
      <c r="D3" s="193"/>
    </row>
    <row r="4" spans="1:11" ht="13.5" thickBot="1">
      <c r="A4" s="192" t="s">
        <v>349</v>
      </c>
      <c r="B4" s="160" t="s">
        <v>348</v>
      </c>
      <c r="C4" s="193"/>
      <c r="D4" s="193"/>
    </row>
    <row r="5" spans="1:11">
      <c r="A5" s="841"/>
      <c r="B5" s="842"/>
      <c r="C5" s="839" t="s">
        <v>381</v>
      </c>
      <c r="D5" s="839"/>
      <c r="E5" s="839"/>
      <c r="F5" s="839" t="s">
        <v>382</v>
      </c>
      <c r="G5" s="839"/>
      <c r="H5" s="839"/>
      <c r="I5" s="839" t="s">
        <v>383</v>
      </c>
      <c r="J5" s="839"/>
      <c r="K5" s="840"/>
    </row>
    <row r="6" spans="1:11">
      <c r="A6" s="190"/>
      <c r="B6" s="191"/>
      <c r="C6" s="194" t="s">
        <v>25</v>
      </c>
      <c r="D6" s="194" t="s">
        <v>88</v>
      </c>
      <c r="E6" s="194" t="s">
        <v>64</v>
      </c>
      <c r="F6" s="194" t="s">
        <v>25</v>
      </c>
      <c r="G6" s="194" t="s">
        <v>88</v>
      </c>
      <c r="H6" s="194" t="s">
        <v>64</v>
      </c>
      <c r="I6" s="194" t="s">
        <v>25</v>
      </c>
      <c r="J6" s="194" t="s">
        <v>88</v>
      </c>
      <c r="K6" s="196" t="s">
        <v>64</v>
      </c>
    </row>
    <row r="7" spans="1:11">
      <c r="A7" s="197" t="s">
        <v>319</v>
      </c>
      <c r="B7" s="189"/>
      <c r="C7" s="598"/>
      <c r="D7" s="598"/>
      <c r="E7" s="598"/>
      <c r="F7" s="598"/>
      <c r="G7" s="598"/>
      <c r="H7" s="598"/>
      <c r="I7" s="598"/>
      <c r="J7" s="598"/>
      <c r="K7" s="599"/>
    </row>
    <row r="8" spans="1:11">
      <c r="A8" s="188">
        <v>1</v>
      </c>
      <c r="B8" s="173" t="s">
        <v>319</v>
      </c>
      <c r="C8" s="600"/>
      <c r="D8" s="600"/>
      <c r="E8" s="600"/>
      <c r="F8" s="602">
        <v>2267837542.7472959</v>
      </c>
      <c r="G8" s="602">
        <v>4433670262.6369963</v>
      </c>
      <c r="H8" s="602">
        <v>6701507805.3842936</v>
      </c>
      <c r="I8" s="602">
        <v>2256714648.6538892</v>
      </c>
      <c r="J8" s="602">
        <v>3875968178.4711337</v>
      </c>
      <c r="K8" s="603">
        <v>6132682827.1250286</v>
      </c>
    </row>
    <row r="9" spans="1:11">
      <c r="A9" s="197" t="s">
        <v>320</v>
      </c>
      <c r="B9" s="189"/>
      <c r="C9" s="598"/>
      <c r="D9" s="598"/>
      <c r="E9" s="598"/>
      <c r="F9" s="598"/>
      <c r="G9" s="598"/>
      <c r="H9" s="598"/>
      <c r="I9" s="598"/>
      <c r="J9" s="598"/>
      <c r="K9" s="599"/>
    </row>
    <row r="10" spans="1:11">
      <c r="A10" s="198">
        <v>2</v>
      </c>
      <c r="B10" s="174" t="s">
        <v>321</v>
      </c>
      <c r="C10" s="601">
        <v>3127893334.3080511</v>
      </c>
      <c r="D10" s="602">
        <v>6485763462.0900145</v>
      </c>
      <c r="E10" s="602">
        <v>9394760564.9015369</v>
      </c>
      <c r="F10" s="602">
        <v>600858565.67587435</v>
      </c>
      <c r="G10" s="602">
        <v>1580939043.805445</v>
      </c>
      <c r="H10" s="602">
        <v>2145595387.7100713</v>
      </c>
      <c r="I10" s="602">
        <v>178906021.56473184</v>
      </c>
      <c r="J10" s="602">
        <v>466247901.87065935</v>
      </c>
      <c r="K10" s="603">
        <v>634409528.11427522</v>
      </c>
    </row>
    <row r="11" spans="1:11">
      <c r="A11" s="198">
        <v>3</v>
      </c>
      <c r="B11" s="174" t="s">
        <v>322</v>
      </c>
      <c r="C11" s="601">
        <v>6883713633.2458019</v>
      </c>
      <c r="D11" s="602">
        <v>9210936251.1226921</v>
      </c>
      <c r="E11" s="602">
        <v>15618942520.005114</v>
      </c>
      <c r="F11" s="602">
        <v>2310699311.9960179</v>
      </c>
      <c r="G11" s="602">
        <v>2914488351.7088051</v>
      </c>
      <c r="H11" s="602">
        <v>5225187663.7048273</v>
      </c>
      <c r="I11" s="602">
        <v>1764656299.9780135</v>
      </c>
      <c r="J11" s="602">
        <v>1647553443.1349068</v>
      </c>
      <c r="K11" s="603">
        <v>3412209743.1129222</v>
      </c>
    </row>
    <row r="12" spans="1:11">
      <c r="A12" s="198">
        <v>4</v>
      </c>
      <c r="B12" s="174" t="s">
        <v>323</v>
      </c>
      <c r="C12" s="601">
        <v>1363481668.9960866</v>
      </c>
      <c r="D12" s="602">
        <v>59575732.378923915</v>
      </c>
      <c r="E12" s="602">
        <v>1316513923.114141</v>
      </c>
      <c r="F12" s="602">
        <v>0</v>
      </c>
      <c r="G12" s="602">
        <v>0</v>
      </c>
      <c r="H12" s="602">
        <v>0</v>
      </c>
      <c r="I12" s="602">
        <v>0</v>
      </c>
      <c r="J12" s="602">
        <v>0</v>
      </c>
      <c r="K12" s="603">
        <v>0</v>
      </c>
    </row>
    <row r="13" spans="1:11">
      <c r="A13" s="198">
        <v>5</v>
      </c>
      <c r="B13" s="174" t="s">
        <v>324</v>
      </c>
      <c r="C13" s="601">
        <v>1561941562.6585455</v>
      </c>
      <c r="D13" s="602">
        <v>986135568.01167369</v>
      </c>
      <c r="E13" s="602">
        <v>2429984210.7304368</v>
      </c>
      <c r="F13" s="602">
        <v>237943700.42895505</v>
      </c>
      <c r="G13" s="602">
        <v>160989116.26333296</v>
      </c>
      <c r="H13" s="602">
        <v>398932816.69228768</v>
      </c>
      <c r="I13" s="602">
        <v>94188935.379351631</v>
      </c>
      <c r="J13" s="602">
        <v>62843591.656104855</v>
      </c>
      <c r="K13" s="603">
        <v>157032527.03545657</v>
      </c>
    </row>
    <row r="14" spans="1:11">
      <c r="A14" s="198">
        <v>6</v>
      </c>
      <c r="B14" s="174" t="s">
        <v>339</v>
      </c>
      <c r="C14" s="601"/>
      <c r="D14" s="602"/>
      <c r="E14" s="602"/>
      <c r="F14" s="602"/>
      <c r="G14" s="602"/>
      <c r="H14" s="602"/>
      <c r="I14" s="602"/>
      <c r="J14" s="602"/>
      <c r="K14" s="603"/>
    </row>
    <row r="15" spans="1:11">
      <c r="A15" s="198">
        <v>7</v>
      </c>
      <c r="B15" s="174" t="s">
        <v>326</v>
      </c>
      <c r="C15" s="601">
        <v>215628075.34444129</v>
      </c>
      <c r="D15" s="602">
        <v>1277124589.4091113</v>
      </c>
      <c r="E15" s="602">
        <v>1480640056.1145096</v>
      </c>
      <c r="F15" s="602">
        <v>155463685.91516483</v>
      </c>
      <c r="G15" s="602">
        <v>1328549424.5287576</v>
      </c>
      <c r="H15" s="602">
        <v>1484013110.443923</v>
      </c>
      <c r="I15" s="602">
        <v>155463685.91516483</v>
      </c>
      <c r="J15" s="602">
        <v>1328549424.5287576</v>
      </c>
      <c r="K15" s="603">
        <v>1484013110.443923</v>
      </c>
    </row>
    <row r="16" spans="1:11">
      <c r="A16" s="198">
        <v>8</v>
      </c>
      <c r="B16" s="175" t="s">
        <v>327</v>
      </c>
      <c r="C16" s="601">
        <v>10024764940.244875</v>
      </c>
      <c r="D16" s="602">
        <v>11533772140.9224</v>
      </c>
      <c r="E16" s="602">
        <v>20846080709.964199</v>
      </c>
      <c r="F16" s="602">
        <v>2704106698.340138</v>
      </c>
      <c r="G16" s="602">
        <v>4404026892.5008955</v>
      </c>
      <c r="H16" s="602">
        <v>7108133590.8410378</v>
      </c>
      <c r="I16" s="602">
        <v>2014308921.2725301</v>
      </c>
      <c r="J16" s="602">
        <v>3038946459.3197689</v>
      </c>
      <c r="K16" s="603">
        <v>5053255380.5923023</v>
      </c>
    </row>
    <row r="17" spans="1:11">
      <c r="A17" s="197" t="s">
        <v>328</v>
      </c>
      <c r="B17" s="189"/>
      <c r="C17" s="598"/>
      <c r="D17" s="598"/>
      <c r="E17" s="598"/>
      <c r="F17" s="598"/>
      <c r="G17" s="598"/>
      <c r="H17" s="598"/>
      <c r="I17" s="598"/>
      <c r="J17" s="598"/>
      <c r="K17" s="599"/>
    </row>
    <row r="18" spans="1:11">
      <c r="A18" s="198">
        <v>9</v>
      </c>
      <c r="B18" s="174" t="s">
        <v>329</v>
      </c>
      <c r="C18" s="601"/>
      <c r="D18" s="602"/>
      <c r="E18" s="602"/>
      <c r="F18" s="602"/>
      <c r="G18" s="602"/>
      <c r="H18" s="602"/>
      <c r="I18" s="602"/>
      <c r="J18" s="602"/>
      <c r="K18" s="603"/>
    </row>
    <row r="19" spans="1:11">
      <c r="A19" s="198">
        <v>10</v>
      </c>
      <c r="B19" s="174" t="s">
        <v>330</v>
      </c>
      <c r="C19" s="601">
        <v>363845438.1717025</v>
      </c>
      <c r="D19" s="602">
        <v>221916422.69260171</v>
      </c>
      <c r="E19" s="602">
        <v>558074543.78820968</v>
      </c>
      <c r="F19" s="602">
        <v>179337232.84939507</v>
      </c>
      <c r="G19" s="602">
        <v>105378469.37329236</v>
      </c>
      <c r="H19" s="602">
        <v>284715702.2226873</v>
      </c>
      <c r="I19" s="602">
        <v>198506488.07840607</v>
      </c>
      <c r="J19" s="602">
        <v>685121579.86376047</v>
      </c>
      <c r="K19" s="603">
        <v>883628067.94216645</v>
      </c>
    </row>
    <row r="20" spans="1:11">
      <c r="A20" s="198">
        <v>11</v>
      </c>
      <c r="B20" s="174" t="s">
        <v>331</v>
      </c>
      <c r="C20" s="601">
        <v>307044909.60095203</v>
      </c>
      <c r="D20" s="602">
        <v>937605632.4957751</v>
      </c>
      <c r="E20" s="602">
        <v>1224283122.9603148</v>
      </c>
      <c r="F20" s="602">
        <v>262979955.80146906</v>
      </c>
      <c r="G20" s="602">
        <v>968068576.08904493</v>
      </c>
      <c r="H20" s="602">
        <v>1231048531.8905151</v>
      </c>
      <c r="I20" s="602">
        <v>262979955.80146906</v>
      </c>
      <c r="J20" s="602">
        <v>968068576.08904493</v>
      </c>
      <c r="K20" s="603">
        <v>1231048531.8905151</v>
      </c>
    </row>
    <row r="21" spans="1:11" ht="13.5" thickBot="1">
      <c r="A21" s="120">
        <v>12</v>
      </c>
      <c r="B21" s="199" t="s">
        <v>332</v>
      </c>
      <c r="C21" s="725">
        <v>670890347.77265453</v>
      </c>
      <c r="D21" s="726">
        <v>1159522055.1883769</v>
      </c>
      <c r="E21" s="725">
        <v>1782357666.7485244</v>
      </c>
      <c r="F21" s="726">
        <v>442317188.65086412</v>
      </c>
      <c r="G21" s="726">
        <v>1073447045.4623373</v>
      </c>
      <c r="H21" s="726">
        <v>1515764234.1132023</v>
      </c>
      <c r="I21" s="726">
        <v>461486443.87987512</v>
      </c>
      <c r="J21" s="726">
        <v>1653190155.9528055</v>
      </c>
      <c r="K21" s="727">
        <v>2114676599.8326817</v>
      </c>
    </row>
    <row r="22" spans="1:11" ht="13.5" thickBot="1">
      <c r="A22" s="186"/>
      <c r="B22" s="187"/>
      <c r="C22" s="187"/>
      <c r="D22" s="187"/>
      <c r="E22" s="187"/>
      <c r="F22" s="838" t="s">
        <v>333</v>
      </c>
      <c r="G22" s="839"/>
      <c r="H22" s="839"/>
      <c r="I22" s="838" t="s">
        <v>334</v>
      </c>
      <c r="J22" s="839"/>
      <c r="K22" s="840"/>
    </row>
    <row r="23" spans="1:11">
      <c r="A23" s="179">
        <v>13</v>
      </c>
      <c r="B23" s="176" t="s">
        <v>319</v>
      </c>
      <c r="C23" s="185"/>
      <c r="D23" s="185"/>
      <c r="E23" s="185"/>
      <c r="F23" s="602">
        <f>F8</f>
        <v>2267837542.7472959</v>
      </c>
      <c r="G23" s="602">
        <f t="shared" ref="G23:K23" si="0">G8</f>
        <v>4433670262.6369963</v>
      </c>
      <c r="H23" s="602">
        <f t="shared" si="0"/>
        <v>6701507805.3842936</v>
      </c>
      <c r="I23" s="602">
        <f t="shared" si="0"/>
        <v>2256714648.6538892</v>
      </c>
      <c r="J23" s="602">
        <f t="shared" si="0"/>
        <v>3875968178.4711337</v>
      </c>
      <c r="K23" s="602">
        <f t="shared" si="0"/>
        <v>6132682827.1250286</v>
      </c>
    </row>
    <row r="24" spans="1:11" ht="13.5" thickBot="1">
      <c r="A24" s="180">
        <v>14</v>
      </c>
      <c r="B24" s="177" t="s">
        <v>335</v>
      </c>
      <c r="C24" s="200"/>
      <c r="D24" s="183"/>
      <c r="E24" s="184"/>
      <c r="F24" s="602">
        <f>F16-F21</f>
        <v>2261789509.6892738</v>
      </c>
      <c r="G24" s="602">
        <f t="shared" ref="G24:K24" si="1">G16-G21</f>
        <v>3330579847.038558</v>
      </c>
      <c r="H24" s="602">
        <f t="shared" si="1"/>
        <v>5592369356.7278357</v>
      </c>
      <c r="I24" s="602">
        <f t="shared" si="1"/>
        <v>1552822477.3926549</v>
      </c>
      <c r="J24" s="602">
        <f t="shared" si="1"/>
        <v>1385756303.3669634</v>
      </c>
      <c r="K24" s="602">
        <f t="shared" si="1"/>
        <v>2938578780.7596207</v>
      </c>
    </row>
    <row r="25" spans="1:11" ht="13.5" thickBot="1">
      <c r="A25" s="181">
        <v>15</v>
      </c>
      <c r="B25" s="178" t="s">
        <v>336</v>
      </c>
      <c r="C25" s="182"/>
      <c r="D25" s="182"/>
      <c r="E25" s="182"/>
      <c r="F25" s="604">
        <f>F23/F24</f>
        <v>1.0026740034968387</v>
      </c>
      <c r="G25" s="604">
        <f t="shared" ref="G25:K25" si="2">G23/G24</f>
        <v>1.3312007116656488</v>
      </c>
      <c r="H25" s="604">
        <f t="shared" si="2"/>
        <v>1.1983306856014655</v>
      </c>
      <c r="I25" s="604">
        <f t="shared" si="2"/>
        <v>1.4532985460405881</v>
      </c>
      <c r="J25" s="604">
        <f t="shared" si="2"/>
        <v>2.7970056272186663</v>
      </c>
      <c r="K25" s="604">
        <f t="shared" si="2"/>
        <v>2.086955390571402</v>
      </c>
    </row>
    <row r="28" spans="1:11" ht="38.25">
      <c r="B28" s="21" t="s">
        <v>380</v>
      </c>
    </row>
    <row r="31" spans="1:11">
      <c r="B31" s="192" t="s">
        <v>998</v>
      </c>
    </row>
    <row r="32" spans="1:11">
      <c r="F32" s="489"/>
      <c r="G32" s="489"/>
      <c r="H32" s="489"/>
      <c r="I32" s="489"/>
      <c r="J32" s="489"/>
      <c r="K32" s="489"/>
    </row>
    <row r="33" spans="6:11">
      <c r="F33" s="489"/>
      <c r="G33" s="489"/>
      <c r="H33" s="489"/>
      <c r="I33" s="489"/>
      <c r="J33" s="489"/>
      <c r="K33" s="489"/>
    </row>
    <row r="34" spans="6:11">
      <c r="F34" s="489"/>
      <c r="G34" s="489"/>
      <c r="H34" s="489"/>
      <c r="I34" s="489"/>
      <c r="J34" s="489"/>
      <c r="K34" s="489"/>
    </row>
    <row r="37" spans="6:11">
      <c r="F37" s="489"/>
      <c r="G37" s="489"/>
      <c r="H37" s="489"/>
      <c r="I37" s="489"/>
      <c r="J37" s="489"/>
      <c r="K37" s="489"/>
    </row>
    <row r="38" spans="6:11">
      <c r="F38" s="489"/>
      <c r="G38" s="489"/>
      <c r="H38" s="489"/>
      <c r="I38" s="489"/>
      <c r="J38" s="489"/>
      <c r="K38" s="489"/>
    </row>
    <row r="39" spans="6:11">
      <c r="F39" s="489"/>
      <c r="G39" s="489"/>
      <c r="H39" s="489"/>
      <c r="I39" s="489"/>
      <c r="J39" s="489"/>
      <c r="K39" s="489"/>
    </row>
    <row r="40" spans="6:11">
      <c r="F40" s="489"/>
      <c r="G40" s="489"/>
      <c r="H40" s="489"/>
      <c r="I40" s="489"/>
      <c r="J40" s="489"/>
      <c r="K40" s="489"/>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40625" defaultRowHeight="15"/>
  <cols>
    <col min="1" max="1" width="10.5703125" style="36" bestFit="1" customWidth="1"/>
    <col min="2" max="2" width="95" style="36" customWidth="1"/>
    <col min="3" max="3" width="18.7109375" style="36" customWidth="1"/>
    <col min="4" max="4" width="10" style="36" bestFit="1" customWidth="1"/>
    <col min="5" max="5" width="18.28515625" style="36" bestFit="1" customWidth="1"/>
    <col min="6" max="13" width="10.7109375" style="36" customWidth="1"/>
    <col min="14" max="14" width="31" style="36" bestFit="1" customWidth="1"/>
    <col min="15" max="16384" width="9.140625" style="10"/>
  </cols>
  <sheetData>
    <row r="1" spans="1:14">
      <c r="A1" s="5" t="s">
        <v>106</v>
      </c>
      <c r="B1" s="36" t="str">
        <f>Info!C2</f>
        <v>სს ”საქართველოს ბანკი”</v>
      </c>
    </row>
    <row r="2" spans="1:14">
      <c r="A2" s="36" t="s">
        <v>107</v>
      </c>
      <c r="B2" s="281">
        <f>'1. key ratios'!B2</f>
        <v>45107</v>
      </c>
    </row>
    <row r="4" spans="1:14" ht="15.75" thickBot="1">
      <c r="A4" s="2" t="s">
        <v>259</v>
      </c>
      <c r="B4" s="41" t="s">
        <v>72</v>
      </c>
    </row>
    <row r="5" spans="1:14" s="23" customFormat="1" ht="12.75">
      <c r="A5" s="92"/>
      <c r="B5" s="93"/>
      <c r="C5" s="94" t="s">
        <v>0</v>
      </c>
      <c r="D5" s="94" t="s">
        <v>1</v>
      </c>
      <c r="E5" s="94" t="s">
        <v>2</v>
      </c>
      <c r="F5" s="94" t="s">
        <v>3</v>
      </c>
      <c r="G5" s="94" t="s">
        <v>4</v>
      </c>
      <c r="H5" s="94" t="s">
        <v>5</v>
      </c>
      <c r="I5" s="94" t="s">
        <v>143</v>
      </c>
      <c r="J5" s="94" t="s">
        <v>144</v>
      </c>
      <c r="K5" s="94" t="s">
        <v>145</v>
      </c>
      <c r="L5" s="94" t="s">
        <v>146</v>
      </c>
      <c r="M5" s="94" t="s">
        <v>147</v>
      </c>
      <c r="N5" s="95" t="s">
        <v>148</v>
      </c>
    </row>
    <row r="6" spans="1:14" ht="45">
      <c r="A6" s="84"/>
      <c r="B6" s="53"/>
      <c r="C6" s="54" t="s">
        <v>82</v>
      </c>
      <c r="D6" s="55" t="s">
        <v>71</v>
      </c>
      <c r="E6" s="56" t="s">
        <v>81</v>
      </c>
      <c r="F6" s="57">
        <v>0</v>
      </c>
      <c r="G6" s="57">
        <v>0.2</v>
      </c>
      <c r="H6" s="57">
        <v>0.35</v>
      </c>
      <c r="I6" s="57">
        <v>0.5</v>
      </c>
      <c r="J6" s="57">
        <v>0.75</v>
      </c>
      <c r="K6" s="57">
        <v>1</v>
      </c>
      <c r="L6" s="57">
        <v>1.5</v>
      </c>
      <c r="M6" s="57">
        <v>2.5</v>
      </c>
      <c r="N6" s="85" t="s">
        <v>72</v>
      </c>
    </row>
    <row r="7" spans="1:14">
      <c r="A7" s="86">
        <v>1</v>
      </c>
      <c r="B7" s="58" t="s">
        <v>73</v>
      </c>
      <c r="C7" s="146">
        <f>SUM(C8:C13)</f>
        <v>1408246816.395</v>
      </c>
      <c r="D7" s="53"/>
      <c r="E7" s="149">
        <f t="shared" ref="E7:M7" si="0">SUM(E8:E13)</f>
        <v>29184594.808658998</v>
      </c>
      <c r="F7" s="146">
        <f>SUM(F8:F13)</f>
        <v>0</v>
      </c>
      <c r="G7" s="146">
        <f t="shared" si="0"/>
        <v>23060746.600000001</v>
      </c>
      <c r="H7" s="146">
        <f t="shared" si="0"/>
        <v>0</v>
      </c>
      <c r="I7" s="146">
        <f t="shared" si="0"/>
        <v>3073742.1514059999</v>
      </c>
      <c r="J7" s="146">
        <f t="shared" si="0"/>
        <v>0</v>
      </c>
      <c r="K7" s="146">
        <f t="shared" si="0"/>
        <v>3050106.0572529971</v>
      </c>
      <c r="L7" s="146">
        <f t="shared" si="0"/>
        <v>0</v>
      </c>
      <c r="M7" s="146">
        <f t="shared" si="0"/>
        <v>0</v>
      </c>
      <c r="N7" s="87">
        <f>SUM(N8:N13)</f>
        <v>9199126.4529559985</v>
      </c>
    </row>
    <row r="8" spans="1:14">
      <c r="A8" s="86">
        <v>1.1000000000000001</v>
      </c>
      <c r="B8" s="59" t="s">
        <v>74</v>
      </c>
      <c r="C8" s="147">
        <v>1387120136</v>
      </c>
      <c r="D8" s="60">
        <v>0.02</v>
      </c>
      <c r="E8" s="149">
        <f>C8*D8</f>
        <v>27742402.719999999</v>
      </c>
      <c r="F8" s="147">
        <v>0</v>
      </c>
      <c r="G8" s="147">
        <v>23060746.600000001</v>
      </c>
      <c r="H8" s="147">
        <v>0</v>
      </c>
      <c r="I8" s="147">
        <v>3073742.1514059999</v>
      </c>
      <c r="J8" s="147">
        <v>0</v>
      </c>
      <c r="K8" s="147">
        <v>1607913.9685939969</v>
      </c>
      <c r="L8" s="147">
        <v>0</v>
      </c>
      <c r="M8" s="147">
        <v>0</v>
      </c>
      <c r="N8" s="87">
        <f>SUMPRODUCT($F$6:$M$6,F8:M8)</f>
        <v>7756934.364296997</v>
      </c>
    </row>
    <row r="9" spans="1:14">
      <c r="A9" s="86">
        <v>1.2</v>
      </c>
      <c r="B9" s="59" t="s">
        <v>75</v>
      </c>
      <c r="C9" s="147">
        <v>15511483.668500001</v>
      </c>
      <c r="D9" s="60">
        <v>0.05</v>
      </c>
      <c r="E9" s="149">
        <f>C9*D9</f>
        <v>775574.18342500005</v>
      </c>
      <c r="F9" s="147">
        <v>0</v>
      </c>
      <c r="G9" s="147">
        <v>0</v>
      </c>
      <c r="H9" s="147">
        <v>0</v>
      </c>
      <c r="I9" s="147">
        <v>0</v>
      </c>
      <c r="J9" s="147">
        <v>0</v>
      </c>
      <c r="K9" s="147">
        <v>775574.18342500005</v>
      </c>
      <c r="L9" s="147">
        <v>0</v>
      </c>
      <c r="M9" s="147">
        <v>0</v>
      </c>
      <c r="N9" s="87">
        <f t="shared" ref="N9:N12" si="1">SUMPRODUCT($F$6:$M$6,F9:M9)</f>
        <v>775574.18342500005</v>
      </c>
    </row>
    <row r="10" spans="1:14">
      <c r="A10" s="86">
        <v>1.3</v>
      </c>
      <c r="B10" s="59" t="s">
        <v>76</v>
      </c>
      <c r="C10" s="147">
        <v>1954708.8382999999</v>
      </c>
      <c r="D10" s="60">
        <v>0.08</v>
      </c>
      <c r="E10" s="149">
        <f>C10*D10</f>
        <v>156376.70706399999</v>
      </c>
      <c r="F10" s="147">
        <v>0</v>
      </c>
      <c r="G10" s="147">
        <v>0</v>
      </c>
      <c r="H10" s="147">
        <v>0</v>
      </c>
      <c r="I10" s="147">
        <v>0</v>
      </c>
      <c r="J10" s="147">
        <v>0</v>
      </c>
      <c r="K10" s="147">
        <v>156376.70706399999</v>
      </c>
      <c r="L10" s="147">
        <v>0</v>
      </c>
      <c r="M10" s="147">
        <v>0</v>
      </c>
      <c r="N10" s="87">
        <f>SUMPRODUCT($F$6:$M$6,F10:M10)</f>
        <v>156376.70706399999</v>
      </c>
    </row>
    <row r="11" spans="1:14">
      <c r="A11" s="86">
        <v>1.4</v>
      </c>
      <c r="B11" s="59" t="s">
        <v>77</v>
      </c>
      <c r="C11" s="147">
        <v>74236.872600000002</v>
      </c>
      <c r="D11" s="60">
        <v>0.11</v>
      </c>
      <c r="E11" s="149">
        <f>C11*D11</f>
        <v>8166.0559860000003</v>
      </c>
      <c r="F11" s="147">
        <v>0</v>
      </c>
      <c r="G11" s="147">
        <v>0</v>
      </c>
      <c r="H11" s="147">
        <v>0</v>
      </c>
      <c r="I11" s="147">
        <v>0</v>
      </c>
      <c r="J11" s="147">
        <v>0</v>
      </c>
      <c r="K11" s="147">
        <v>8166.0559860000003</v>
      </c>
      <c r="L11" s="147">
        <v>0</v>
      </c>
      <c r="M11" s="147">
        <v>0</v>
      </c>
      <c r="N11" s="87">
        <f t="shared" si="1"/>
        <v>8166.0559860000003</v>
      </c>
    </row>
    <row r="12" spans="1:14">
      <c r="A12" s="86">
        <v>1.5</v>
      </c>
      <c r="B12" s="59" t="s">
        <v>78</v>
      </c>
      <c r="C12" s="147">
        <v>3586251.0156</v>
      </c>
      <c r="D12" s="60">
        <v>0.14000000000000001</v>
      </c>
      <c r="E12" s="149">
        <f>C12*D12</f>
        <v>502075.14218400005</v>
      </c>
      <c r="F12" s="147">
        <v>0</v>
      </c>
      <c r="G12" s="147">
        <v>0</v>
      </c>
      <c r="H12" s="147">
        <v>0</v>
      </c>
      <c r="I12" s="147">
        <v>0</v>
      </c>
      <c r="J12" s="147">
        <v>0</v>
      </c>
      <c r="K12" s="147">
        <v>502075.14218400005</v>
      </c>
      <c r="L12" s="147">
        <v>0</v>
      </c>
      <c r="M12" s="147">
        <v>0</v>
      </c>
      <c r="N12" s="87">
        <f t="shared" si="1"/>
        <v>502075.14218400005</v>
      </c>
    </row>
    <row r="13" spans="1:14">
      <c r="A13" s="86">
        <v>1.6</v>
      </c>
      <c r="B13" s="61" t="s">
        <v>79</v>
      </c>
      <c r="C13" s="147">
        <v>0</v>
      </c>
      <c r="D13" s="62"/>
      <c r="E13" s="147"/>
      <c r="F13" s="147">
        <v>0</v>
      </c>
      <c r="G13" s="147">
        <v>0</v>
      </c>
      <c r="H13" s="147">
        <v>0</v>
      </c>
      <c r="I13" s="147">
        <v>0</v>
      </c>
      <c r="J13" s="147">
        <v>0</v>
      </c>
      <c r="K13" s="147">
        <v>0</v>
      </c>
      <c r="L13" s="147">
        <v>0</v>
      </c>
      <c r="M13" s="147">
        <v>0</v>
      </c>
      <c r="N13" s="87">
        <f>SUMPRODUCT($F$6:$M$6,F13:M13)</f>
        <v>0</v>
      </c>
    </row>
    <row r="14" spans="1:14">
      <c r="A14" s="86">
        <v>2</v>
      </c>
      <c r="B14" s="63" t="s">
        <v>80</v>
      </c>
      <c r="C14" s="146">
        <f>SUM(C15:C20)</f>
        <v>0</v>
      </c>
      <c r="D14" s="53"/>
      <c r="E14" s="149">
        <f t="shared" ref="E14:M14" si="2">SUM(E15:E20)</f>
        <v>0</v>
      </c>
      <c r="F14" s="147">
        <f t="shared" si="2"/>
        <v>0</v>
      </c>
      <c r="G14" s="147">
        <f t="shared" si="2"/>
        <v>0</v>
      </c>
      <c r="H14" s="147">
        <f t="shared" si="2"/>
        <v>0</v>
      </c>
      <c r="I14" s="147">
        <f t="shared" si="2"/>
        <v>0</v>
      </c>
      <c r="J14" s="147">
        <f t="shared" si="2"/>
        <v>0</v>
      </c>
      <c r="K14" s="147">
        <f t="shared" si="2"/>
        <v>0</v>
      </c>
      <c r="L14" s="147">
        <f t="shared" si="2"/>
        <v>0</v>
      </c>
      <c r="M14" s="147">
        <f t="shared" si="2"/>
        <v>0</v>
      </c>
      <c r="N14" s="87">
        <f>SUM(N15:N20)</f>
        <v>0</v>
      </c>
    </row>
    <row r="15" spans="1:14">
      <c r="A15" s="86">
        <v>2.1</v>
      </c>
      <c r="B15" s="61" t="s">
        <v>74</v>
      </c>
      <c r="C15" s="147"/>
      <c r="D15" s="60">
        <v>5.0000000000000001E-3</v>
      </c>
      <c r="E15" s="149">
        <f>C15*D15</f>
        <v>0</v>
      </c>
      <c r="F15" s="147"/>
      <c r="G15" s="147"/>
      <c r="H15" s="147"/>
      <c r="I15" s="147"/>
      <c r="J15" s="147"/>
      <c r="K15" s="147"/>
      <c r="L15" s="147"/>
      <c r="M15" s="147"/>
      <c r="N15" s="87">
        <f>SUMPRODUCT($F$6:$M$6,F15:M15)</f>
        <v>0</v>
      </c>
    </row>
    <row r="16" spans="1:14">
      <c r="A16" s="86">
        <v>2.2000000000000002</v>
      </c>
      <c r="B16" s="61" t="s">
        <v>75</v>
      </c>
      <c r="C16" s="147"/>
      <c r="D16" s="60">
        <v>0.01</v>
      </c>
      <c r="E16" s="149">
        <f>C16*D16</f>
        <v>0</v>
      </c>
      <c r="F16" s="147"/>
      <c r="G16" s="147"/>
      <c r="H16" s="147"/>
      <c r="I16" s="147"/>
      <c r="J16" s="147"/>
      <c r="K16" s="147"/>
      <c r="L16" s="147"/>
      <c r="M16" s="147"/>
      <c r="N16" s="87">
        <f t="shared" ref="N16:N20" si="3">SUMPRODUCT($F$6:$M$6,F16:M16)</f>
        <v>0</v>
      </c>
    </row>
    <row r="17" spans="1:14">
      <c r="A17" s="86">
        <v>2.2999999999999998</v>
      </c>
      <c r="B17" s="61" t="s">
        <v>76</v>
      </c>
      <c r="C17" s="147"/>
      <c r="D17" s="60">
        <v>0.02</v>
      </c>
      <c r="E17" s="149">
        <f>C17*D17</f>
        <v>0</v>
      </c>
      <c r="F17" s="147"/>
      <c r="G17" s="147"/>
      <c r="H17" s="147"/>
      <c r="I17" s="147"/>
      <c r="J17" s="147"/>
      <c r="K17" s="147"/>
      <c r="L17" s="147"/>
      <c r="M17" s="147"/>
      <c r="N17" s="87">
        <f t="shared" si="3"/>
        <v>0</v>
      </c>
    </row>
    <row r="18" spans="1:14">
      <c r="A18" s="86">
        <v>2.4</v>
      </c>
      <c r="B18" s="61" t="s">
        <v>77</v>
      </c>
      <c r="C18" s="147"/>
      <c r="D18" s="60">
        <v>0.03</v>
      </c>
      <c r="E18" s="149">
        <f>C18*D18</f>
        <v>0</v>
      </c>
      <c r="F18" s="147"/>
      <c r="G18" s="147"/>
      <c r="H18" s="147"/>
      <c r="I18" s="147"/>
      <c r="J18" s="147"/>
      <c r="K18" s="147"/>
      <c r="L18" s="147"/>
      <c r="M18" s="147"/>
      <c r="N18" s="87">
        <f t="shared" si="3"/>
        <v>0</v>
      </c>
    </row>
    <row r="19" spans="1:14">
      <c r="A19" s="86">
        <v>2.5</v>
      </c>
      <c r="B19" s="61" t="s">
        <v>78</v>
      </c>
      <c r="C19" s="147"/>
      <c r="D19" s="60">
        <v>0.04</v>
      </c>
      <c r="E19" s="149">
        <f>C19*D19</f>
        <v>0</v>
      </c>
      <c r="F19" s="147"/>
      <c r="G19" s="147"/>
      <c r="H19" s="147"/>
      <c r="I19" s="147"/>
      <c r="J19" s="147"/>
      <c r="K19" s="147"/>
      <c r="L19" s="147"/>
      <c r="M19" s="147"/>
      <c r="N19" s="87">
        <f t="shared" si="3"/>
        <v>0</v>
      </c>
    </row>
    <row r="20" spans="1:14">
      <c r="A20" s="86">
        <v>2.6</v>
      </c>
      <c r="B20" s="61" t="s">
        <v>79</v>
      </c>
      <c r="C20" s="147"/>
      <c r="D20" s="62"/>
      <c r="E20" s="150"/>
      <c r="F20" s="147"/>
      <c r="G20" s="147"/>
      <c r="H20" s="147"/>
      <c r="I20" s="147"/>
      <c r="J20" s="147"/>
      <c r="K20" s="147"/>
      <c r="L20" s="147"/>
      <c r="M20" s="147"/>
      <c r="N20" s="87">
        <f t="shared" si="3"/>
        <v>0</v>
      </c>
    </row>
    <row r="21" spans="1:14" ht="15.75" thickBot="1">
      <c r="A21" s="88">
        <v>3</v>
      </c>
      <c r="B21" s="89" t="s">
        <v>64</v>
      </c>
      <c r="C21" s="148">
        <f>C14+C7</f>
        <v>1408246816.395</v>
      </c>
      <c r="D21" s="90"/>
      <c r="E21" s="151">
        <f>E14+E7</f>
        <v>29184594.808658998</v>
      </c>
      <c r="F21" s="152">
        <f>F7+F14</f>
        <v>0</v>
      </c>
      <c r="G21" s="152">
        <f t="shared" ref="G21:L21" si="4">G7+G14</f>
        <v>23060746.600000001</v>
      </c>
      <c r="H21" s="152">
        <f t="shared" si="4"/>
        <v>0</v>
      </c>
      <c r="I21" s="152">
        <f t="shared" si="4"/>
        <v>3073742.1514059999</v>
      </c>
      <c r="J21" s="152">
        <f t="shared" si="4"/>
        <v>0</v>
      </c>
      <c r="K21" s="152">
        <f t="shared" si="4"/>
        <v>3050106.0572529971</v>
      </c>
      <c r="L21" s="152">
        <f t="shared" si="4"/>
        <v>0</v>
      </c>
      <c r="M21" s="152">
        <f>M7+M14</f>
        <v>0</v>
      </c>
      <c r="N21" s="91">
        <f>N14+N7</f>
        <v>9199126.4529559985</v>
      </c>
    </row>
    <row r="22" spans="1:14">
      <c r="E22" s="153"/>
      <c r="F22" s="153"/>
      <c r="G22" s="153"/>
      <c r="H22" s="153"/>
      <c r="I22" s="153"/>
      <c r="J22" s="153"/>
      <c r="K22" s="153"/>
      <c r="L22" s="153"/>
      <c r="M22" s="153"/>
    </row>
    <row r="31" spans="1:14">
      <c r="B31" s="36" t="s">
        <v>998</v>
      </c>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heetViews>
  <sheetFormatPr defaultRowHeight="15"/>
  <cols>
    <col min="1" max="1" width="11.42578125" customWidth="1"/>
    <col min="2" max="2" width="76.85546875" style="4" customWidth="1"/>
    <col min="3" max="3" width="22.85546875" customWidth="1"/>
  </cols>
  <sheetData>
    <row r="1" spans="1:3">
      <c r="A1" s="192" t="s">
        <v>106</v>
      </c>
      <c r="B1" t="str">
        <f>Info!C2</f>
        <v>სს ”საქართველოს ბანკი”</v>
      </c>
    </row>
    <row r="2" spans="1:3">
      <c r="A2" s="192" t="s">
        <v>107</v>
      </c>
      <c r="B2" s="281">
        <f>'1. key ratios'!B2</f>
        <v>45107</v>
      </c>
    </row>
    <row r="3" spans="1:3">
      <c r="A3" s="192"/>
      <c r="B3"/>
    </row>
    <row r="4" spans="1:3">
      <c r="A4" s="192" t="s">
        <v>424</v>
      </c>
      <c r="B4" t="s">
        <v>384</v>
      </c>
    </row>
    <row r="5" spans="1:3">
      <c r="A5" s="228"/>
      <c r="B5" s="228" t="s">
        <v>385</v>
      </c>
      <c r="C5" s="240"/>
    </row>
    <row r="6" spans="1:3">
      <c r="A6" s="229">
        <v>1</v>
      </c>
      <c r="B6" s="241" t="s">
        <v>436</v>
      </c>
      <c r="C6" s="648">
        <v>26896024468.718922</v>
      </c>
    </row>
    <row r="7" spans="1:3">
      <c r="A7" s="229">
        <v>2</v>
      </c>
      <c r="B7" s="241" t="s">
        <v>386</v>
      </c>
      <c r="C7" s="648">
        <v>-221054433.10059997</v>
      </c>
    </row>
    <row r="8" spans="1:3">
      <c r="A8" s="230">
        <v>3</v>
      </c>
      <c r="B8" s="242" t="s">
        <v>387</v>
      </c>
      <c r="C8" s="648">
        <f>C6+C7</f>
        <v>26674970035.61832</v>
      </c>
    </row>
    <row r="9" spans="1:3">
      <c r="A9" s="231"/>
      <c r="B9" s="231" t="s">
        <v>388</v>
      </c>
      <c r="C9" s="649"/>
    </row>
    <row r="10" spans="1:3">
      <c r="A10" s="232">
        <v>4</v>
      </c>
      <c r="B10" s="244" t="s">
        <v>389</v>
      </c>
      <c r="C10" s="650"/>
    </row>
    <row r="11" spans="1:3">
      <c r="A11" s="232">
        <v>5</v>
      </c>
      <c r="B11" s="245" t="s">
        <v>390</v>
      </c>
      <c r="C11" s="650"/>
    </row>
    <row r="12" spans="1:3">
      <c r="A12" s="232" t="s">
        <v>391</v>
      </c>
      <c r="B12" s="241" t="s">
        <v>392</v>
      </c>
      <c r="C12" s="648">
        <v>29184594.808658998</v>
      </c>
    </row>
    <row r="13" spans="1:3">
      <c r="A13" s="233">
        <v>6</v>
      </c>
      <c r="B13" s="246" t="s">
        <v>393</v>
      </c>
      <c r="C13" s="650"/>
    </row>
    <row r="14" spans="1:3">
      <c r="A14" s="233">
        <v>7</v>
      </c>
      <c r="B14" s="247" t="s">
        <v>394</v>
      </c>
      <c r="C14" s="650"/>
    </row>
    <row r="15" spans="1:3">
      <c r="A15" s="234">
        <v>8</v>
      </c>
      <c r="B15" s="241" t="s">
        <v>395</v>
      </c>
      <c r="C15" s="650"/>
    </row>
    <row r="16" spans="1:3" ht="24">
      <c r="A16" s="233">
        <v>9</v>
      </c>
      <c r="B16" s="247" t="s">
        <v>396</v>
      </c>
      <c r="C16" s="650"/>
    </row>
    <row r="17" spans="1:3">
      <c r="A17" s="233">
        <v>10</v>
      </c>
      <c r="B17" s="247" t="s">
        <v>397</v>
      </c>
      <c r="C17" s="650"/>
    </row>
    <row r="18" spans="1:3">
      <c r="A18" s="235">
        <v>11</v>
      </c>
      <c r="B18" s="248" t="s">
        <v>398</v>
      </c>
      <c r="C18" s="648">
        <f>SUM(C10:C17)</f>
        <v>29184594.808658998</v>
      </c>
    </row>
    <row r="19" spans="1:3">
      <c r="A19" s="231"/>
      <c r="B19" s="231" t="s">
        <v>399</v>
      </c>
      <c r="C19" s="649"/>
    </row>
    <row r="20" spans="1:3">
      <c r="A20" s="233">
        <v>12</v>
      </c>
      <c r="B20" s="244" t="s">
        <v>400</v>
      </c>
      <c r="C20" s="650"/>
    </row>
    <row r="21" spans="1:3">
      <c r="A21" s="233">
        <v>13</v>
      </c>
      <c r="B21" s="244" t="s">
        <v>401</v>
      </c>
      <c r="C21" s="650"/>
    </row>
    <row r="22" spans="1:3">
      <c r="A22" s="233">
        <v>14</v>
      </c>
      <c r="B22" s="244" t="s">
        <v>402</v>
      </c>
      <c r="C22" s="650"/>
    </row>
    <row r="23" spans="1:3" ht="24">
      <c r="A23" s="233" t="s">
        <v>403</v>
      </c>
      <c r="B23" s="244" t="s">
        <v>404</v>
      </c>
      <c r="C23" s="650"/>
    </row>
    <row r="24" spans="1:3">
      <c r="A24" s="233">
        <v>15</v>
      </c>
      <c r="B24" s="244" t="s">
        <v>405</v>
      </c>
      <c r="C24" s="650"/>
    </row>
    <row r="25" spans="1:3">
      <c r="A25" s="233" t="s">
        <v>406</v>
      </c>
      <c r="B25" s="241" t="s">
        <v>407</v>
      </c>
      <c r="C25" s="650"/>
    </row>
    <row r="26" spans="1:3">
      <c r="A26" s="235">
        <v>16</v>
      </c>
      <c r="B26" s="248" t="s">
        <v>408</v>
      </c>
      <c r="C26" s="648">
        <f>SUM(C20:C25)</f>
        <v>0</v>
      </c>
    </row>
    <row r="27" spans="1:3">
      <c r="A27" s="231"/>
      <c r="B27" s="231" t="s">
        <v>409</v>
      </c>
      <c r="C27" s="649"/>
    </row>
    <row r="28" spans="1:3">
      <c r="A28" s="232">
        <v>17</v>
      </c>
      <c r="B28" s="241" t="s">
        <v>410</v>
      </c>
      <c r="C28" s="651">
        <v>2642793921.8064003</v>
      </c>
    </row>
    <row r="29" spans="1:3">
      <c r="A29" s="232">
        <v>18</v>
      </c>
      <c r="B29" s="241" t="s">
        <v>411</v>
      </c>
      <c r="C29" s="651">
        <v>-1483030840.6195502</v>
      </c>
    </row>
    <row r="30" spans="1:3">
      <c r="A30" s="235">
        <v>19</v>
      </c>
      <c r="B30" s="248" t="s">
        <v>412</v>
      </c>
      <c r="C30" s="648">
        <f>C28+C29</f>
        <v>1159763081.1868501</v>
      </c>
    </row>
    <row r="31" spans="1:3">
      <c r="A31" s="236"/>
      <c r="B31" s="231" t="s">
        <v>998</v>
      </c>
      <c r="C31" s="649"/>
    </row>
    <row r="32" spans="1:3">
      <c r="A32" s="232" t="s">
        <v>413</v>
      </c>
      <c r="B32" s="244" t="s">
        <v>414</v>
      </c>
      <c r="C32" s="652"/>
    </row>
    <row r="33" spans="1:3">
      <c r="A33" s="232" t="s">
        <v>415</v>
      </c>
      <c r="B33" s="245" t="s">
        <v>416</v>
      </c>
      <c r="C33" s="652"/>
    </row>
    <row r="34" spans="1:3">
      <c r="A34" s="231"/>
      <c r="B34" s="231" t="s">
        <v>417</v>
      </c>
      <c r="C34" s="649"/>
    </row>
    <row r="35" spans="1:3">
      <c r="A35" s="235">
        <v>20</v>
      </c>
      <c r="B35" s="248" t="s">
        <v>84</v>
      </c>
      <c r="C35" s="648">
        <v>4150324543.8987885</v>
      </c>
    </row>
    <row r="36" spans="1:3">
      <c r="A36" s="235">
        <v>21</v>
      </c>
      <c r="B36" s="248" t="s">
        <v>418</v>
      </c>
      <c r="C36" s="648">
        <v>27863917711.613831</v>
      </c>
    </row>
    <row r="37" spans="1:3">
      <c r="A37" s="237"/>
      <c r="B37" s="237" t="s">
        <v>384</v>
      </c>
      <c r="C37" s="653"/>
    </row>
    <row r="38" spans="1:3">
      <c r="A38" s="235">
        <v>22</v>
      </c>
      <c r="B38" s="248" t="s">
        <v>384</v>
      </c>
      <c r="C38" s="654">
        <f>IFERROR(C35/C36,0)</f>
        <v>0.14894978469481018</v>
      </c>
    </row>
    <row r="39" spans="1:3">
      <c r="A39" s="237"/>
      <c r="B39" s="237" t="s">
        <v>419</v>
      </c>
      <c r="C39" s="243"/>
    </row>
    <row r="40" spans="1:3">
      <c r="A40" s="238" t="s">
        <v>420</v>
      </c>
      <c r="B40" s="244" t="s">
        <v>421</v>
      </c>
      <c r="C40" s="249"/>
    </row>
    <row r="41" spans="1:3">
      <c r="A41" s="239" t="s">
        <v>422</v>
      </c>
      <c r="B41" s="245" t="s">
        <v>423</v>
      </c>
      <c r="C41" s="249"/>
    </row>
    <row r="43" spans="1:3">
      <c r="B43" s="258" t="s">
        <v>437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5"/>
  <cols>
    <col min="1" max="1" width="9.85546875" style="192" bestFit="1" customWidth="1"/>
    <col min="2" max="2" width="82.5703125" style="21" customWidth="1"/>
    <col min="3" max="7" width="17.5703125" style="192" customWidth="1"/>
    <col min="8" max="8" width="16.140625" bestFit="1" customWidth="1"/>
    <col min="9" max="9" width="18.85546875" bestFit="1" customWidth="1"/>
    <col min="10" max="10" width="13.28515625" bestFit="1" customWidth="1"/>
    <col min="11" max="11" width="12.140625" bestFit="1" customWidth="1"/>
    <col min="12" max="12" width="12.85546875" bestFit="1" customWidth="1"/>
  </cols>
  <sheetData>
    <row r="1" spans="1:7">
      <c r="A1" s="192" t="s">
        <v>106</v>
      </c>
      <c r="B1" s="192" t="str">
        <f>Info!C2</f>
        <v>სს ”საქართველოს ბანკი”</v>
      </c>
    </row>
    <row r="2" spans="1:7">
      <c r="A2" s="192" t="s">
        <v>107</v>
      </c>
      <c r="B2" s="647">
        <f>'1. key ratios'!B2</f>
        <v>45107</v>
      </c>
    </row>
    <row r="3" spans="1:7">
      <c r="B3" s="281"/>
    </row>
    <row r="4" spans="1:7" ht="15.75" thickBot="1">
      <c r="A4" s="192" t="s">
        <v>483</v>
      </c>
      <c r="B4" s="282" t="s">
        <v>449</v>
      </c>
    </row>
    <row r="5" spans="1:7">
      <c r="A5" s="283"/>
      <c r="B5" s="284"/>
      <c r="C5" s="843" t="s">
        <v>450</v>
      </c>
      <c r="D5" s="843"/>
      <c r="E5" s="843"/>
      <c r="F5" s="843"/>
      <c r="G5" s="844" t="s">
        <v>451</v>
      </c>
    </row>
    <row r="6" spans="1:7">
      <c r="A6" s="285"/>
      <c r="B6" s="286"/>
      <c r="C6" s="287" t="s">
        <v>452</v>
      </c>
      <c r="D6" s="288" t="s">
        <v>453</v>
      </c>
      <c r="E6" s="288" t="s">
        <v>454</v>
      </c>
      <c r="F6" s="288" t="s">
        <v>455</v>
      </c>
      <c r="G6" s="845"/>
    </row>
    <row r="7" spans="1:7">
      <c r="A7" s="289"/>
      <c r="B7" s="290" t="s">
        <v>456</v>
      </c>
      <c r="C7" s="291"/>
      <c r="D7" s="291"/>
      <c r="E7" s="291"/>
      <c r="F7" s="291"/>
      <c r="G7" s="292"/>
    </row>
    <row r="8" spans="1:7">
      <c r="A8" s="293">
        <v>1</v>
      </c>
      <c r="B8" s="294" t="s">
        <v>457</v>
      </c>
      <c r="C8" s="295">
        <f>SUM(C9:C10)</f>
        <v>4104578143.8987885</v>
      </c>
      <c r="D8" s="295">
        <f>SUM(D9:D10)</f>
        <v>0</v>
      </c>
      <c r="E8" s="295">
        <f>SUM(E9:E10)</f>
        <v>0</v>
      </c>
      <c r="F8" s="295">
        <f>SUM(F9:F10)</f>
        <v>2568997785.6588998</v>
      </c>
      <c r="G8" s="296">
        <f>SUM(G9:G10)</f>
        <v>6673575929.5576878</v>
      </c>
    </row>
    <row r="9" spans="1:7">
      <c r="A9" s="293">
        <v>2</v>
      </c>
      <c r="B9" s="297" t="s">
        <v>83</v>
      </c>
      <c r="C9" s="295">
        <v>4104578143.8987885</v>
      </c>
      <c r="D9" s="295"/>
      <c r="E9" s="295"/>
      <c r="F9" s="295">
        <v>430548300</v>
      </c>
      <c r="G9" s="296">
        <v>4535126443.8987885</v>
      </c>
    </row>
    <row r="10" spans="1:7">
      <c r="A10" s="293">
        <v>3</v>
      </c>
      <c r="B10" s="297" t="s">
        <v>458</v>
      </c>
      <c r="C10" s="298"/>
      <c r="D10" s="298"/>
      <c r="E10" s="298"/>
      <c r="F10" s="295">
        <v>2138449485.6588998</v>
      </c>
      <c r="G10" s="296">
        <v>2138449485.6588998</v>
      </c>
    </row>
    <row r="11" spans="1:7" ht="26.25">
      <c r="A11" s="293">
        <v>4</v>
      </c>
      <c r="B11" s="294" t="s">
        <v>459</v>
      </c>
      <c r="C11" s="295">
        <f t="shared" ref="C11:F11" si="0">SUM(C12:C13)</f>
        <v>5342971101.7606001</v>
      </c>
      <c r="D11" s="295">
        <f t="shared" si="0"/>
        <v>3457507507.4699998</v>
      </c>
      <c r="E11" s="295">
        <f t="shared" si="0"/>
        <v>1318573788.8499999</v>
      </c>
      <c r="F11" s="295">
        <f t="shared" si="0"/>
        <v>433573470.96000004</v>
      </c>
      <c r="G11" s="296">
        <f>SUM(G12:G13)</f>
        <v>8353846412.4960709</v>
      </c>
    </row>
    <row r="12" spans="1:7">
      <c r="A12" s="293">
        <v>5</v>
      </c>
      <c r="B12" s="297" t="s">
        <v>460</v>
      </c>
      <c r="C12" s="295">
        <v>2806416802.4006</v>
      </c>
      <c r="D12" s="299">
        <v>2656859828.0599999</v>
      </c>
      <c r="E12" s="295">
        <v>1037730897.23</v>
      </c>
      <c r="F12" s="295">
        <v>337955756.60000002</v>
      </c>
      <c r="G12" s="296">
        <v>6497015120.0760708</v>
      </c>
    </row>
    <row r="13" spans="1:7">
      <c r="A13" s="293">
        <v>6</v>
      </c>
      <c r="B13" s="297" t="s">
        <v>461</v>
      </c>
      <c r="C13" s="295">
        <v>2536554299.3600001</v>
      </c>
      <c r="D13" s="299">
        <v>800647679.40999997</v>
      </c>
      <c r="E13" s="295">
        <v>280842891.62</v>
      </c>
      <c r="F13" s="295">
        <v>95617714.359999999</v>
      </c>
      <c r="G13" s="296">
        <v>1856831292.4200001</v>
      </c>
    </row>
    <row r="14" spans="1:7">
      <c r="A14" s="293">
        <v>7</v>
      </c>
      <c r="B14" s="294" t="s">
        <v>462</v>
      </c>
      <c r="C14" s="295">
        <f t="shared" ref="C14:F14" si="1">SUM(C15:C16)</f>
        <v>5795201626.3564978</v>
      </c>
      <c r="D14" s="295">
        <f t="shared" si="1"/>
        <v>2830972319.9840002</v>
      </c>
      <c r="E14" s="295">
        <f t="shared" si="1"/>
        <v>139739540.55000001</v>
      </c>
      <c r="F14" s="295">
        <f t="shared" si="1"/>
        <v>6675858.5499999998</v>
      </c>
      <c r="G14" s="296">
        <f>SUM(G15:G16)</f>
        <v>2898740043.1982498</v>
      </c>
    </row>
    <row r="15" spans="1:7" ht="51.75">
      <c r="A15" s="293">
        <v>8</v>
      </c>
      <c r="B15" s="297" t="s">
        <v>463</v>
      </c>
      <c r="C15" s="295">
        <v>5353735868.2064981</v>
      </c>
      <c r="D15" s="299">
        <v>1350212556.0900002</v>
      </c>
      <c r="E15" s="295">
        <v>114778823.47</v>
      </c>
      <c r="F15" s="295">
        <v>6275858.5499999998</v>
      </c>
      <c r="G15" s="296">
        <v>2886259684.6582499</v>
      </c>
    </row>
    <row r="16" spans="1:7" ht="26.25">
      <c r="A16" s="293">
        <v>9</v>
      </c>
      <c r="B16" s="297" t="s">
        <v>464</v>
      </c>
      <c r="C16" s="295">
        <v>441465758.15000004</v>
      </c>
      <c r="D16" s="299">
        <v>1480759763.8940001</v>
      </c>
      <c r="E16" s="295">
        <v>24960717.079999998</v>
      </c>
      <c r="F16" s="295">
        <v>400000</v>
      </c>
      <c r="G16" s="296">
        <v>12480358.539999999</v>
      </c>
    </row>
    <row r="17" spans="1:11">
      <c r="A17" s="293">
        <v>10</v>
      </c>
      <c r="B17" s="294" t="s">
        <v>465</v>
      </c>
      <c r="C17" s="295"/>
      <c r="D17" s="299"/>
      <c r="E17" s="295"/>
      <c r="F17" s="295"/>
      <c r="G17" s="296"/>
    </row>
    <row r="18" spans="1:11">
      <c r="A18" s="293">
        <v>11</v>
      </c>
      <c r="B18" s="294" t="s">
        <v>87</v>
      </c>
      <c r="C18" s="295">
        <f>SUM(C19:C20)</f>
        <v>0</v>
      </c>
      <c r="D18" s="299">
        <f t="shared" ref="D18:G18" si="2">SUM(D19:D20)</f>
        <v>643573242.68630338</v>
      </c>
      <c r="E18" s="295">
        <f t="shared" si="2"/>
        <v>18595840.989700001</v>
      </c>
      <c r="F18" s="295">
        <f t="shared" si="2"/>
        <v>8499507.5661999993</v>
      </c>
      <c r="G18" s="296">
        <f t="shared" si="2"/>
        <v>0</v>
      </c>
    </row>
    <row r="19" spans="1:11">
      <c r="A19" s="293">
        <v>12</v>
      </c>
      <c r="B19" s="297" t="s">
        <v>466</v>
      </c>
      <c r="C19" s="298"/>
      <c r="D19" s="299">
        <v>27533397.329999998</v>
      </c>
      <c r="E19" s="295">
        <v>16903.419999999998</v>
      </c>
      <c r="F19" s="295">
        <v>511019.95</v>
      </c>
      <c r="G19" s="296">
        <v>0</v>
      </c>
      <c r="K19" s="605">
        <f>H21-I20</f>
        <v>0</v>
      </c>
    </row>
    <row r="20" spans="1:11" ht="26.25">
      <c r="A20" s="293">
        <v>13</v>
      </c>
      <c r="B20" s="297" t="s">
        <v>467</v>
      </c>
      <c r="C20" s="295"/>
      <c r="D20" s="295">
        <v>616039845.35630333</v>
      </c>
      <c r="E20" s="295">
        <v>18578937.569699999</v>
      </c>
      <c r="F20" s="295">
        <v>7988487.6162</v>
      </c>
      <c r="G20" s="296">
        <v>0</v>
      </c>
    </row>
    <row r="21" spans="1:11">
      <c r="A21" s="300">
        <v>14</v>
      </c>
      <c r="B21" s="301" t="s">
        <v>468</v>
      </c>
      <c r="C21" s="302">
        <f>SUM(C8,C11,C14,C17,C18)</f>
        <v>15242750872.015888</v>
      </c>
      <c r="D21" s="302">
        <f>SUM(D8,D11,D14,D17,D18)</f>
        <v>6932053070.1403036</v>
      </c>
      <c r="E21" s="302">
        <f>SUM(E8,E11,E14,E17,E18)</f>
        <v>1476909170.3896999</v>
      </c>
      <c r="F21" s="302">
        <f>SUM(F8,F11,F14,F17,F18)</f>
        <v>3017746622.7350998</v>
      </c>
      <c r="G21" s="302">
        <f>SUM(G8,G11,G14,G17,G18)</f>
        <v>17926162385.252007</v>
      </c>
      <c r="H21" s="605"/>
      <c r="I21" s="606"/>
      <c r="J21" s="606"/>
    </row>
    <row r="22" spans="1:11">
      <c r="A22" s="303"/>
      <c r="B22" s="320" t="s">
        <v>469</v>
      </c>
      <c r="C22" s="304"/>
      <c r="D22" s="305"/>
      <c r="E22" s="304"/>
      <c r="F22" s="304"/>
      <c r="G22" s="306"/>
    </row>
    <row r="23" spans="1:11">
      <c r="A23" s="293">
        <v>15</v>
      </c>
      <c r="B23" s="294" t="s">
        <v>319</v>
      </c>
      <c r="C23" s="307">
        <v>3405431915.8065996</v>
      </c>
      <c r="D23" s="308">
        <v>5022944614.3080006</v>
      </c>
      <c r="E23" s="307"/>
      <c r="F23" s="307"/>
      <c r="G23" s="296">
        <v>277314429.48607999</v>
      </c>
    </row>
    <row r="24" spans="1:11">
      <c r="A24" s="293">
        <v>16</v>
      </c>
      <c r="B24" s="294" t="s">
        <v>470</v>
      </c>
      <c r="C24" s="295">
        <f>SUM(C25:C27,C29,C31)</f>
        <v>0</v>
      </c>
      <c r="D24" s="299">
        <f>SUM(D25:D27,D29,D31)</f>
        <v>2548655794.5457001</v>
      </c>
      <c r="E24" s="295">
        <f t="shared" ref="E24:G24" si="3">SUM(E25:E27,E29,E31)</f>
        <v>2060037681.6257021</v>
      </c>
      <c r="F24" s="295">
        <f t="shared" si="3"/>
        <v>10949230586.315096</v>
      </c>
      <c r="G24" s="296">
        <f t="shared" si="3"/>
        <v>10998141621.651436</v>
      </c>
    </row>
    <row r="25" spans="1:11" ht="26.25">
      <c r="A25" s="293">
        <v>17</v>
      </c>
      <c r="B25" s="297" t="s">
        <v>471</v>
      </c>
      <c r="C25" s="295">
        <v>0</v>
      </c>
      <c r="D25" s="299"/>
      <c r="E25" s="295"/>
      <c r="F25" s="295"/>
      <c r="G25" s="296"/>
    </row>
    <row r="26" spans="1:11" ht="26.25">
      <c r="A26" s="293">
        <v>18</v>
      </c>
      <c r="B26" s="297" t="s">
        <v>472</v>
      </c>
      <c r="C26" s="295">
        <v>0</v>
      </c>
      <c r="D26" s="299">
        <v>93569757.560000002</v>
      </c>
      <c r="E26" s="295">
        <v>41797783.159999996</v>
      </c>
      <c r="F26" s="295">
        <v>29314019.930000003</v>
      </c>
      <c r="G26" s="296">
        <v>64248375.144000001</v>
      </c>
    </row>
    <row r="27" spans="1:11">
      <c r="A27" s="293">
        <v>19</v>
      </c>
      <c r="B27" s="297" t="s">
        <v>473</v>
      </c>
      <c r="C27" s="295"/>
      <c r="D27" s="299">
        <v>2091729336.1776471</v>
      </c>
      <c r="E27" s="295">
        <v>1734199654.3414516</v>
      </c>
      <c r="F27" s="295">
        <v>6574189291.5208435</v>
      </c>
      <c r="G27" s="296">
        <v>7499261538.9112892</v>
      </c>
    </row>
    <row r="28" spans="1:11">
      <c r="A28" s="293">
        <v>20</v>
      </c>
      <c r="B28" s="309" t="s">
        <v>474</v>
      </c>
      <c r="C28" s="295"/>
      <c r="D28" s="299"/>
      <c r="E28" s="295"/>
      <c r="F28" s="295"/>
      <c r="G28" s="296"/>
    </row>
    <row r="29" spans="1:11">
      <c r="A29" s="293">
        <v>21</v>
      </c>
      <c r="B29" s="297" t="s">
        <v>475</v>
      </c>
      <c r="C29" s="295">
        <v>0</v>
      </c>
      <c r="D29" s="299">
        <v>339157740.81065315</v>
      </c>
      <c r="E29" s="295">
        <v>281072958.21235037</v>
      </c>
      <c r="F29" s="295">
        <v>4132088498.2775517</v>
      </c>
      <c r="G29" s="296">
        <v>3239455624.5428023</v>
      </c>
    </row>
    <row r="30" spans="1:11">
      <c r="A30" s="293">
        <v>22</v>
      </c>
      <c r="B30" s="309" t="s">
        <v>474</v>
      </c>
      <c r="C30" s="295"/>
      <c r="D30" s="299">
        <v>238583045.6043058</v>
      </c>
      <c r="E30" s="295">
        <v>203260360.90658802</v>
      </c>
      <c r="F30" s="295">
        <v>2843488762.896852</v>
      </c>
      <c r="G30" s="296">
        <v>2069160221.4785457</v>
      </c>
    </row>
    <row r="31" spans="1:11">
      <c r="A31" s="293">
        <v>23</v>
      </c>
      <c r="B31" s="297" t="s">
        <v>998</v>
      </c>
      <c r="C31" s="295"/>
      <c r="D31" s="299">
        <v>24198959.997400001</v>
      </c>
      <c r="E31" s="295">
        <v>2967285.9119000002</v>
      </c>
      <c r="F31" s="295">
        <v>213638776.58669996</v>
      </c>
      <c r="G31" s="296">
        <v>195176083.05334496</v>
      </c>
    </row>
    <row r="32" spans="1:11">
      <c r="A32" s="293">
        <v>24</v>
      </c>
      <c r="B32" s="294" t="s">
        <v>476</v>
      </c>
      <c r="C32" s="295"/>
      <c r="D32" s="299"/>
      <c r="E32" s="295"/>
      <c r="F32" s="295"/>
      <c r="G32" s="296"/>
    </row>
    <row r="33" spans="1:12">
      <c r="A33" s="293">
        <v>25</v>
      </c>
      <c r="B33" s="294" t="s">
        <v>97</v>
      </c>
      <c r="C33" s="295">
        <f>SUM(C34:C35)</f>
        <v>919683441.84552526</v>
      </c>
      <c r="D33" s="295">
        <f>SUM(D34:D35)</f>
        <v>505204093.9650625</v>
      </c>
      <c r="E33" s="295">
        <f>SUM(E34:E35)</f>
        <v>197743539.64000028</v>
      </c>
      <c r="F33" s="295">
        <f>SUM(F34:F35)</f>
        <v>1073297584.5999961</v>
      </c>
      <c r="G33" s="296">
        <f>SUM(G34:G35)</f>
        <v>2437737131.6463184</v>
      </c>
    </row>
    <row r="34" spans="1:12">
      <c r="A34" s="293">
        <v>26</v>
      </c>
      <c r="B34" s="297" t="s">
        <v>477</v>
      </c>
      <c r="C34" s="298"/>
      <c r="D34" s="299">
        <v>14720862.120000001</v>
      </c>
      <c r="E34" s="295">
        <v>6279015.339999998</v>
      </c>
      <c r="F34" s="295">
        <v>123941.42000000001</v>
      </c>
      <c r="G34" s="296">
        <v>21123818.879999999</v>
      </c>
      <c r="L34" s="605">
        <f>J36-H37</f>
        <v>0</v>
      </c>
    </row>
    <row r="35" spans="1:12">
      <c r="A35" s="293">
        <v>27</v>
      </c>
      <c r="B35" s="297" t="s">
        <v>478</v>
      </c>
      <c r="C35" s="295">
        <v>919683441.84552526</v>
      </c>
      <c r="D35" s="299">
        <v>490483231.84506249</v>
      </c>
      <c r="E35" s="295">
        <v>191464524.30000028</v>
      </c>
      <c r="F35" s="295">
        <v>1073173643.1799961</v>
      </c>
      <c r="G35" s="296">
        <v>2416613312.7663183</v>
      </c>
    </row>
    <row r="36" spans="1:12">
      <c r="A36" s="293">
        <v>28</v>
      </c>
      <c r="B36" s="294" t="s">
        <v>479</v>
      </c>
      <c r="C36" s="295">
        <v>813400313.02130008</v>
      </c>
      <c r="D36" s="299">
        <v>432352666.03120005</v>
      </c>
      <c r="E36" s="295">
        <v>557479711.48909998</v>
      </c>
      <c r="F36" s="295">
        <v>839561231.26479995</v>
      </c>
      <c r="G36" s="296">
        <v>265587438.09281498</v>
      </c>
    </row>
    <row r="37" spans="1:12">
      <c r="A37" s="300">
        <v>29</v>
      </c>
      <c r="B37" s="301" t="s">
        <v>480</v>
      </c>
      <c r="C37" s="302">
        <f>SUM(C23:C24,C32:C33,C36)</f>
        <v>5138515670.6734247</v>
      </c>
      <c r="D37" s="302">
        <f>SUM(D23:D24,D32:D33,D36)</f>
        <v>8509157168.8499632</v>
      </c>
      <c r="E37" s="302">
        <f>SUM(E23:E24,E32:E33,E36)</f>
        <v>2815260932.7548022</v>
      </c>
      <c r="F37" s="302">
        <f>SUM(F23:F24,F32:F33,F36)</f>
        <v>12862089402.179892</v>
      </c>
      <c r="G37" s="302">
        <f>SUM(G23:G24,G32:G33,G36)</f>
        <v>13978780620.87665</v>
      </c>
      <c r="H37" s="605"/>
      <c r="I37" s="606"/>
      <c r="J37" s="606"/>
    </row>
    <row r="38" spans="1:12">
      <c r="A38" s="289"/>
      <c r="B38" s="310"/>
      <c r="C38" s="311"/>
      <c r="D38" s="311"/>
      <c r="E38" s="311"/>
      <c r="F38" s="311"/>
      <c r="G38" s="312"/>
    </row>
    <row r="39" spans="1:12" ht="15.75" thickBot="1">
      <c r="A39" s="313">
        <v>30</v>
      </c>
      <c r="B39" s="314" t="s">
        <v>449</v>
      </c>
      <c r="C39" s="200"/>
      <c r="D39" s="183"/>
      <c r="E39" s="183"/>
      <c r="F39" s="315"/>
      <c r="G39" s="316">
        <f>IFERROR(G21/G37,0)</f>
        <v>1.2823838410111486</v>
      </c>
    </row>
    <row r="41" spans="1:12">
      <c r="G41" s="705"/>
    </row>
    <row r="42" spans="1:12" ht="39">
      <c r="B42" s="21" t="s">
        <v>481</v>
      </c>
      <c r="I42" s="605"/>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9.5703125" style="17" bestFit="1" customWidth="1"/>
    <col min="2" max="2" width="88.42578125" style="14" customWidth="1"/>
    <col min="3" max="3" width="23.140625" style="14" customWidth="1"/>
    <col min="4" max="4" width="17.7109375" style="2" customWidth="1"/>
    <col min="5" max="5" width="18.140625" style="2" customWidth="1"/>
    <col min="6" max="6" width="19.7109375" style="2" customWidth="1"/>
    <col min="7" max="7" width="17.5703125" style="2" customWidth="1"/>
    <col min="8" max="8" width="21.85546875" customWidth="1"/>
    <col min="9" max="9" width="17.7109375" style="192" customWidth="1"/>
    <col min="10" max="10" width="18.140625" style="192" customWidth="1"/>
    <col min="11" max="11" width="19.7109375" style="192" customWidth="1"/>
    <col min="12" max="12" width="6.7109375" customWidth="1"/>
    <col min="13" max="13" width="12.28515625" bestFit="1" customWidth="1"/>
    <col min="14" max="14" width="20.140625" bestFit="1" customWidth="1"/>
  </cols>
  <sheetData>
    <row r="1" spans="1:14">
      <c r="A1" s="15" t="s">
        <v>106</v>
      </c>
      <c r="B1" s="257" t="str">
        <f>Info!C2</f>
        <v>სს ”საქართველოს ბანკი”</v>
      </c>
      <c r="C1" s="27"/>
      <c r="D1" s="16"/>
      <c r="E1" s="16"/>
      <c r="F1" s="16"/>
      <c r="G1" s="16"/>
      <c r="H1" s="1"/>
      <c r="I1" s="16"/>
      <c r="J1" s="16"/>
      <c r="K1" s="16"/>
    </row>
    <row r="2" spans="1:14">
      <c r="A2" s="15" t="s">
        <v>107</v>
      </c>
      <c r="B2" s="647">
        <v>45107</v>
      </c>
      <c r="C2" s="27"/>
      <c r="D2" s="16"/>
      <c r="E2" s="16"/>
      <c r="F2" s="16"/>
      <c r="G2" s="16"/>
      <c r="H2" s="1"/>
      <c r="I2" s="16"/>
      <c r="J2" s="16"/>
      <c r="K2" s="16"/>
    </row>
    <row r="3" spans="1:14" ht="16.5" thickBot="1">
      <c r="A3" s="15"/>
      <c r="C3" s="27"/>
      <c r="D3" s="16"/>
      <c r="E3" s="16"/>
      <c r="F3" s="16"/>
      <c r="G3" s="16"/>
      <c r="H3" s="1"/>
      <c r="I3" s="16"/>
      <c r="J3" s="16"/>
      <c r="K3" s="16"/>
    </row>
    <row r="4" spans="1:14" ht="16.5" thickBot="1">
      <c r="A4" s="37" t="s">
        <v>249</v>
      </c>
      <c r="B4" s="119" t="s">
        <v>137</v>
      </c>
      <c r="C4" s="27"/>
      <c r="D4" s="27"/>
      <c r="E4" s="27"/>
      <c r="F4" s="27"/>
      <c r="G4" s="27"/>
      <c r="H4" s="1"/>
      <c r="I4" s="515" t="s">
        <v>928</v>
      </c>
      <c r="J4" s="516"/>
      <c r="K4" s="516"/>
    </row>
    <row r="5" spans="1:14" ht="15">
      <c r="A5" s="169" t="s">
        <v>24</v>
      </c>
      <c r="B5" s="170"/>
      <c r="C5" s="270" t="str">
        <f>INT((MONTH($B$2))/3)&amp;"Q"&amp;"-"&amp;YEAR($B$2)</f>
        <v>2Q-2023</v>
      </c>
      <c r="D5" s="270" t="str">
        <f>IF(INT(MONTH($B$2))=3, "4"&amp;"Q"&amp;"-"&amp;YEAR($B$2)-1, IF(INT(MONTH($B$2))=6, "1"&amp;"Q"&amp;"-"&amp;YEAR($B$2), IF(INT(MONTH($B$2))=9, "2"&amp;"Q"&amp;"-"&amp;YEAR($B$2),IF(INT(MONTH($B$2))=12, "3"&amp;"Q"&amp;"-"&amp;YEAR($B$2), 0))))</f>
        <v>1Q-2023</v>
      </c>
      <c r="E5" s="270" t="str">
        <f>IF(INT(MONTH($B$2))=3, "3"&amp;"Q"&amp;"-"&amp;YEAR($B$2)-1, IF(INT(MONTH($B$2))=6, "4"&amp;"Q"&amp;"-"&amp;YEAR($B$2)-1, IF(INT(MONTH($B$2))=9, "1"&amp;"Q"&amp;"-"&amp;YEAR($B$2),IF(INT(MONTH($B$2))=12, "2"&amp;"Q"&amp;"-"&amp;YEAR($B$2), 0))))</f>
        <v>4Q-2022</v>
      </c>
      <c r="F5" s="270" t="str">
        <f>IF(INT(MONTH($B$2))=3, "2"&amp;"Q"&amp;"-"&amp;YEAR($B$2)-1, IF(INT(MONTH($B$2))=6, "3"&amp;"Q"&amp;"-"&amp;YEAR($B$2)-1, IF(INT(MONTH($B$2))=9, "4"&amp;"Q"&amp;"-"&amp;YEAR($B$2)-1,IF(INT(MONTH($B$2))=12, "1"&amp;"Q"&amp;"-"&amp;YEAR($B$2), 0))))</f>
        <v>3Q-2022</v>
      </c>
      <c r="G5" s="271" t="str">
        <f>IF(INT(MONTH($B$2))=3, "1"&amp;"Q"&amp;"-"&amp;YEAR($B$2)-1, IF(INT(MONTH($B$2))=6, "2"&amp;"Q"&amp;"-"&amp;YEAR($B$2)-1, IF(INT(MONTH($B$2))=9, "3"&amp;"Q"&amp;"-"&amp;YEAR($B$2)-1,IF(INT(MONTH($B$2))=12, "4"&amp;"Q"&amp;"-"&amp;YEAR($B$2)-1, 0))))</f>
        <v>2Q-2022</v>
      </c>
      <c r="I5" s="270" t="str">
        <f>E5</f>
        <v>4Q-2022</v>
      </c>
      <c r="J5" s="270" t="str">
        <f>F5</f>
        <v>3Q-2022</v>
      </c>
      <c r="K5" s="270" t="str">
        <f>G5</f>
        <v>2Q-2022</v>
      </c>
    </row>
    <row r="6" spans="1:14" ht="15">
      <c r="A6" s="272"/>
      <c r="B6" s="273" t="s">
        <v>104</v>
      </c>
      <c r="C6" s="171"/>
      <c r="D6" s="171"/>
      <c r="E6" s="171"/>
      <c r="F6" s="171"/>
      <c r="G6" s="172"/>
      <c r="I6" s="171"/>
      <c r="J6" s="171"/>
      <c r="K6" s="171"/>
    </row>
    <row r="7" spans="1:14" ht="15">
      <c r="A7" s="272"/>
      <c r="B7" s="274" t="s">
        <v>108</v>
      </c>
      <c r="C7" s="171"/>
      <c r="D7" s="171"/>
      <c r="E7" s="171"/>
      <c r="F7" s="171"/>
      <c r="G7" s="172"/>
      <c r="I7" s="171"/>
      <c r="J7" s="171"/>
      <c r="K7" s="171"/>
    </row>
    <row r="8" spans="1:14" ht="15">
      <c r="A8" s="262">
        <v>1</v>
      </c>
      <c r="B8" s="263" t="s">
        <v>21</v>
      </c>
      <c r="C8" s="509">
        <v>3757669543.8987885</v>
      </c>
      <c r="D8" s="509">
        <v>3819677641.2357626</v>
      </c>
      <c r="E8" s="509">
        <v>3557672511.5713964</v>
      </c>
      <c r="F8" s="509">
        <v>3446489628.4953346</v>
      </c>
      <c r="G8" s="509">
        <v>3174531656.4303207</v>
      </c>
      <c r="I8" s="509">
        <v>2982748457.1136999</v>
      </c>
      <c r="J8" s="509">
        <v>2982748457.1136999</v>
      </c>
      <c r="K8" s="509">
        <v>2877676706.3160996</v>
      </c>
      <c r="N8" s="661"/>
    </row>
    <row r="9" spans="1:14" ht="15">
      <c r="A9" s="262">
        <v>2</v>
      </c>
      <c r="B9" s="263" t="s">
        <v>84</v>
      </c>
      <c r="C9" s="509">
        <v>4150324543.8987885</v>
      </c>
      <c r="D9" s="509">
        <v>4203737641.2357626</v>
      </c>
      <c r="E9" s="509">
        <v>3962972511.5713964</v>
      </c>
      <c r="F9" s="509">
        <v>3871769628.4953346</v>
      </c>
      <c r="G9" s="509">
        <v>3613866656.4303207</v>
      </c>
      <c r="I9" s="509">
        <v>3388048457.1136999</v>
      </c>
      <c r="J9" s="509">
        <v>3388048457.1136999</v>
      </c>
      <c r="K9" s="509">
        <v>3302956706.3160996</v>
      </c>
      <c r="N9" s="661"/>
    </row>
    <row r="10" spans="1:14" ht="15">
      <c r="A10" s="262">
        <v>3</v>
      </c>
      <c r="B10" s="263" t="s">
        <v>83</v>
      </c>
      <c r="C10" s="509">
        <v>4535126443.8987885</v>
      </c>
      <c r="D10" s="509">
        <v>4580116441.2357626</v>
      </c>
      <c r="E10" s="509">
        <v>4360166511.5713959</v>
      </c>
      <c r="F10" s="509">
        <v>4288544028.4953346</v>
      </c>
      <c r="G10" s="509">
        <v>4044414956.4303207</v>
      </c>
      <c r="I10" s="509">
        <v>4006280547.7389746</v>
      </c>
      <c r="J10" s="509">
        <v>4006280547.7389746</v>
      </c>
      <c r="K10" s="509">
        <v>3936572930.3212585</v>
      </c>
      <c r="N10" s="661"/>
    </row>
    <row r="11" spans="1:14" ht="15">
      <c r="A11" s="262">
        <v>4</v>
      </c>
      <c r="B11" s="263" t="s">
        <v>441</v>
      </c>
      <c r="C11" s="509">
        <v>2940685916.6694717</v>
      </c>
      <c r="D11" s="509">
        <v>2855134659.7230096</v>
      </c>
      <c r="E11" s="509">
        <v>2914110647.4147873</v>
      </c>
      <c r="F11" s="509">
        <v>2721215891.1107802</v>
      </c>
      <c r="G11" s="509">
        <v>2596407349.7076807</v>
      </c>
      <c r="I11" s="509">
        <v>2353590996.5320168</v>
      </c>
      <c r="J11" s="509">
        <v>2353590996.5320168</v>
      </c>
      <c r="K11" s="509">
        <v>2254945392.0050201</v>
      </c>
      <c r="N11" s="661"/>
    </row>
    <row r="12" spans="1:14" ht="15">
      <c r="A12" s="262">
        <v>5</v>
      </c>
      <c r="B12" s="263" t="s">
        <v>442</v>
      </c>
      <c r="C12" s="509">
        <v>3389368477.255054</v>
      </c>
      <c r="D12" s="509">
        <v>3290269862.0242205</v>
      </c>
      <c r="E12" s="509">
        <v>3358592822.0696516</v>
      </c>
      <c r="F12" s="509">
        <v>3153413560.9406104</v>
      </c>
      <c r="G12" s="509">
        <v>3016954431.6163802</v>
      </c>
      <c r="I12" s="509">
        <v>2801374929.8888588</v>
      </c>
      <c r="J12" s="509">
        <v>2801374929.8888588</v>
      </c>
      <c r="K12" s="509">
        <v>2684299782.806345</v>
      </c>
      <c r="N12" s="661"/>
    </row>
    <row r="13" spans="1:14" ht="15">
      <c r="A13" s="262">
        <v>6</v>
      </c>
      <c r="B13" s="263" t="s">
        <v>443</v>
      </c>
      <c r="C13" s="509">
        <v>3985030826.5030212</v>
      </c>
      <c r="D13" s="509">
        <v>3867981827.7161779</v>
      </c>
      <c r="E13" s="509">
        <v>4045687486.3451557</v>
      </c>
      <c r="F13" s="509">
        <v>3821246948.731493</v>
      </c>
      <c r="G13" s="509">
        <v>3664544485.1957335</v>
      </c>
      <c r="I13" s="509">
        <v>3494089019.8147717</v>
      </c>
      <c r="J13" s="509">
        <v>3494089019.8147717</v>
      </c>
      <c r="K13" s="509">
        <v>3347960875.882175</v>
      </c>
      <c r="N13" s="661"/>
    </row>
    <row r="14" spans="1:14" ht="15">
      <c r="A14" s="272"/>
      <c r="B14" s="273" t="s">
        <v>445</v>
      </c>
      <c r="C14" s="171"/>
      <c r="D14" s="171"/>
      <c r="E14" s="171"/>
      <c r="F14" s="171"/>
      <c r="G14" s="171"/>
      <c r="I14" s="171"/>
      <c r="J14" s="171"/>
      <c r="K14" s="171"/>
      <c r="N14" s="661"/>
    </row>
    <row r="15" spans="1:14" ht="25.5">
      <c r="A15" s="262">
        <v>7</v>
      </c>
      <c r="B15" s="263" t="s">
        <v>444</v>
      </c>
      <c r="C15" s="510">
        <v>20104124214.365334</v>
      </c>
      <c r="D15" s="510">
        <v>19629458123.386345</v>
      </c>
      <c r="E15" s="510">
        <v>20067386138.757961</v>
      </c>
      <c r="F15" s="510">
        <v>19487517345.256264</v>
      </c>
      <c r="G15" s="510">
        <v>18604557827.221214</v>
      </c>
      <c r="I15" s="510">
        <v>20279423868.18718</v>
      </c>
      <c r="J15" s="510">
        <v>20279423868.18718</v>
      </c>
      <c r="K15" s="510">
        <v>19410174618.021389</v>
      </c>
      <c r="N15" s="661"/>
    </row>
    <row r="16" spans="1:14" ht="15">
      <c r="A16" s="272"/>
      <c r="B16" s="273" t="s">
        <v>448</v>
      </c>
      <c r="C16" s="171"/>
      <c r="D16" s="171"/>
      <c r="E16" s="171"/>
      <c r="F16" s="171"/>
      <c r="G16" s="171"/>
      <c r="I16" s="171"/>
      <c r="J16" s="171"/>
      <c r="K16" s="171"/>
      <c r="N16" s="661"/>
    </row>
    <row r="17" spans="1:14" s="3" customFormat="1" ht="15">
      <c r="A17" s="262"/>
      <c r="B17" s="274" t="s">
        <v>431</v>
      </c>
      <c r="C17" s="171"/>
      <c r="D17" s="171"/>
      <c r="E17" s="171"/>
      <c r="F17" s="171"/>
      <c r="G17" s="171"/>
      <c r="I17" s="171"/>
      <c r="J17" s="171"/>
      <c r="K17" s="171"/>
      <c r="N17" s="661"/>
    </row>
    <row r="18" spans="1:14" ht="15">
      <c r="A18" s="261">
        <v>8</v>
      </c>
      <c r="B18" s="275" t="s">
        <v>439</v>
      </c>
      <c r="C18" s="511">
        <v>0.18691038235894694</v>
      </c>
      <c r="D18" s="511">
        <v>0.19458905168070004</v>
      </c>
      <c r="E18" s="511">
        <v>0.17728629363941631</v>
      </c>
      <c r="F18" s="511">
        <v>0.17685626996166826</v>
      </c>
      <c r="G18" s="511">
        <v>0.17063193255716685</v>
      </c>
      <c r="I18" s="511">
        <v>0.14708250473490073</v>
      </c>
      <c r="J18" s="511">
        <v>0.14708250473490073</v>
      </c>
      <c r="K18" s="511">
        <v>0.14825609573055148</v>
      </c>
      <c r="N18" s="661"/>
    </row>
    <row r="19" spans="1:14" ht="15">
      <c r="A19" s="261">
        <v>9</v>
      </c>
      <c r="B19" s="275" t="s">
        <v>438</v>
      </c>
      <c r="C19" s="512">
        <v>0.20644144950781732</v>
      </c>
      <c r="D19" s="512">
        <v>0.21415454338128012</v>
      </c>
      <c r="E19" s="512">
        <v>0.1974832439147293</v>
      </c>
      <c r="F19" s="512">
        <v>0.19867947055030166</v>
      </c>
      <c r="G19" s="512">
        <v>0.19424630727545164</v>
      </c>
      <c r="I19" s="512">
        <v>0.16706827960870294</v>
      </c>
      <c r="J19" s="512">
        <v>0.16706827960870294</v>
      </c>
      <c r="K19" s="512">
        <v>0.17016625410723854</v>
      </c>
      <c r="N19" s="661"/>
    </row>
    <row r="20" spans="1:14" ht="15">
      <c r="A20" s="261">
        <v>10</v>
      </c>
      <c r="B20" s="275" t="s">
        <v>440</v>
      </c>
      <c r="C20" s="511">
        <v>0.22558189531371028</v>
      </c>
      <c r="D20" s="511">
        <v>0.23332872524784862</v>
      </c>
      <c r="E20" s="511">
        <v>0.21727625518453603</v>
      </c>
      <c r="F20" s="511">
        <v>0.22006620712716238</v>
      </c>
      <c r="G20" s="511">
        <v>0.21738839449937072</v>
      </c>
      <c r="I20" s="511">
        <v>0.19755396276438225</v>
      </c>
      <c r="J20" s="511">
        <v>0.19755396276438225</v>
      </c>
      <c r="K20" s="511">
        <v>0.20280976383727867</v>
      </c>
      <c r="N20" s="661"/>
    </row>
    <row r="21" spans="1:14" ht="15">
      <c r="A21" s="261">
        <v>11</v>
      </c>
      <c r="B21" s="263" t="s">
        <v>441</v>
      </c>
      <c r="C21" s="511">
        <v>0.14627276897584102</v>
      </c>
      <c r="D21" s="511">
        <v>0.14545152707610559</v>
      </c>
      <c r="E21" s="511">
        <v>0.14521625423784024</v>
      </c>
      <c r="F21" s="511">
        <v>0.13963892079732723</v>
      </c>
      <c r="G21" s="511">
        <v>0.1395575951774975</v>
      </c>
      <c r="I21" s="511">
        <v>0.1160580799449708</v>
      </c>
      <c r="J21" s="511">
        <v>0.1160580799449708</v>
      </c>
      <c r="K21" s="511">
        <v>0.11617336970845253</v>
      </c>
      <c r="N21" s="661"/>
    </row>
    <row r="22" spans="1:14" ht="15">
      <c r="A22" s="261">
        <v>12</v>
      </c>
      <c r="B22" s="263" t="s">
        <v>442</v>
      </c>
      <c r="C22" s="511">
        <v>0.16859070512672183</v>
      </c>
      <c r="D22" s="511">
        <v>0.16761898577853379</v>
      </c>
      <c r="E22" s="511">
        <v>0.16736573457281997</v>
      </c>
      <c r="F22" s="511">
        <v>0.16181710092015533</v>
      </c>
      <c r="G22" s="511">
        <v>0.16216211423214427</v>
      </c>
      <c r="I22" s="511">
        <v>0.13813878284202358</v>
      </c>
      <c r="J22" s="511">
        <v>0.13813878284202358</v>
      </c>
      <c r="K22" s="511">
        <v>0.13829343813909356</v>
      </c>
      <c r="N22" s="661"/>
    </row>
    <row r="23" spans="1:14" ht="15">
      <c r="A23" s="261">
        <v>13</v>
      </c>
      <c r="B23" s="263" t="s">
        <v>443</v>
      </c>
      <c r="C23" s="511">
        <v>0.19821956848314393</v>
      </c>
      <c r="D23" s="511">
        <v>0.1970498524922551</v>
      </c>
      <c r="E23" s="511">
        <v>0.20160510483880872</v>
      </c>
      <c r="F23" s="511">
        <v>0.19608690430039194</v>
      </c>
      <c r="G23" s="511">
        <v>0.19697025423705389</v>
      </c>
      <c r="I23" s="511">
        <v>0.17229725274868549</v>
      </c>
      <c r="J23" s="511">
        <v>0.17229725274868549</v>
      </c>
      <c r="K23" s="511">
        <v>0.17248484064505831</v>
      </c>
      <c r="N23" s="661"/>
    </row>
    <row r="24" spans="1:14" ht="15">
      <c r="A24" s="272"/>
      <c r="B24" s="273" t="s">
        <v>6</v>
      </c>
      <c r="C24" s="171"/>
      <c r="D24" s="171"/>
      <c r="E24" s="171"/>
      <c r="F24" s="171"/>
      <c r="G24" s="171"/>
      <c r="I24" s="171"/>
      <c r="J24" s="171"/>
      <c r="K24" s="171"/>
      <c r="N24" s="661"/>
    </row>
    <row r="25" spans="1:14" ht="15">
      <c r="A25" s="276">
        <v>14</v>
      </c>
      <c r="B25" s="277" t="s">
        <v>7</v>
      </c>
      <c r="C25" s="513">
        <v>9.542477006575549E-2</v>
      </c>
      <c r="D25" s="513">
        <v>9.2768633717890223E-2</v>
      </c>
      <c r="E25" s="513">
        <v>8.8114790879296287E-2</v>
      </c>
      <c r="F25" s="513">
        <v>8.7680168716091453E-2</v>
      </c>
      <c r="G25" s="513">
        <v>8.7725836976243809E-2</v>
      </c>
      <c r="I25" s="513">
        <v>8.8767534418935784E-2</v>
      </c>
      <c r="J25" s="513">
        <v>8.8767534418935784E-2</v>
      </c>
      <c r="K25" s="513">
        <v>8.8127316583087964E-2</v>
      </c>
      <c r="M25" s="661"/>
      <c r="N25" s="661"/>
    </row>
    <row r="26" spans="1:14" ht="15">
      <c r="A26" s="276">
        <v>15</v>
      </c>
      <c r="B26" s="277" t="s">
        <v>8</v>
      </c>
      <c r="C26" s="513">
        <v>3.9707953374135393E-2</v>
      </c>
      <c r="D26" s="513">
        <v>3.861247605381958E-2</v>
      </c>
      <c r="E26" s="513">
        <v>4.1973210181174024E-2</v>
      </c>
      <c r="F26" s="513">
        <v>4.2657799545441015E-2</v>
      </c>
      <c r="G26" s="513">
        <v>4.2699415326267122E-2</v>
      </c>
      <c r="I26" s="513">
        <v>4.2714003128115741E-2</v>
      </c>
      <c r="J26" s="513">
        <v>4.2714003128115741E-2</v>
      </c>
      <c r="K26" s="513">
        <v>4.3246190057616408E-2</v>
      </c>
      <c r="M26" s="513"/>
      <c r="N26" s="661"/>
    </row>
    <row r="27" spans="1:14" ht="15">
      <c r="A27" s="261">
        <v>16</v>
      </c>
      <c r="B27" s="263" t="s">
        <v>9</v>
      </c>
      <c r="C27" s="511">
        <v>6.3631443990687792E-2</v>
      </c>
      <c r="D27" s="511">
        <v>5.7088555461420276E-2</v>
      </c>
      <c r="E27" s="511">
        <v>5.2087845896672279E-2</v>
      </c>
      <c r="F27" s="511">
        <v>5.0243739736473385E-2</v>
      </c>
      <c r="G27" s="511">
        <v>4.8241386486971939E-2</v>
      </c>
      <c r="I27" s="511">
        <v>4.9921691511836966E-2</v>
      </c>
      <c r="J27" s="511">
        <v>4.9921691511836966E-2</v>
      </c>
      <c r="K27" s="511">
        <v>4.8715422466855673E-2</v>
      </c>
      <c r="N27" s="661"/>
    </row>
    <row r="28" spans="1:14" ht="15">
      <c r="A28" s="276">
        <v>17</v>
      </c>
      <c r="B28" s="277" t="s">
        <v>138</v>
      </c>
      <c r="C28" s="513">
        <v>5.571681669162009E-2</v>
      </c>
      <c r="D28" s="513">
        <v>5.4156157664070642E-2</v>
      </c>
      <c r="E28" s="513">
        <v>4.614158069812227E-2</v>
      </c>
      <c r="F28" s="513">
        <v>4.5022369170650431E-2</v>
      </c>
      <c r="G28" s="513">
        <v>4.5026421649976688E-2</v>
      </c>
      <c r="I28" s="513">
        <v>4.605353129082005E-2</v>
      </c>
      <c r="J28" s="513">
        <v>4.605353129082005E-2</v>
      </c>
      <c r="K28" s="513">
        <v>4.4881126525471562E-2</v>
      </c>
      <c r="M28" s="661"/>
      <c r="N28" s="661"/>
    </row>
    <row r="29" spans="1:14" ht="15">
      <c r="A29" s="276">
        <v>18</v>
      </c>
      <c r="B29" s="277" t="s">
        <v>10</v>
      </c>
      <c r="C29" s="513">
        <v>4.9556593938525649E-2</v>
      </c>
      <c r="D29" s="513">
        <v>4.2890222353269288E-2</v>
      </c>
      <c r="E29" s="513">
        <v>3.9388602337700328E-2</v>
      </c>
      <c r="F29" s="513">
        <v>4.0543324273692713E-2</v>
      </c>
      <c r="G29" s="513">
        <v>3.9243862343490671E-2</v>
      </c>
      <c r="I29" s="513">
        <v>3.5783648087918236E-2</v>
      </c>
      <c r="J29" s="513">
        <v>3.5783648087918236E-2</v>
      </c>
      <c r="K29" s="513">
        <v>3.6645790239328672E-2</v>
      </c>
      <c r="N29" s="661"/>
    </row>
    <row r="30" spans="1:14" ht="15">
      <c r="A30" s="276">
        <v>19</v>
      </c>
      <c r="B30" s="277" t="s">
        <v>11</v>
      </c>
      <c r="C30" s="513">
        <v>0.3363102400231765</v>
      </c>
      <c r="D30" s="513">
        <v>0.28951508462138309</v>
      </c>
      <c r="E30" s="513">
        <v>0.28544320613548568</v>
      </c>
      <c r="F30" s="513">
        <v>0.29442621296971527</v>
      </c>
      <c r="G30" s="513">
        <v>0.28519937210086355</v>
      </c>
      <c r="I30" s="513">
        <v>0.3099131705906864</v>
      </c>
      <c r="J30" s="513">
        <v>0.3099131705906864</v>
      </c>
      <c r="K30" s="513">
        <v>0.31927712643315065</v>
      </c>
      <c r="N30" s="661"/>
    </row>
    <row r="31" spans="1:14" ht="15">
      <c r="A31" s="272"/>
      <c r="B31" s="273" t="s">
        <v>998</v>
      </c>
      <c r="C31" s="171"/>
      <c r="D31" s="171"/>
      <c r="E31" s="171"/>
      <c r="F31" s="171"/>
      <c r="G31" s="171"/>
      <c r="I31" s="171"/>
      <c r="J31" s="171"/>
      <c r="K31" s="171"/>
      <c r="N31" s="661"/>
    </row>
    <row r="32" spans="1:14" ht="15">
      <c r="A32" s="276">
        <v>20</v>
      </c>
      <c r="B32" s="277" t="s">
        <v>12</v>
      </c>
      <c r="C32" s="513">
        <v>2.8564705143315616E-2</v>
      </c>
      <c r="D32" s="513">
        <v>2.9565552885403388E-2</v>
      </c>
      <c r="E32" s="513">
        <v>3.4341868541323976E-2</v>
      </c>
      <c r="F32" s="513">
        <v>3.5571119016606062E-2</v>
      </c>
      <c r="G32" s="513">
        <v>3.9585014447193471E-2</v>
      </c>
      <c r="I32" s="513">
        <v>4.160824196181083E-2</v>
      </c>
      <c r="J32" s="513">
        <v>4.160824196181083E-2</v>
      </c>
      <c r="K32" s="513">
        <v>4.4602926850789516E-2</v>
      </c>
      <c r="N32" s="661"/>
    </row>
    <row r="33" spans="1:14" ht="15">
      <c r="A33" s="276">
        <v>21</v>
      </c>
      <c r="B33" s="277" t="s">
        <v>948</v>
      </c>
      <c r="C33" s="513">
        <v>1.6378397881122254E-2</v>
      </c>
      <c r="D33" s="513">
        <v>1.7318520868615354E-2</v>
      </c>
      <c r="E33" s="513">
        <v>1.8249052034021183E-2</v>
      </c>
      <c r="F33" s="513">
        <v>2.1762402888897973E-2</v>
      </c>
      <c r="G33" s="513">
        <v>2.3919354308285234E-2</v>
      </c>
      <c r="I33" s="513">
        <v>3.8135547399584725E-2</v>
      </c>
      <c r="J33" s="513">
        <v>3.8135547399584725E-2</v>
      </c>
      <c r="K33" s="513">
        <v>3.9929241242363619E-2</v>
      </c>
      <c r="N33" s="661"/>
    </row>
    <row r="34" spans="1:14" ht="15">
      <c r="A34" s="276">
        <v>22</v>
      </c>
      <c r="B34" s="277" t="s">
        <v>13</v>
      </c>
      <c r="C34" s="513">
        <v>0.44148960193291531</v>
      </c>
      <c r="D34" s="517">
        <v>0.44381708047734547</v>
      </c>
      <c r="E34" s="517">
        <v>0.4539183591186205</v>
      </c>
      <c r="F34" s="517">
        <v>0.45409414557386008</v>
      </c>
      <c r="G34" s="517">
        <v>0.49355471880644641</v>
      </c>
      <c r="I34" s="699">
        <v>0.45452891981612425</v>
      </c>
      <c r="J34" s="699">
        <v>0.45452891981612425</v>
      </c>
      <c r="K34" s="699">
        <v>0.45492457412430276</v>
      </c>
      <c r="N34" s="661"/>
    </row>
    <row r="35" spans="1:14" ht="15">
      <c r="A35" s="276">
        <v>23</v>
      </c>
      <c r="B35" s="277" t="s">
        <v>14</v>
      </c>
      <c r="C35" s="513">
        <v>0.47051533695238551</v>
      </c>
      <c r="D35" s="517">
        <v>0.48443837898142</v>
      </c>
      <c r="E35" s="517">
        <v>0.50365280888491037</v>
      </c>
      <c r="F35" s="517">
        <v>0.49128173894090266</v>
      </c>
      <c r="G35" s="517">
        <v>0.48851643748859597</v>
      </c>
      <c r="I35" s="699">
        <v>0.50488933534922864</v>
      </c>
      <c r="J35" s="699">
        <v>0.50488933534922864</v>
      </c>
      <c r="K35" s="699">
        <v>0.50391885545381898</v>
      </c>
      <c r="N35" s="661"/>
    </row>
    <row r="36" spans="1:14" ht="15">
      <c r="A36" s="276">
        <v>24</v>
      </c>
      <c r="B36" s="277" t="s">
        <v>15</v>
      </c>
      <c r="C36" s="513">
        <v>7.8812286782515159E-2</v>
      </c>
      <c r="D36" s="517">
        <v>8.0734668738815935E-3</v>
      </c>
      <c r="E36" s="517">
        <v>5.8608812799010784E-2</v>
      </c>
      <c r="F36" s="517">
        <v>1.7869017785920243E-2</v>
      </c>
      <c r="G36" s="517">
        <v>2.7681629828161913E-2</v>
      </c>
      <c r="I36" s="513">
        <v>6.0565284854615729E-2</v>
      </c>
      <c r="J36" s="513">
        <v>6.0565284854615729E-2</v>
      </c>
      <c r="K36" s="513">
        <v>1.7964794408540805E-2</v>
      </c>
      <c r="N36" s="661"/>
    </row>
    <row r="37" spans="1:14" ht="15">
      <c r="A37" s="272"/>
      <c r="B37" s="273" t="s">
        <v>16</v>
      </c>
      <c r="C37" s="171"/>
      <c r="D37" s="171"/>
      <c r="E37" s="171"/>
      <c r="F37" s="171"/>
      <c r="G37" s="171"/>
      <c r="I37" s="171"/>
      <c r="J37" s="171"/>
      <c r="K37" s="171"/>
      <c r="N37" s="661"/>
    </row>
    <row r="38" spans="1:14" ht="15">
      <c r="A38" s="276">
        <v>25</v>
      </c>
      <c r="B38" s="277" t="s">
        <v>17</v>
      </c>
      <c r="C38" s="513">
        <v>0.22827240674996019</v>
      </c>
      <c r="D38" s="513">
        <v>0.24676003258559462</v>
      </c>
      <c r="E38" s="513">
        <v>0.22100453014507843</v>
      </c>
      <c r="F38" s="513">
        <v>0.25407867579901061</v>
      </c>
      <c r="G38" s="786">
        <v>0.21136987259495935</v>
      </c>
      <c r="I38" s="513">
        <v>0.22531195922271671</v>
      </c>
      <c r="J38" s="513">
        <v>0.22531195922271671</v>
      </c>
      <c r="K38" s="513">
        <v>0.25183080274406877</v>
      </c>
      <c r="N38" s="661"/>
    </row>
    <row r="39" spans="1:14" ht="15">
      <c r="A39" s="276">
        <v>26</v>
      </c>
      <c r="B39" s="277" t="s">
        <v>18</v>
      </c>
      <c r="C39" s="513">
        <v>0.53343425724843652</v>
      </c>
      <c r="D39" s="584">
        <v>0.55011265662741282</v>
      </c>
      <c r="E39" s="584">
        <v>0.55655054270938875</v>
      </c>
      <c r="F39" s="584">
        <v>0.55854953743888169</v>
      </c>
      <c r="G39" s="584">
        <v>0.54498363037350672</v>
      </c>
      <c r="I39" s="700">
        <v>0.56278921149536698</v>
      </c>
      <c r="J39" s="700">
        <v>0.56278921149536698</v>
      </c>
      <c r="K39" s="700">
        <v>0.57587201089748929</v>
      </c>
      <c r="N39" s="661"/>
    </row>
    <row r="40" spans="1:14" ht="15">
      <c r="A40" s="276">
        <v>27</v>
      </c>
      <c r="B40" s="277" t="s">
        <v>19</v>
      </c>
      <c r="C40" s="584">
        <v>0.40433456515363331</v>
      </c>
      <c r="D40" s="584">
        <v>0.38906478334319772</v>
      </c>
      <c r="E40" s="584">
        <v>0.38096756107627328</v>
      </c>
      <c r="F40" s="584">
        <v>0.36621481930388761</v>
      </c>
      <c r="G40" s="584">
        <v>0.31634750604901091</v>
      </c>
      <c r="I40" s="513">
        <v>0.38921943366681128</v>
      </c>
      <c r="J40" s="513">
        <v>0.38921943366681128</v>
      </c>
      <c r="K40" s="513">
        <v>0.36004173453853894</v>
      </c>
      <c r="N40" s="661"/>
    </row>
    <row r="41" spans="1:14" ht="15">
      <c r="A41" s="280"/>
      <c r="B41" s="273" t="s">
        <v>353</v>
      </c>
      <c r="C41" s="171"/>
      <c r="D41" s="171"/>
      <c r="E41" s="171"/>
      <c r="F41" s="171"/>
      <c r="G41" s="171"/>
      <c r="I41" s="171"/>
      <c r="J41" s="171"/>
      <c r="K41" s="171"/>
      <c r="N41" s="661"/>
    </row>
    <row r="42" spans="1:14" ht="15">
      <c r="A42" s="276">
        <v>28</v>
      </c>
      <c r="B42" s="319" t="s">
        <v>337</v>
      </c>
      <c r="C42" s="278">
        <v>6701507805.3842936</v>
      </c>
      <c r="D42" s="278">
        <v>6952177514.1958275</v>
      </c>
      <c r="E42" s="278"/>
      <c r="F42" s="278"/>
      <c r="G42" s="278"/>
      <c r="I42" s="701">
        <v>6988272509.9606028</v>
      </c>
      <c r="J42" s="701">
        <v>6988272509.9606028</v>
      </c>
      <c r="K42" s="701">
        <v>6500381168.1167784</v>
      </c>
      <c r="N42" s="661"/>
    </row>
    <row r="43" spans="1:14" ht="15">
      <c r="A43" s="276">
        <v>29</v>
      </c>
      <c r="B43" s="277" t="s">
        <v>338</v>
      </c>
      <c r="C43" s="278">
        <v>5592369356.7278357</v>
      </c>
      <c r="D43" s="278">
        <v>5391049989.3087015</v>
      </c>
      <c r="E43" s="279"/>
      <c r="F43" s="279"/>
      <c r="G43" s="279"/>
      <c r="I43" s="702">
        <v>5540173711.2260056</v>
      </c>
      <c r="J43" s="702">
        <v>5540173711.2260056</v>
      </c>
      <c r="K43" s="702">
        <v>5028896009.5991259</v>
      </c>
      <c r="N43" s="661"/>
    </row>
    <row r="44" spans="1:14" ht="15">
      <c r="A44" s="317">
        <v>30</v>
      </c>
      <c r="B44" s="318" t="s">
        <v>336</v>
      </c>
      <c r="C44" s="608">
        <v>1.1983306856014655</v>
      </c>
      <c r="D44" s="608">
        <v>1.2895776384902917</v>
      </c>
      <c r="E44" s="278"/>
      <c r="F44" s="278"/>
      <c r="G44" s="278"/>
      <c r="I44" s="700">
        <v>1.2613814790320252</v>
      </c>
      <c r="J44" s="700">
        <v>1.2613814790320252</v>
      </c>
      <c r="K44" s="700">
        <v>1.2926060025319455</v>
      </c>
      <c r="N44" s="661"/>
    </row>
    <row r="45" spans="1:14" ht="15">
      <c r="A45" s="317"/>
      <c r="B45" s="273" t="s">
        <v>449</v>
      </c>
      <c r="C45" s="171"/>
      <c r="D45" s="171"/>
      <c r="E45" s="171"/>
      <c r="F45" s="171"/>
      <c r="G45" s="171"/>
      <c r="I45" s="171"/>
      <c r="J45" s="171"/>
      <c r="K45" s="171"/>
      <c r="N45" s="661"/>
    </row>
    <row r="46" spans="1:14" ht="15">
      <c r="A46" s="317">
        <v>31</v>
      </c>
      <c r="B46" s="318" t="s">
        <v>456</v>
      </c>
      <c r="C46" s="509">
        <v>17926162385.25201</v>
      </c>
      <c r="D46" s="509">
        <v>17292859996.864712</v>
      </c>
      <c r="E46" s="509">
        <v>17279930786.49155</v>
      </c>
      <c r="F46" s="509">
        <v>17279930786.49155</v>
      </c>
      <c r="G46" s="509">
        <v>16346198371.36577</v>
      </c>
      <c r="I46" s="509">
        <v>16753276419.491652</v>
      </c>
      <c r="J46" s="509">
        <v>16753276419.491652</v>
      </c>
      <c r="K46" s="509">
        <v>16295389551.729456</v>
      </c>
      <c r="N46" s="661"/>
    </row>
    <row r="47" spans="1:14" ht="15">
      <c r="A47" s="317">
        <v>32</v>
      </c>
      <c r="B47" s="318" t="s">
        <v>469</v>
      </c>
      <c r="C47" s="509">
        <v>13978780620.87665</v>
      </c>
      <c r="D47" s="509">
        <v>13287959775.311371</v>
      </c>
      <c r="E47" s="509">
        <v>13224505886.799133</v>
      </c>
      <c r="F47" s="509">
        <v>13224505886.799133</v>
      </c>
      <c r="G47" s="509">
        <v>12572889322.019644</v>
      </c>
      <c r="I47" s="509">
        <v>12699282366.869549</v>
      </c>
      <c r="J47" s="509">
        <v>12699282366.869549</v>
      </c>
      <c r="K47" s="509">
        <v>12445006872.860361</v>
      </c>
      <c r="N47" s="661"/>
    </row>
    <row r="48" spans="1:14" thickBot="1">
      <c r="A48" s="69">
        <v>33</v>
      </c>
      <c r="B48" s="134" t="s">
        <v>482</v>
      </c>
      <c r="C48" s="713">
        <v>1.2823838410111488</v>
      </c>
      <c r="D48" s="713">
        <v>1.3013931626278945</v>
      </c>
      <c r="E48" s="713">
        <v>1.3066598430524798</v>
      </c>
      <c r="F48" s="713">
        <v>1.3066598430524798</v>
      </c>
      <c r="G48" s="713">
        <v>1.3001147113207867</v>
      </c>
      <c r="I48" s="713">
        <v>1.319230168721844</v>
      </c>
      <c r="J48" s="713">
        <v>1.319230168721844</v>
      </c>
      <c r="K48" s="713">
        <v>1.3093917679761091</v>
      </c>
      <c r="N48" s="661"/>
    </row>
    <row r="49" spans="1:14">
      <c r="A49" s="18"/>
      <c r="N49" s="661"/>
    </row>
    <row r="50" spans="1:14" ht="39.75">
      <c r="B50" s="21" t="s">
        <v>935</v>
      </c>
      <c r="N50" s="661"/>
    </row>
    <row r="51" spans="1:14" ht="65.25">
      <c r="B51" s="204" t="s">
        <v>352</v>
      </c>
      <c r="D51" s="192"/>
      <c r="E51" s="192"/>
      <c r="F51" s="192"/>
      <c r="G51" s="19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workbookViewId="0"/>
  </sheetViews>
  <sheetFormatPr defaultColWidth="9.140625" defaultRowHeight="12.75"/>
  <cols>
    <col min="1" max="1" width="11.85546875" style="325" bestFit="1" customWidth="1"/>
    <col min="2" max="2" width="105.140625" style="325" bestFit="1" customWidth="1"/>
    <col min="3" max="3" width="19.42578125" style="518" bestFit="1" customWidth="1"/>
    <col min="4" max="4" width="22.42578125" style="518" bestFit="1" customWidth="1"/>
    <col min="5" max="6" width="19.42578125" style="518" bestFit="1" customWidth="1"/>
    <col min="7" max="7" width="36" style="518" bestFit="1" customWidth="1"/>
    <col min="8" max="8" width="20.7109375" style="518" customWidth="1"/>
    <col min="9" max="9" width="17" style="518" bestFit="1" customWidth="1"/>
    <col min="10" max="10" width="9.140625" style="325"/>
    <col min="11" max="11" width="18.42578125" style="325" customWidth="1"/>
    <col min="12" max="16384" width="9.140625" style="325"/>
  </cols>
  <sheetData>
    <row r="1" spans="1:11" ht="13.5">
      <c r="A1" s="324" t="s">
        <v>106</v>
      </c>
      <c r="B1" s="257" t="str">
        <f>Info!C2</f>
        <v>სს ”საქართველოს ბანკი”</v>
      </c>
    </row>
    <row r="2" spans="1:11">
      <c r="A2" s="326" t="s">
        <v>107</v>
      </c>
      <c r="B2" s="761">
        <f>'1. key ratios'!B2</f>
        <v>45107</v>
      </c>
    </row>
    <row r="3" spans="1:11">
      <c r="A3" s="327" t="s">
        <v>488</v>
      </c>
    </row>
    <row r="5" spans="1:11">
      <c r="A5" s="846" t="s">
        <v>489</v>
      </c>
      <c r="B5" s="847"/>
      <c r="C5" s="852" t="s">
        <v>490</v>
      </c>
      <c r="D5" s="853"/>
      <c r="E5" s="853"/>
      <c r="F5" s="853"/>
      <c r="G5" s="853"/>
      <c r="H5" s="854"/>
    </row>
    <row r="6" spans="1:11">
      <c r="A6" s="848"/>
      <c r="B6" s="849"/>
      <c r="C6" s="855"/>
      <c r="D6" s="856"/>
      <c r="E6" s="856"/>
      <c r="F6" s="856"/>
      <c r="G6" s="856"/>
      <c r="H6" s="857"/>
    </row>
    <row r="7" spans="1:11">
      <c r="A7" s="850"/>
      <c r="B7" s="851"/>
      <c r="C7" s="519" t="s">
        <v>491</v>
      </c>
      <c r="D7" s="519" t="s">
        <v>492</v>
      </c>
      <c r="E7" s="519" t="s">
        <v>493</v>
      </c>
      <c r="F7" s="519" t="s">
        <v>494</v>
      </c>
      <c r="G7" s="520" t="s">
        <v>674</v>
      </c>
      <c r="H7" s="519" t="s">
        <v>64</v>
      </c>
    </row>
    <row r="8" spans="1:11" ht="15">
      <c r="A8" s="353">
        <v>1</v>
      </c>
      <c r="B8" s="352" t="s">
        <v>132</v>
      </c>
      <c r="C8" s="522">
        <v>2099812814.9400001</v>
      </c>
      <c r="D8" s="522">
        <v>1999921663.7718</v>
      </c>
      <c r="E8" s="522">
        <v>1155125671.5970001</v>
      </c>
      <c r="F8" s="522">
        <v>311520937.31690001</v>
      </c>
      <c r="G8" s="522">
        <v>0</v>
      </c>
      <c r="H8" s="521">
        <f t="shared" ref="H8:H20" si="0">SUM(C8:G8)</f>
        <v>5566381087.6257</v>
      </c>
    </row>
    <row r="9" spans="1:11" ht="15">
      <c r="A9" s="353">
        <v>2</v>
      </c>
      <c r="B9" s="352" t="s">
        <v>133</v>
      </c>
      <c r="C9" s="522">
        <v>0</v>
      </c>
      <c r="D9" s="522"/>
      <c r="E9" s="522"/>
      <c r="F9" s="522"/>
      <c r="G9" s="522">
        <v>0</v>
      </c>
      <c r="H9" s="521">
        <f t="shared" si="0"/>
        <v>0</v>
      </c>
    </row>
    <row r="10" spans="1:11" ht="15">
      <c r="A10" s="353">
        <v>3</v>
      </c>
      <c r="B10" s="352" t="s">
        <v>134</v>
      </c>
      <c r="C10" s="522"/>
      <c r="D10" s="522"/>
      <c r="E10" s="522"/>
      <c r="F10" s="522"/>
      <c r="G10" s="522"/>
      <c r="H10" s="521">
        <f t="shared" si="0"/>
        <v>0</v>
      </c>
    </row>
    <row r="11" spans="1:11" ht="15">
      <c r="A11" s="353">
        <v>4</v>
      </c>
      <c r="B11" s="352" t="s">
        <v>135</v>
      </c>
      <c r="C11" s="522"/>
      <c r="D11" s="522">
        <v>162899205.69999999</v>
      </c>
      <c r="E11" s="522">
        <v>685834154.07000005</v>
      </c>
      <c r="F11" s="522">
        <v>0</v>
      </c>
      <c r="G11" s="522"/>
      <c r="H11" s="521">
        <f t="shared" si="0"/>
        <v>848733359.76999998</v>
      </c>
    </row>
    <row r="12" spans="1:11" ht="15">
      <c r="A12" s="353">
        <v>5</v>
      </c>
      <c r="B12" s="352" t="s">
        <v>939</v>
      </c>
      <c r="C12" s="522"/>
      <c r="D12" s="522"/>
      <c r="E12" s="522"/>
      <c r="F12" s="522"/>
      <c r="G12" s="522"/>
      <c r="H12" s="521">
        <f t="shared" si="0"/>
        <v>0</v>
      </c>
    </row>
    <row r="13" spans="1:11" ht="15">
      <c r="A13" s="353">
        <v>6</v>
      </c>
      <c r="B13" s="352" t="s">
        <v>136</v>
      </c>
      <c r="C13" s="522">
        <v>501081122.79089999</v>
      </c>
      <c r="D13" s="522">
        <v>51896154.782699943</v>
      </c>
      <c r="E13" s="522">
        <v>23808998.9461</v>
      </c>
      <c r="F13" s="522"/>
      <c r="G13" s="522">
        <v>0</v>
      </c>
      <c r="H13" s="521">
        <f t="shared" si="0"/>
        <v>576786276.51969993</v>
      </c>
    </row>
    <row r="14" spans="1:11" ht="15">
      <c r="A14" s="353">
        <v>7</v>
      </c>
      <c r="B14" s="352" t="s">
        <v>69</v>
      </c>
      <c r="C14" s="522">
        <v>0</v>
      </c>
      <c r="D14" s="522">
        <v>1619284148.8801649</v>
      </c>
      <c r="E14" s="522">
        <v>2365148317.3695612</v>
      </c>
      <c r="F14" s="522">
        <v>2850796110.5089974</v>
      </c>
      <c r="G14" s="522">
        <v>71117568.008149996</v>
      </c>
      <c r="H14" s="521">
        <f t="shared" si="0"/>
        <v>6906346144.7668743</v>
      </c>
      <c r="K14" s="518"/>
    </row>
    <row r="15" spans="1:11" ht="15">
      <c r="A15" s="353">
        <v>8</v>
      </c>
      <c r="B15" s="354" t="s">
        <v>70</v>
      </c>
      <c r="C15" s="522">
        <v>0</v>
      </c>
      <c r="D15" s="522">
        <v>719528023.59658372</v>
      </c>
      <c r="E15" s="522">
        <v>3089349666.816268</v>
      </c>
      <c r="F15" s="522">
        <v>2386054134.4893408</v>
      </c>
      <c r="G15" s="522">
        <v>21798748.613837197</v>
      </c>
      <c r="H15" s="521">
        <f t="shared" si="0"/>
        <v>6216730573.5160303</v>
      </c>
    </row>
    <row r="16" spans="1:11" ht="15">
      <c r="A16" s="353">
        <v>9</v>
      </c>
      <c r="B16" s="352" t="s">
        <v>940</v>
      </c>
      <c r="C16" s="522"/>
      <c r="D16" s="522">
        <v>113546714.5875843</v>
      </c>
      <c r="E16" s="522">
        <v>1040711701.6078025</v>
      </c>
      <c r="F16" s="522">
        <v>3205996793.3434033</v>
      </c>
      <c r="G16" s="522">
        <v>3238983.5237498167</v>
      </c>
      <c r="H16" s="521">
        <f t="shared" si="0"/>
        <v>4363494193.0625391</v>
      </c>
    </row>
    <row r="17" spans="1:8" ht="15">
      <c r="A17" s="353">
        <v>10</v>
      </c>
      <c r="B17" s="356" t="s">
        <v>509</v>
      </c>
      <c r="C17" s="522"/>
      <c r="D17" s="522">
        <v>13860154.875413001</v>
      </c>
      <c r="E17" s="522">
        <v>51538220.361211941</v>
      </c>
      <c r="F17" s="522">
        <v>66957857.606052004</v>
      </c>
      <c r="G17" s="522">
        <v>69273575.507040024</v>
      </c>
      <c r="H17" s="521">
        <f t="shared" si="0"/>
        <v>201629808.34971696</v>
      </c>
    </row>
    <row r="18" spans="1:8" ht="15">
      <c r="A18" s="353">
        <v>11</v>
      </c>
      <c r="B18" s="352" t="s">
        <v>66</v>
      </c>
      <c r="C18" s="522"/>
      <c r="D18" s="522">
        <v>1397499.9261</v>
      </c>
      <c r="E18" s="522">
        <v>34312528.837062001</v>
      </c>
      <c r="F18" s="522">
        <v>152172911.1112</v>
      </c>
      <c r="G18" s="522">
        <v>45517174.902701899</v>
      </c>
      <c r="H18" s="521">
        <f t="shared" si="0"/>
        <v>233400114.77706391</v>
      </c>
    </row>
    <row r="19" spans="1:8" ht="15">
      <c r="A19" s="353">
        <v>12</v>
      </c>
      <c r="B19" s="352" t="s">
        <v>67</v>
      </c>
      <c r="C19" s="522"/>
      <c r="D19" s="522"/>
      <c r="E19" s="522"/>
      <c r="F19" s="522"/>
      <c r="G19" s="522"/>
      <c r="H19" s="521">
        <f t="shared" si="0"/>
        <v>0</v>
      </c>
    </row>
    <row r="20" spans="1:8" ht="15">
      <c r="A20" s="355">
        <v>13</v>
      </c>
      <c r="B20" s="354" t="s">
        <v>68</v>
      </c>
      <c r="C20" s="522"/>
      <c r="D20" s="522"/>
      <c r="E20" s="522"/>
      <c r="F20" s="522"/>
      <c r="G20" s="522"/>
      <c r="H20" s="521">
        <f t="shared" si="0"/>
        <v>0</v>
      </c>
    </row>
    <row r="21" spans="1:8" ht="15">
      <c r="A21" s="353">
        <v>14</v>
      </c>
      <c r="B21" s="352" t="s">
        <v>495</v>
      </c>
      <c r="C21" s="522">
        <v>844702887.2529999</v>
      </c>
      <c r="D21" s="522">
        <v>398128779.46979129</v>
      </c>
      <c r="E21" s="522"/>
      <c r="F21" s="522"/>
      <c r="G21" s="522">
        <v>762275586.44452524</v>
      </c>
      <c r="H21" s="521">
        <f>SUM(C21:G21)</f>
        <v>2005107253.1673164</v>
      </c>
    </row>
    <row r="22" spans="1:8">
      <c r="A22" s="351">
        <v>15</v>
      </c>
      <c r="B22" s="350" t="s">
        <v>64</v>
      </c>
      <c r="C22" s="521">
        <f>SUM(C18:C21)+SUM(C8:C16)</f>
        <v>3445596824.9838996</v>
      </c>
      <c r="D22" s="521">
        <f t="shared" ref="D22:H22" si="1">SUM(D18:D21)+SUM(D8:D16)</f>
        <v>5066602190.7147236</v>
      </c>
      <c r="E22" s="521">
        <f t="shared" si="1"/>
        <v>8394291039.2437935</v>
      </c>
      <c r="F22" s="521">
        <f t="shared" si="1"/>
        <v>8906540886.7698421</v>
      </c>
      <c r="G22" s="521">
        <f t="shared" si="1"/>
        <v>903948061.49296415</v>
      </c>
      <c r="H22" s="521">
        <f t="shared" si="1"/>
        <v>26716979003.205223</v>
      </c>
    </row>
    <row r="26" spans="1:8" ht="38.25">
      <c r="B26" s="345" t="s">
        <v>673</v>
      </c>
    </row>
    <row r="31" spans="1:8">
      <c r="B31" s="325" t="s">
        <v>998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G16" zoomScaleNormal="100" workbookViewId="0">
      <selection activeCell="G23" sqref="G23"/>
    </sheetView>
  </sheetViews>
  <sheetFormatPr defaultColWidth="9.140625" defaultRowHeight="12.75"/>
  <cols>
    <col min="1" max="1" width="11.85546875" style="329" bestFit="1" customWidth="1"/>
    <col min="2" max="2" width="86.85546875" style="325" customWidth="1"/>
    <col min="3" max="4" width="31.5703125" style="325" customWidth="1"/>
    <col min="5" max="5" width="16.42578125" style="331" bestFit="1" customWidth="1"/>
    <col min="6" max="6" width="14.28515625" style="331" bestFit="1" customWidth="1"/>
    <col min="7" max="7" width="20" style="325" bestFit="1" customWidth="1"/>
    <col min="8" max="8" width="25.140625" style="325" bestFit="1" customWidth="1"/>
    <col min="9" max="9" width="13.5703125" style="325" customWidth="1"/>
    <col min="10" max="16384" width="9.140625" style="325"/>
  </cols>
  <sheetData>
    <row r="1" spans="1:9" ht="13.5">
      <c r="A1" s="324" t="s">
        <v>106</v>
      </c>
      <c r="B1" s="257" t="str">
        <f>Info!C2</f>
        <v>სს ”საქართველოს ბანკი”</v>
      </c>
      <c r="C1" s="369"/>
      <c r="D1" s="369"/>
      <c r="E1" s="369"/>
      <c r="F1" s="369"/>
      <c r="G1" s="369"/>
      <c r="H1" s="369"/>
    </row>
    <row r="2" spans="1:9">
      <c r="A2" s="326" t="s">
        <v>107</v>
      </c>
      <c r="B2" s="328">
        <f>'1. key ratios'!B2</f>
        <v>45107</v>
      </c>
      <c r="C2" s="369"/>
      <c r="D2" s="369"/>
      <c r="E2" s="369"/>
      <c r="F2" s="369"/>
      <c r="G2" s="369"/>
      <c r="H2" s="369"/>
    </row>
    <row r="3" spans="1:9">
      <c r="A3" s="327" t="s">
        <v>496</v>
      </c>
      <c r="B3" s="369"/>
      <c r="C3" s="369"/>
      <c r="D3" s="369"/>
      <c r="E3" s="369"/>
      <c r="F3" s="369"/>
      <c r="G3" s="369"/>
      <c r="H3" s="369"/>
    </row>
    <row r="4" spans="1:9">
      <c r="A4" s="370"/>
      <c r="B4" s="369"/>
      <c r="C4" s="368" t="s">
        <v>497</v>
      </c>
      <c r="D4" s="368" t="s">
        <v>498</v>
      </c>
      <c r="E4" s="368" t="s">
        <v>499</v>
      </c>
      <c r="F4" s="368" t="s">
        <v>500</v>
      </c>
      <c r="G4" s="368" t="s">
        <v>501</v>
      </c>
      <c r="H4" s="368" t="s">
        <v>502</v>
      </c>
    </row>
    <row r="5" spans="1:9" ht="25.5">
      <c r="A5" s="846" t="s">
        <v>860</v>
      </c>
      <c r="B5" s="847"/>
      <c r="C5" s="860" t="s">
        <v>591</v>
      </c>
      <c r="D5" s="860"/>
      <c r="E5" s="860" t="s">
        <v>859</v>
      </c>
      <c r="F5" s="858" t="s">
        <v>858</v>
      </c>
      <c r="G5" s="858" t="s">
        <v>506</v>
      </c>
      <c r="H5" s="366" t="s">
        <v>857</v>
      </c>
    </row>
    <row r="6" spans="1:9" ht="25.5">
      <c r="A6" s="850"/>
      <c r="B6" s="851"/>
      <c r="C6" s="367" t="s">
        <v>507</v>
      </c>
      <c r="D6" s="367" t="s">
        <v>508</v>
      </c>
      <c r="E6" s="860"/>
      <c r="F6" s="859"/>
      <c r="G6" s="859"/>
      <c r="H6" s="366" t="s">
        <v>856</v>
      </c>
    </row>
    <row r="7" spans="1:9" ht="15">
      <c r="A7" s="364">
        <v>1</v>
      </c>
      <c r="B7" s="352" t="s">
        <v>132</v>
      </c>
      <c r="C7" s="522"/>
      <c r="D7" s="522">
        <v>5570080836.7756996</v>
      </c>
      <c r="E7" s="522">
        <v>3699749.15</v>
      </c>
      <c r="F7" s="359"/>
      <c r="G7" s="522"/>
      <c r="H7" s="357">
        <f t="shared" ref="H7:H20" si="0">C7+D7-E7-F7</f>
        <v>5566381087.6257</v>
      </c>
      <c r="I7" s="524">
        <f>H7-' 17. Residual Maturity'!H8</f>
        <v>0</v>
      </c>
    </row>
    <row r="8" spans="1:9" ht="24">
      <c r="A8" s="364">
        <v>2</v>
      </c>
      <c r="B8" s="352" t="s">
        <v>133</v>
      </c>
      <c r="C8" s="522"/>
      <c r="D8" s="522"/>
      <c r="E8" s="522"/>
      <c r="F8" s="359"/>
      <c r="G8" s="522"/>
      <c r="H8" s="357">
        <f t="shared" si="0"/>
        <v>0</v>
      </c>
      <c r="I8" s="524">
        <f>H8-' 17. Residual Maturity'!H9</f>
        <v>0</v>
      </c>
    </row>
    <row r="9" spans="1:9" ht="15">
      <c r="A9" s="364">
        <v>3</v>
      </c>
      <c r="B9" s="352" t="s">
        <v>134</v>
      </c>
      <c r="C9" s="522"/>
      <c r="D9" s="522"/>
      <c r="E9" s="522"/>
      <c r="F9" s="359"/>
      <c r="G9" s="522"/>
      <c r="H9" s="357">
        <f t="shared" si="0"/>
        <v>0</v>
      </c>
      <c r="I9" s="524">
        <f>H9-' 17. Residual Maturity'!H10</f>
        <v>0</v>
      </c>
    </row>
    <row r="10" spans="1:9" ht="15">
      <c r="A10" s="364">
        <v>4</v>
      </c>
      <c r="B10" s="352" t="s">
        <v>135</v>
      </c>
      <c r="C10" s="522"/>
      <c r="D10" s="522">
        <v>848733359.7700001</v>
      </c>
      <c r="E10" s="522">
        <v>0</v>
      </c>
      <c r="F10" s="359"/>
      <c r="G10" s="522"/>
      <c r="H10" s="357">
        <f t="shared" si="0"/>
        <v>848733359.7700001</v>
      </c>
      <c r="I10" s="524">
        <f>H10-' 17. Residual Maturity'!H11</f>
        <v>0</v>
      </c>
    </row>
    <row r="11" spans="1:9" ht="15">
      <c r="A11" s="364">
        <v>5</v>
      </c>
      <c r="B11" s="352" t="s">
        <v>939</v>
      </c>
      <c r="C11" s="522"/>
      <c r="D11" s="522"/>
      <c r="E11" s="522"/>
      <c r="F11" s="359"/>
      <c r="G11" s="522"/>
      <c r="H11" s="357">
        <f t="shared" si="0"/>
        <v>0</v>
      </c>
      <c r="I11" s="524">
        <f>H11-' 17. Residual Maturity'!H12</f>
        <v>0</v>
      </c>
    </row>
    <row r="12" spans="1:9" ht="15">
      <c r="A12" s="364">
        <v>6</v>
      </c>
      <c r="B12" s="352" t="s">
        <v>136</v>
      </c>
      <c r="C12" s="522"/>
      <c r="D12" s="522">
        <f>' 17. Residual Maturity'!H13+E12</f>
        <v>576964375.19969988</v>
      </c>
      <c r="E12" s="522">
        <v>178098.68</v>
      </c>
      <c r="F12" s="359"/>
      <c r="G12" s="522"/>
      <c r="H12" s="357">
        <f t="shared" si="0"/>
        <v>576786276.51969993</v>
      </c>
      <c r="I12" s="524">
        <f>H12-' 17. Residual Maturity'!H13</f>
        <v>0</v>
      </c>
    </row>
    <row r="13" spans="1:9" ht="15">
      <c r="A13" s="364">
        <v>7</v>
      </c>
      <c r="B13" s="352" t="s">
        <v>69</v>
      </c>
      <c r="C13" s="522">
        <v>180584180.79016626</v>
      </c>
      <c r="D13" s="522">
        <v>6817744230.9319715</v>
      </c>
      <c r="E13" s="522">
        <v>91982266.955263093</v>
      </c>
      <c r="F13" s="359"/>
      <c r="G13" s="522">
        <v>20043.16</v>
      </c>
      <c r="H13" s="357">
        <f t="shared" si="0"/>
        <v>6906346144.7668743</v>
      </c>
      <c r="I13" s="524">
        <f>H13-' 17. Residual Maturity'!H14</f>
        <v>0</v>
      </c>
    </row>
    <row r="14" spans="1:9" ht="15">
      <c r="A14" s="364">
        <v>8</v>
      </c>
      <c r="B14" s="354" t="s">
        <v>70</v>
      </c>
      <c r="C14" s="522">
        <v>252393650.81</v>
      </c>
      <c r="D14" s="522">
        <v>6140815396.3900003</v>
      </c>
      <c r="E14" s="522">
        <v>176478473.68226081</v>
      </c>
      <c r="F14" s="359"/>
      <c r="G14" s="522">
        <v>39992059.609999999</v>
      </c>
      <c r="H14" s="357">
        <f t="shared" si="0"/>
        <v>6216730573.5177402</v>
      </c>
      <c r="I14" s="524">
        <f>H14-' 17. Residual Maturity'!H15</f>
        <v>1.7099380493164063E-3</v>
      </c>
    </row>
    <row r="15" spans="1:9" ht="15">
      <c r="A15" s="364">
        <v>9</v>
      </c>
      <c r="B15" s="352" t="s">
        <v>940</v>
      </c>
      <c r="C15" s="522">
        <v>95620115.609999999</v>
      </c>
      <c r="D15" s="522">
        <v>4293949454.0500002</v>
      </c>
      <c r="E15" s="522">
        <v>26075376.59015429</v>
      </c>
      <c r="F15" s="359"/>
      <c r="G15" s="522">
        <v>892957.59</v>
      </c>
      <c r="H15" s="357">
        <f t="shared" si="0"/>
        <v>4363494193.0698452</v>
      </c>
      <c r="I15" s="524">
        <f>H15-' 17. Residual Maturity'!H16</f>
        <v>7.3060989379882813E-3</v>
      </c>
    </row>
    <row r="16" spans="1:9" ht="15">
      <c r="A16" s="364">
        <v>10</v>
      </c>
      <c r="B16" s="356" t="s">
        <v>509</v>
      </c>
      <c r="C16" s="522">
        <v>282419137.85000002</v>
      </c>
      <c r="D16" s="522">
        <v>1375546.2</v>
      </c>
      <c r="E16" s="522">
        <v>82164875.692983031</v>
      </c>
      <c r="F16" s="359"/>
      <c r="G16" s="522">
        <f>SUM(G13:G15)+G17</f>
        <v>41536072</v>
      </c>
      <c r="H16" s="357">
        <f t="shared" si="0"/>
        <v>201629808.35701698</v>
      </c>
      <c r="I16" s="524">
        <f>H16-' 17. Residual Maturity'!H17</f>
        <v>7.3000192642211914E-3</v>
      </c>
    </row>
    <row r="17" spans="1:9" ht="15">
      <c r="A17" s="364">
        <v>11</v>
      </c>
      <c r="B17" s="352" t="s">
        <v>66</v>
      </c>
      <c r="C17" s="522">
        <v>1543267.63</v>
      </c>
      <c r="D17" s="522">
        <v>235066911.59270191</v>
      </c>
      <c r="E17" s="522">
        <v>3210064.4427380003</v>
      </c>
      <c r="F17" s="359"/>
      <c r="G17" s="522">
        <v>631011.64</v>
      </c>
      <c r="H17" s="357">
        <f t="shared" si="0"/>
        <v>233400114.77996391</v>
      </c>
      <c r="I17" s="524">
        <f>H17-' 17. Residual Maturity'!H18</f>
        <v>2.9000043869018555E-3</v>
      </c>
    </row>
    <row r="18" spans="1:9" ht="15">
      <c r="A18" s="364">
        <v>12</v>
      </c>
      <c r="B18" s="352" t="s">
        <v>67</v>
      </c>
      <c r="C18" s="522"/>
      <c r="D18" s="522"/>
      <c r="E18" s="522"/>
      <c r="F18" s="359"/>
      <c r="G18" s="522"/>
      <c r="H18" s="357">
        <f t="shared" si="0"/>
        <v>0</v>
      </c>
      <c r="I18" s="524">
        <f>H18-' 17. Residual Maturity'!H19</f>
        <v>0</v>
      </c>
    </row>
    <row r="19" spans="1:9" ht="15">
      <c r="A19" s="365">
        <v>13</v>
      </c>
      <c r="B19" s="354" t="s">
        <v>68</v>
      </c>
      <c r="C19" s="522"/>
      <c r="D19" s="522"/>
      <c r="E19" s="522"/>
      <c r="F19" s="359"/>
      <c r="G19" s="522"/>
      <c r="H19" s="357">
        <f t="shared" si="0"/>
        <v>0</v>
      </c>
      <c r="I19" s="524">
        <f>H19-' 17. Residual Maturity'!H20</f>
        <v>0</v>
      </c>
    </row>
    <row r="20" spans="1:9" ht="15">
      <c r="A20" s="364">
        <v>14</v>
      </c>
      <c r="B20" s="352" t="s">
        <v>495</v>
      </c>
      <c r="C20" s="522">
        <f>E20</f>
        <v>14588729.099933745</v>
      </c>
      <c r="D20" s="522">
        <v>2184152718.6810164</v>
      </c>
      <c r="E20" s="325">
        <v>14588729.099933745</v>
      </c>
      <c r="F20" s="359"/>
      <c r="G20" s="522">
        <f>'19. Assets by Risk Sectors'!G33</f>
        <v>816261.0199999999</v>
      </c>
      <c r="H20" s="357">
        <f t="shared" si="0"/>
        <v>2184152718.6810164</v>
      </c>
      <c r="I20" s="524">
        <v>0</v>
      </c>
    </row>
    <row r="21" spans="1:9" s="330" customFormat="1">
      <c r="A21" s="363">
        <v>15</v>
      </c>
      <c r="B21" s="362" t="s">
        <v>64</v>
      </c>
      <c r="C21" s="525">
        <f>SUM(C7:C15)+SUM(C17:C20)</f>
        <v>544729943.94010007</v>
      </c>
      <c r="D21" s="362">
        <f t="shared" ref="D21:H21" si="1">SUM(D7:D15)+SUM(D17:D20)</f>
        <v>26667507283.39109</v>
      </c>
      <c r="E21" s="525">
        <f>SUM(E7:E15)+SUM(E17:E20)</f>
        <v>316212758.60034996</v>
      </c>
      <c r="F21" s="362">
        <f t="shared" si="1"/>
        <v>0</v>
      </c>
      <c r="G21" s="525">
        <f>SUM(G7:G15)+SUM(G17:G20)</f>
        <v>42352333.019999996</v>
      </c>
      <c r="H21" s="357">
        <f t="shared" si="1"/>
        <v>26896024468.730839</v>
      </c>
      <c r="I21" s="524">
        <f>H21-'2. SOFP'!E36</f>
        <v>-1.6997566223144531</v>
      </c>
    </row>
    <row r="22" spans="1:9">
      <c r="A22" s="361">
        <v>16</v>
      </c>
      <c r="B22" s="360" t="s">
        <v>510</v>
      </c>
      <c r="C22" s="527">
        <f>'21. NPL'!C18</f>
        <v>527669515.91009992</v>
      </c>
      <c r="D22" s="526">
        <f>'[4]FSF-SOFP'!$S$23+'[4]FSF-SOFP'!$S$27-C22</f>
        <v>17345743728.350052</v>
      </c>
      <c r="E22" s="528">
        <f>-('[4]FSF-SOFP'!$S$28+'[4]FSF-SOFP'!$S$25)</f>
        <v>296212132.19234997</v>
      </c>
      <c r="F22" s="359"/>
      <c r="G22" s="527">
        <f>G21-G20</f>
        <v>41536071.999999993</v>
      </c>
      <c r="H22" s="357">
        <f>C22+D22-E22-F22</f>
        <v>17577201112.067802</v>
      </c>
      <c r="I22" s="524">
        <f>H22-'[4]FSF-SOFP'!$S$22-'[4]FSF-SOFP'!$S$26</f>
        <v>-8.4564089775085449E-7</v>
      </c>
    </row>
    <row r="23" spans="1:9">
      <c r="A23" s="361">
        <v>17</v>
      </c>
      <c r="B23" s="360" t="s">
        <v>511</v>
      </c>
      <c r="C23" s="358">
        <v>0</v>
      </c>
      <c r="D23" s="526">
        <v>4471828969.9853992</v>
      </c>
      <c r="E23" s="528">
        <v>3548131.14</v>
      </c>
      <c r="F23" s="359"/>
      <c r="G23" s="358"/>
      <c r="H23" s="357">
        <f>C23+D23-E23-F23</f>
        <v>4468280838.8453989</v>
      </c>
      <c r="I23" s="524">
        <v>-4.4703483581542969E-7</v>
      </c>
    </row>
    <row r="24" spans="1:9">
      <c r="C24" s="698"/>
      <c r="E24" s="529"/>
      <c r="G24" s="518"/>
    </row>
    <row r="25" spans="1:9">
      <c r="C25" s="524"/>
      <c r="E25" s="518"/>
      <c r="F25" s="325"/>
    </row>
    <row r="26" spans="1:9" ht="51">
      <c r="B26" s="345" t="s">
        <v>673</v>
      </c>
      <c r="C26" s="524"/>
      <c r="E26" s="325"/>
      <c r="F26" s="325"/>
    </row>
    <row r="27" spans="1:9">
      <c r="C27" s="524"/>
      <c r="E27" s="325"/>
      <c r="F27" s="325"/>
    </row>
    <row r="28" spans="1:9">
      <c r="C28" s="524"/>
    </row>
    <row r="29" spans="1:9">
      <c r="C29" s="524"/>
    </row>
    <row r="30" spans="1:9">
      <c r="B30" s="325" t="s">
        <v>997</v>
      </c>
      <c r="C30" s="524"/>
      <c r="E30" s="530"/>
    </row>
    <row r="31" spans="1:9">
      <c r="B31" s="325" t="s">
        <v>998</v>
      </c>
      <c r="C31" s="524"/>
    </row>
    <row r="32" spans="1:9">
      <c r="C32" s="524"/>
    </row>
    <row r="34" spans="3:7">
      <c r="C34" s="524"/>
      <c r="D34" s="524"/>
    </row>
    <row r="35" spans="3:7">
      <c r="G35" s="524"/>
    </row>
    <row r="36" spans="3:7">
      <c r="E36" s="325"/>
      <c r="F36" s="325"/>
    </row>
    <row r="37" spans="3:7">
      <c r="E37" s="325"/>
      <c r="F37" s="325"/>
    </row>
    <row r="38" spans="3:7">
      <c r="E38" s="325"/>
      <c r="F38" s="325"/>
    </row>
    <row r="39" spans="3:7">
      <c r="E39" s="325"/>
      <c r="F39" s="325"/>
    </row>
    <row r="40" spans="3:7">
      <c r="E40" s="325"/>
      <c r="F40" s="325"/>
    </row>
    <row r="41" spans="3:7">
      <c r="E41" s="325"/>
      <c r="F41" s="325"/>
    </row>
    <row r="42" spans="3:7">
      <c r="E42" s="325"/>
      <c r="F42" s="325"/>
    </row>
    <row r="43" spans="3:7">
      <c r="E43" s="325"/>
      <c r="F43" s="325"/>
    </row>
    <row r="44" spans="3:7">
      <c r="E44" s="325"/>
      <c r="F44" s="325"/>
    </row>
    <row r="45" spans="3:7">
      <c r="E45" s="325"/>
      <c r="F45" s="325"/>
    </row>
    <row r="46" spans="3:7">
      <c r="E46" s="325"/>
      <c r="F46" s="325"/>
    </row>
    <row r="47" spans="3:7">
      <c r="E47" s="325"/>
      <c r="F47" s="325"/>
    </row>
    <row r="48" spans="3:7">
      <c r="E48" s="325"/>
      <c r="F48" s="325"/>
    </row>
    <row r="49" spans="5:6">
      <c r="E49" s="325"/>
      <c r="F49" s="325"/>
    </row>
    <row r="50" spans="5:6">
      <c r="E50" s="325"/>
      <c r="F50" s="325"/>
    </row>
    <row r="51" spans="5:6">
      <c r="E51" s="325"/>
      <c r="F51" s="325"/>
    </row>
    <row r="52" spans="5:6">
      <c r="E52" s="325"/>
      <c r="F52" s="325"/>
    </row>
    <row r="53" spans="5:6">
      <c r="E53" s="325"/>
      <c r="F53" s="325"/>
    </row>
    <row r="54" spans="5:6">
      <c r="E54" s="325"/>
      <c r="F54" s="325"/>
    </row>
    <row r="55" spans="5:6">
      <c r="E55" s="325"/>
      <c r="F55" s="325"/>
    </row>
    <row r="56" spans="5:6">
      <c r="E56" s="325"/>
      <c r="F56" s="325"/>
    </row>
    <row r="57" spans="5:6">
      <c r="E57" s="325"/>
      <c r="F57" s="325"/>
    </row>
    <row r="58" spans="5:6">
      <c r="E58" s="325"/>
      <c r="F58" s="325"/>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opLeftCell="A13" zoomScaleNormal="100" workbookViewId="0"/>
  </sheetViews>
  <sheetFormatPr defaultColWidth="9.140625" defaultRowHeight="12.75"/>
  <cols>
    <col min="1" max="1" width="11" style="325" bestFit="1" customWidth="1"/>
    <col min="2" max="2" width="93.42578125" style="325" customWidth="1"/>
    <col min="3" max="4" width="35" style="325" customWidth="1"/>
    <col min="5" max="7" width="22" style="325" customWidth="1"/>
    <col min="8" max="8" width="42.28515625" style="325" bestFit="1" customWidth="1"/>
    <col min="9" max="16384" width="9.140625" style="325"/>
  </cols>
  <sheetData>
    <row r="1" spans="1:8" ht="13.5">
      <c r="A1" s="324" t="s">
        <v>106</v>
      </c>
      <c r="B1" s="257" t="str">
        <f>Info!C2</f>
        <v>სს ”საქართველოს ბანკი”</v>
      </c>
      <c r="C1" s="369"/>
      <c r="D1" s="369"/>
      <c r="E1" s="369"/>
      <c r="F1" s="369"/>
      <c r="G1" s="369"/>
      <c r="H1" s="369"/>
    </row>
    <row r="2" spans="1:8">
      <c r="A2" s="326" t="s">
        <v>107</v>
      </c>
      <c r="B2" s="328">
        <f>'1. key ratios'!B2</f>
        <v>45107</v>
      </c>
      <c r="C2" s="369"/>
      <c r="D2" s="369"/>
      <c r="E2" s="369"/>
      <c r="F2" s="369"/>
      <c r="G2" s="369"/>
      <c r="H2" s="369"/>
    </row>
    <row r="3" spans="1:8">
      <c r="A3" s="327" t="s">
        <v>512</v>
      </c>
      <c r="B3" s="369"/>
      <c r="C3" s="369"/>
      <c r="D3" s="369"/>
      <c r="E3" s="369"/>
      <c r="F3" s="369"/>
      <c r="G3" s="369"/>
      <c r="H3" s="369"/>
    </row>
    <row r="4" spans="1:8">
      <c r="A4" s="369"/>
      <c r="B4" s="369"/>
      <c r="C4" s="368" t="s">
        <v>497</v>
      </c>
      <c r="D4" s="368" t="s">
        <v>498</v>
      </c>
      <c r="E4" s="368" t="s">
        <v>499</v>
      </c>
      <c r="F4" s="368" t="s">
        <v>500</v>
      </c>
      <c r="G4" s="368" t="s">
        <v>501</v>
      </c>
      <c r="H4" s="368" t="s">
        <v>502</v>
      </c>
    </row>
    <row r="5" spans="1:8" ht="41.45" customHeight="1">
      <c r="A5" s="846" t="s">
        <v>862</v>
      </c>
      <c r="B5" s="847"/>
      <c r="C5" s="861" t="s">
        <v>591</v>
      </c>
      <c r="D5" s="862"/>
      <c r="E5" s="858" t="s">
        <v>859</v>
      </c>
      <c r="F5" s="858" t="s">
        <v>858</v>
      </c>
      <c r="G5" s="858" t="s">
        <v>506</v>
      </c>
      <c r="H5" s="366" t="s">
        <v>857</v>
      </c>
    </row>
    <row r="6" spans="1:8" ht="25.5">
      <c r="A6" s="850"/>
      <c r="B6" s="851"/>
      <c r="C6" s="367" t="s">
        <v>507</v>
      </c>
      <c r="D6" s="367" t="s">
        <v>508</v>
      </c>
      <c r="E6" s="859"/>
      <c r="F6" s="859"/>
      <c r="G6" s="859"/>
      <c r="H6" s="366" t="s">
        <v>856</v>
      </c>
    </row>
    <row r="7" spans="1:8">
      <c r="A7" s="358">
        <v>1</v>
      </c>
      <c r="B7" s="373" t="s">
        <v>513</v>
      </c>
      <c r="C7" s="526">
        <v>13613994.905200001</v>
      </c>
      <c r="D7" s="526">
        <v>6268263837.5737009</v>
      </c>
      <c r="E7" s="526">
        <v>14295181.639145004</v>
      </c>
      <c r="F7" s="526">
        <v>0</v>
      </c>
      <c r="G7" s="526">
        <v>0</v>
      </c>
      <c r="H7" s="357">
        <f t="shared" ref="H7:H34" si="0">C7+D7-E7-F7</f>
        <v>6267582650.839756</v>
      </c>
    </row>
    <row r="8" spans="1:8">
      <c r="A8" s="358">
        <v>2</v>
      </c>
      <c r="B8" s="373" t="s">
        <v>514</v>
      </c>
      <c r="C8" s="526">
        <v>9614344.099100003</v>
      </c>
      <c r="D8" s="526">
        <v>2405646544.4142003</v>
      </c>
      <c r="E8" s="526">
        <v>6828473.8609499997</v>
      </c>
      <c r="F8" s="526">
        <v>0</v>
      </c>
      <c r="G8" s="526">
        <v>0</v>
      </c>
      <c r="H8" s="357">
        <f t="shared" si="0"/>
        <v>2408432414.6523504</v>
      </c>
    </row>
    <row r="9" spans="1:8">
      <c r="A9" s="358">
        <v>3</v>
      </c>
      <c r="B9" s="373" t="s">
        <v>861</v>
      </c>
      <c r="C9" s="526">
        <v>4966872.67</v>
      </c>
      <c r="D9" s="526">
        <v>18425477.110000003</v>
      </c>
      <c r="E9" s="526">
        <v>4625646.76</v>
      </c>
      <c r="F9" s="526">
        <v>0</v>
      </c>
      <c r="G9" s="526">
        <v>0</v>
      </c>
      <c r="H9" s="357">
        <f t="shared" si="0"/>
        <v>18766703.020000003</v>
      </c>
    </row>
    <row r="10" spans="1:8">
      <c r="A10" s="358">
        <v>4</v>
      </c>
      <c r="B10" s="373" t="s">
        <v>515</v>
      </c>
      <c r="C10" s="526">
        <v>39662573.994899996</v>
      </c>
      <c r="D10" s="526">
        <v>639837808.05389988</v>
      </c>
      <c r="E10" s="526">
        <v>16834189.458988</v>
      </c>
      <c r="F10" s="526">
        <v>0</v>
      </c>
      <c r="G10" s="526">
        <v>0</v>
      </c>
      <c r="H10" s="357">
        <f t="shared" si="0"/>
        <v>662666192.58981192</v>
      </c>
    </row>
    <row r="11" spans="1:8">
      <c r="A11" s="358">
        <v>5</v>
      </c>
      <c r="B11" s="373" t="s">
        <v>516</v>
      </c>
      <c r="C11" s="526">
        <v>24967096.289900001</v>
      </c>
      <c r="D11" s="526">
        <v>1008971916.5475</v>
      </c>
      <c r="E11" s="526">
        <v>7301847.9527460011</v>
      </c>
      <c r="F11" s="526">
        <v>0</v>
      </c>
      <c r="G11" s="526">
        <v>0</v>
      </c>
      <c r="H11" s="357">
        <f t="shared" si="0"/>
        <v>1026637164.8846539</v>
      </c>
    </row>
    <row r="12" spans="1:8">
      <c r="A12" s="358">
        <v>6</v>
      </c>
      <c r="B12" s="373" t="s">
        <v>517</v>
      </c>
      <c r="C12" s="526">
        <v>18773035.002599996</v>
      </c>
      <c r="D12" s="526">
        <v>690037929.36099994</v>
      </c>
      <c r="E12" s="526">
        <v>14388077.926537998</v>
      </c>
      <c r="F12" s="526">
        <v>0</v>
      </c>
      <c r="G12" s="526">
        <v>549778.78000000026</v>
      </c>
      <c r="H12" s="357">
        <f t="shared" si="0"/>
        <v>694422886.43706191</v>
      </c>
    </row>
    <row r="13" spans="1:8">
      <c r="A13" s="358">
        <v>7</v>
      </c>
      <c r="B13" s="373" t="s">
        <v>518</v>
      </c>
      <c r="C13" s="526">
        <v>23160425.302199997</v>
      </c>
      <c r="D13" s="526">
        <v>604898620.73120022</v>
      </c>
      <c r="E13" s="526">
        <v>11842594.692211002</v>
      </c>
      <c r="F13" s="526">
        <v>0</v>
      </c>
      <c r="G13" s="526">
        <v>76898.31</v>
      </c>
      <c r="H13" s="357">
        <f t="shared" si="0"/>
        <v>616216451.34118915</v>
      </c>
    </row>
    <row r="14" spans="1:8">
      <c r="A14" s="358">
        <v>8</v>
      </c>
      <c r="B14" s="373" t="s">
        <v>519</v>
      </c>
      <c r="C14" s="526">
        <v>13056610.9035</v>
      </c>
      <c r="D14" s="526">
        <v>719662458.65510011</v>
      </c>
      <c r="E14" s="526">
        <v>8652858.2348259985</v>
      </c>
      <c r="F14" s="526">
        <v>0</v>
      </c>
      <c r="G14" s="526">
        <v>492302.61000000034</v>
      </c>
      <c r="H14" s="357">
        <f t="shared" si="0"/>
        <v>724066211.3237741</v>
      </c>
    </row>
    <row r="15" spans="1:8">
      <c r="A15" s="358">
        <v>9</v>
      </c>
      <c r="B15" s="373" t="s">
        <v>520</v>
      </c>
      <c r="C15" s="526">
        <v>4794304.4942999994</v>
      </c>
      <c r="D15" s="526">
        <v>874965262.64369988</v>
      </c>
      <c r="E15" s="526">
        <v>20118405.614799999</v>
      </c>
      <c r="F15" s="526">
        <v>0</v>
      </c>
      <c r="G15" s="526">
        <v>124122.9</v>
      </c>
      <c r="H15" s="357">
        <f t="shared" si="0"/>
        <v>859641161.52319992</v>
      </c>
    </row>
    <row r="16" spans="1:8">
      <c r="A16" s="358">
        <v>10</v>
      </c>
      <c r="B16" s="373" t="s">
        <v>521</v>
      </c>
      <c r="C16" s="526">
        <v>13104899.957700003</v>
      </c>
      <c r="D16" s="526">
        <v>286222479.50470001</v>
      </c>
      <c r="E16" s="526">
        <v>6456800.5021549985</v>
      </c>
      <c r="F16" s="526">
        <v>0</v>
      </c>
      <c r="G16" s="526">
        <v>113273.85999999999</v>
      </c>
      <c r="H16" s="357">
        <f t="shared" si="0"/>
        <v>292870578.96024501</v>
      </c>
    </row>
    <row r="17" spans="1:8">
      <c r="A17" s="358">
        <v>11</v>
      </c>
      <c r="B17" s="373" t="s">
        <v>522</v>
      </c>
      <c r="C17" s="526">
        <v>3144112.3327000001</v>
      </c>
      <c r="D17" s="526">
        <v>265812810.98109996</v>
      </c>
      <c r="E17" s="526">
        <v>2749684.6093100002</v>
      </c>
      <c r="F17" s="526">
        <v>0</v>
      </c>
      <c r="G17" s="526">
        <v>100281.88</v>
      </c>
      <c r="H17" s="357">
        <f t="shared" si="0"/>
        <v>266207238.70448998</v>
      </c>
    </row>
    <row r="18" spans="1:8">
      <c r="A18" s="358">
        <v>12</v>
      </c>
      <c r="B18" s="373" t="s">
        <v>523</v>
      </c>
      <c r="C18" s="526">
        <v>19005202.820000008</v>
      </c>
      <c r="D18" s="526">
        <v>752290914.75760007</v>
      </c>
      <c r="E18" s="526">
        <v>8259385.3455690015</v>
      </c>
      <c r="F18" s="526">
        <v>0</v>
      </c>
      <c r="G18" s="526">
        <v>439349.16999999993</v>
      </c>
      <c r="H18" s="357">
        <f t="shared" si="0"/>
        <v>763036732.23203111</v>
      </c>
    </row>
    <row r="19" spans="1:8">
      <c r="A19" s="358">
        <v>13</v>
      </c>
      <c r="B19" s="373" t="s">
        <v>524</v>
      </c>
      <c r="C19" s="526">
        <v>4725590.2973000007</v>
      </c>
      <c r="D19" s="526">
        <v>180964147.58009997</v>
      </c>
      <c r="E19" s="526">
        <v>3755771.2636270002</v>
      </c>
      <c r="F19" s="526">
        <v>0</v>
      </c>
      <c r="G19" s="526">
        <v>77637.91</v>
      </c>
      <c r="H19" s="357">
        <f t="shared" si="0"/>
        <v>181933966.61377299</v>
      </c>
    </row>
    <row r="20" spans="1:8">
      <c r="A20" s="358">
        <v>14</v>
      </c>
      <c r="B20" s="373" t="s">
        <v>525</v>
      </c>
      <c r="C20" s="526">
        <v>36450305.03890001</v>
      </c>
      <c r="D20" s="526">
        <v>1058860326.5695</v>
      </c>
      <c r="E20" s="526">
        <v>13453028.625710998</v>
      </c>
      <c r="F20" s="526">
        <v>0</v>
      </c>
      <c r="G20" s="526">
        <v>37302.11</v>
      </c>
      <c r="H20" s="357">
        <f t="shared" si="0"/>
        <v>1081857602.9826889</v>
      </c>
    </row>
    <row r="21" spans="1:8">
      <c r="A21" s="358">
        <v>15</v>
      </c>
      <c r="B21" s="373" t="s">
        <v>526</v>
      </c>
      <c r="C21" s="526">
        <v>7109780.0809999993</v>
      </c>
      <c r="D21" s="526">
        <v>253935901.3752</v>
      </c>
      <c r="E21" s="526">
        <v>3714399.1248859996</v>
      </c>
      <c r="F21" s="526">
        <v>0</v>
      </c>
      <c r="G21" s="526">
        <v>75272.299999999988</v>
      </c>
      <c r="H21" s="357">
        <f t="shared" si="0"/>
        <v>257331282.331314</v>
      </c>
    </row>
    <row r="22" spans="1:8">
      <c r="A22" s="358">
        <v>16</v>
      </c>
      <c r="B22" s="373" t="s">
        <v>527</v>
      </c>
      <c r="C22" s="526">
        <v>61338582.590300001</v>
      </c>
      <c r="D22" s="526">
        <v>656313630.04149961</v>
      </c>
      <c r="E22" s="526">
        <v>10858982.884796001</v>
      </c>
      <c r="F22" s="526">
        <v>0</v>
      </c>
      <c r="G22" s="526">
        <v>7877.0599999999977</v>
      </c>
      <c r="H22" s="357">
        <f t="shared" si="0"/>
        <v>706793229.74700356</v>
      </c>
    </row>
    <row r="23" spans="1:8">
      <c r="A23" s="358">
        <v>17</v>
      </c>
      <c r="B23" s="373" t="s">
        <v>528</v>
      </c>
      <c r="C23" s="526">
        <v>5041102.3570999997</v>
      </c>
      <c r="D23" s="526">
        <v>106967001.58829997</v>
      </c>
      <c r="E23" s="526">
        <v>3238266.622248</v>
      </c>
      <c r="F23" s="526">
        <v>0</v>
      </c>
      <c r="G23" s="526">
        <v>0</v>
      </c>
      <c r="H23" s="357">
        <f t="shared" si="0"/>
        <v>108769837.32315198</v>
      </c>
    </row>
    <row r="24" spans="1:8">
      <c r="A24" s="358">
        <v>18</v>
      </c>
      <c r="B24" s="373" t="s">
        <v>529</v>
      </c>
      <c r="C24" s="526">
        <v>3880667.0230999999</v>
      </c>
      <c r="D24" s="526">
        <v>660152995.926597</v>
      </c>
      <c r="E24" s="526">
        <v>4532080.3255320005</v>
      </c>
      <c r="F24" s="526">
        <v>0</v>
      </c>
      <c r="G24" s="526">
        <v>0</v>
      </c>
      <c r="H24" s="357">
        <f t="shared" si="0"/>
        <v>659501582.62416506</v>
      </c>
    </row>
    <row r="25" spans="1:8">
      <c r="A25" s="358">
        <v>19</v>
      </c>
      <c r="B25" s="373" t="s">
        <v>530</v>
      </c>
      <c r="C25" s="526">
        <v>550359.94309999992</v>
      </c>
      <c r="D25" s="526">
        <v>177499295.62010002</v>
      </c>
      <c r="E25" s="526">
        <v>710071.3899999999</v>
      </c>
      <c r="F25" s="526">
        <v>0</v>
      </c>
      <c r="G25" s="526">
        <v>26760.050000000003</v>
      </c>
      <c r="H25" s="357">
        <f t="shared" si="0"/>
        <v>177339584.17320004</v>
      </c>
    </row>
    <row r="26" spans="1:8">
      <c r="A26" s="358">
        <v>20</v>
      </c>
      <c r="B26" s="373" t="s">
        <v>531</v>
      </c>
      <c r="C26" s="526">
        <v>7887958.2505000001</v>
      </c>
      <c r="D26" s="526">
        <v>543893343.09969985</v>
      </c>
      <c r="E26" s="526">
        <v>5559418.6235579997</v>
      </c>
      <c r="F26" s="526">
        <v>0</v>
      </c>
      <c r="G26" s="526">
        <v>840.70000000000437</v>
      </c>
      <c r="H26" s="357">
        <f t="shared" si="0"/>
        <v>546221882.72664177</v>
      </c>
    </row>
    <row r="27" spans="1:8">
      <c r="A27" s="358">
        <v>21</v>
      </c>
      <c r="B27" s="373" t="s">
        <v>532</v>
      </c>
      <c r="C27" s="526">
        <v>1318803.3498000002</v>
      </c>
      <c r="D27" s="526">
        <v>98564211.310899988</v>
      </c>
      <c r="E27" s="526">
        <v>985044.20092099998</v>
      </c>
      <c r="F27" s="526">
        <v>0</v>
      </c>
      <c r="G27" s="526">
        <v>12845.33</v>
      </c>
      <c r="H27" s="357">
        <f t="shared" si="0"/>
        <v>98897970.459778994</v>
      </c>
    </row>
    <row r="28" spans="1:8">
      <c r="A28" s="358">
        <v>22</v>
      </c>
      <c r="B28" s="373" t="s">
        <v>533</v>
      </c>
      <c r="C28" s="526">
        <v>5255072.6971000005</v>
      </c>
      <c r="D28" s="526">
        <v>267486078.15109998</v>
      </c>
      <c r="E28" s="526">
        <v>3032980.6297070002</v>
      </c>
      <c r="F28" s="526">
        <v>0</v>
      </c>
      <c r="G28" s="526">
        <v>0</v>
      </c>
      <c r="H28" s="357">
        <f t="shared" si="0"/>
        <v>269708170.21849298</v>
      </c>
    </row>
    <row r="29" spans="1:8">
      <c r="A29" s="358">
        <v>23</v>
      </c>
      <c r="B29" s="373" t="s">
        <v>534</v>
      </c>
      <c r="C29" s="526">
        <v>58347737.750999987</v>
      </c>
      <c r="D29" s="526">
        <v>2837329459.6542001</v>
      </c>
      <c r="E29" s="526">
        <v>39299315.681104004</v>
      </c>
      <c r="F29" s="526">
        <v>0</v>
      </c>
      <c r="G29" s="526">
        <v>1521158.0599999998</v>
      </c>
      <c r="H29" s="357">
        <f t="shared" si="0"/>
        <v>2856377881.7240958</v>
      </c>
    </row>
    <row r="30" spans="1:8">
      <c r="A30" s="358">
        <v>24</v>
      </c>
      <c r="B30" s="373" t="s">
        <v>535</v>
      </c>
      <c r="C30" s="526">
        <v>29289549.637799993</v>
      </c>
      <c r="D30" s="526">
        <v>1071136476.2329001</v>
      </c>
      <c r="E30" s="526">
        <v>17255394.301679999</v>
      </c>
      <c r="F30" s="526">
        <v>0</v>
      </c>
      <c r="G30" s="526">
        <v>5341888.629999999</v>
      </c>
      <c r="H30" s="357">
        <f t="shared" si="0"/>
        <v>1083170631.56902</v>
      </c>
    </row>
    <row r="31" spans="1:8">
      <c r="A31" s="358">
        <v>25</v>
      </c>
      <c r="B31" s="373" t="s">
        <v>998</v>
      </c>
      <c r="C31" s="526">
        <v>113103380.58539999</v>
      </c>
      <c r="D31" s="526">
        <v>2073860836.7444425</v>
      </c>
      <c r="E31" s="526">
        <v>65722908.25480096</v>
      </c>
      <c r="F31" s="526">
        <v>0</v>
      </c>
      <c r="G31" s="526">
        <v>32538482.339999966</v>
      </c>
      <c r="H31" s="357">
        <f t="shared" si="0"/>
        <v>2121241309.0750415</v>
      </c>
    </row>
    <row r="32" spans="1:8">
      <c r="A32" s="358">
        <v>26</v>
      </c>
      <c r="B32" s="373" t="s">
        <v>537</v>
      </c>
      <c r="C32" s="526">
        <v>5507153.5355999991</v>
      </c>
      <c r="D32" s="526">
        <v>55851016.6721</v>
      </c>
      <c r="E32" s="526">
        <v>5773245.4465410002</v>
      </c>
      <c r="F32" s="526">
        <v>0</v>
      </c>
      <c r="G32" s="526">
        <v>0</v>
      </c>
      <c r="H32" s="357">
        <f t="shared" si="0"/>
        <v>55584924.761159003</v>
      </c>
    </row>
    <row r="33" spans="1:8">
      <c r="A33" s="358">
        <v>27</v>
      </c>
      <c r="B33" s="359" t="s">
        <v>97</v>
      </c>
      <c r="C33" s="526">
        <v>17060428.030000068</v>
      </c>
      <c r="D33" s="526">
        <v>2089656502.4907432</v>
      </c>
      <c r="E33" s="526">
        <v>15968704.628000002</v>
      </c>
      <c r="F33" s="526">
        <v>0</v>
      </c>
      <c r="G33" s="526">
        <v>816261.0199999999</v>
      </c>
      <c r="H33" s="357">
        <f t="shared" si="0"/>
        <v>2090748225.8927431</v>
      </c>
    </row>
    <row r="34" spans="1:8" s="518" customFormat="1">
      <c r="A34" s="526">
        <v>28</v>
      </c>
      <c r="B34" s="545" t="s">
        <v>64</v>
      </c>
      <c r="C34" s="546">
        <f>SUM(C7:C33)</f>
        <v>544729943.94010007</v>
      </c>
      <c r="D34" s="546">
        <f>SUM(D7:D33)</f>
        <v>26667507283.39109</v>
      </c>
      <c r="E34" s="546">
        <f>SUM(E7:E33)</f>
        <v>316212758.60035002</v>
      </c>
      <c r="F34" s="546">
        <f>SUM(F7:F33)</f>
        <v>0</v>
      </c>
      <c r="G34" s="546">
        <f>SUM(G7:G33)</f>
        <v>42352333.019999973</v>
      </c>
      <c r="H34" s="547">
        <f t="shared" si="0"/>
        <v>26896024468.730843</v>
      </c>
    </row>
    <row r="35" spans="1:8">
      <c r="A35" s="332"/>
      <c r="B35" s="332"/>
      <c r="C35" s="332"/>
      <c r="D35" s="332"/>
      <c r="E35" s="332"/>
      <c r="F35" s="332"/>
      <c r="G35" s="332"/>
      <c r="H35" s="332"/>
    </row>
    <row r="36" spans="1:8">
      <c r="A36" s="332"/>
      <c r="B36" s="333"/>
      <c r="C36" s="548"/>
      <c r="D36" s="548"/>
      <c r="E36" s="548"/>
      <c r="F36" s="332"/>
      <c r="G36" s="548"/>
      <c r="H36" s="33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defaultColWidth="9.140625" defaultRowHeight="12.75"/>
  <cols>
    <col min="1" max="1" width="11.85546875" style="325" bestFit="1" customWidth="1"/>
    <col min="2" max="2" width="108" style="325" bestFit="1" customWidth="1"/>
    <col min="3" max="3" width="35.5703125" style="325" customWidth="1"/>
    <col min="4" max="4" width="38.42578125" style="331" customWidth="1"/>
    <col min="5" max="16384" width="9.140625" style="325"/>
  </cols>
  <sheetData>
    <row r="1" spans="1:8" ht="13.5">
      <c r="A1" s="324" t="s">
        <v>106</v>
      </c>
      <c r="B1" s="257" t="str">
        <f>Info!C2</f>
        <v>სს ”საქართველოს ბანკი”</v>
      </c>
      <c r="D1" s="325"/>
    </row>
    <row r="2" spans="1:8">
      <c r="A2" s="326" t="s">
        <v>107</v>
      </c>
      <c r="B2" s="328">
        <f>'1. key ratios'!B2</f>
        <v>45107</v>
      </c>
      <c r="D2" s="325"/>
    </row>
    <row r="3" spans="1:8">
      <c r="A3" s="327" t="s">
        <v>538</v>
      </c>
      <c r="D3" s="325"/>
    </row>
    <row r="5" spans="1:8">
      <c r="A5" s="863" t="s">
        <v>873</v>
      </c>
      <c r="B5" s="863"/>
      <c r="C5" s="381" t="s">
        <v>557</v>
      </c>
      <c r="D5" s="381" t="s">
        <v>872</v>
      </c>
    </row>
    <row r="6" spans="1:8">
      <c r="A6" s="380">
        <v>1</v>
      </c>
      <c r="B6" s="374" t="s">
        <v>871</v>
      </c>
      <c r="C6" s="662">
        <v>293092487.00999993</v>
      </c>
      <c r="D6" s="662">
        <v>7442088.6099999975</v>
      </c>
      <c r="G6" s="710"/>
      <c r="H6" s="710"/>
    </row>
    <row r="7" spans="1:8">
      <c r="A7" s="377">
        <v>2</v>
      </c>
      <c r="B7" s="374" t="s">
        <v>870</v>
      </c>
      <c r="C7" s="662">
        <f>SUM(C8:C9)</f>
        <v>163486334.78819704</v>
      </c>
      <c r="D7" s="662">
        <f>SUM(D8:D9)</f>
        <v>785821.78000000375</v>
      </c>
      <c r="G7" s="710"/>
      <c r="H7" s="710"/>
    </row>
    <row r="8" spans="1:8">
      <c r="A8" s="379">
        <v>2.1</v>
      </c>
      <c r="B8" s="378" t="s">
        <v>869</v>
      </c>
      <c r="C8" s="662">
        <v>53990449</v>
      </c>
      <c r="D8" s="662">
        <v>111112.71999999991</v>
      </c>
      <c r="G8" s="710"/>
      <c r="H8" s="710"/>
    </row>
    <row r="9" spans="1:8">
      <c r="A9" s="379">
        <v>2.2000000000000002</v>
      </c>
      <c r="B9" s="378" t="s">
        <v>868</v>
      </c>
      <c r="C9" s="662">
        <v>109495885.78819704</v>
      </c>
      <c r="D9" s="662">
        <v>674709.06000000378</v>
      </c>
      <c r="G9" s="710"/>
      <c r="H9" s="710"/>
    </row>
    <row r="10" spans="1:8">
      <c r="A10" s="380">
        <v>3</v>
      </c>
      <c r="B10" s="374" t="s">
        <v>867</v>
      </c>
      <c r="C10" s="662">
        <f>SUM(C11:C13)</f>
        <v>162242162.09455627</v>
      </c>
      <c r="D10" s="662">
        <f>SUM(D11:D13)</f>
        <v>3385349.27</v>
      </c>
      <c r="G10" s="710"/>
      <c r="H10" s="710"/>
    </row>
    <row r="11" spans="1:8">
      <c r="A11" s="379">
        <v>3.1</v>
      </c>
      <c r="B11" s="378" t="s">
        <v>539</v>
      </c>
      <c r="C11" s="662">
        <v>41536072</v>
      </c>
      <c r="D11" s="662">
        <v>0</v>
      </c>
      <c r="G11" s="710"/>
      <c r="H11" s="710"/>
    </row>
    <row r="12" spans="1:8">
      <c r="A12" s="379">
        <v>3.2</v>
      </c>
      <c r="B12" s="378" t="s">
        <v>866</v>
      </c>
      <c r="C12" s="662">
        <v>46558013.094556272</v>
      </c>
      <c r="D12" s="662">
        <v>0</v>
      </c>
      <c r="G12" s="710"/>
      <c r="H12" s="710"/>
    </row>
    <row r="13" spans="1:8">
      <c r="A13" s="379">
        <v>3.3</v>
      </c>
      <c r="B13" s="378" t="s">
        <v>865</v>
      </c>
      <c r="C13" s="662">
        <v>74148077.000000015</v>
      </c>
      <c r="D13" s="662">
        <v>3385349.27</v>
      </c>
      <c r="G13" s="710"/>
      <c r="H13" s="710"/>
    </row>
    <row r="14" spans="1:8">
      <c r="A14" s="377">
        <v>4</v>
      </c>
      <c r="B14" s="376" t="s">
        <v>864</v>
      </c>
      <c r="C14" s="662">
        <v>1875471.0763592324</v>
      </c>
      <c r="D14" s="662">
        <v>-1294429.9800000004</v>
      </c>
      <c r="G14" s="710"/>
      <c r="H14" s="710"/>
    </row>
    <row r="15" spans="1:8">
      <c r="A15" s="375">
        <v>5</v>
      </c>
      <c r="B15" s="374" t="s">
        <v>863</v>
      </c>
      <c r="C15" s="663">
        <f>C6+C7-C10+C14</f>
        <v>296212130.77999991</v>
      </c>
      <c r="D15" s="663">
        <f>D6+D7-D10+D14</f>
        <v>3548131.1400000006</v>
      </c>
      <c r="G15" s="710"/>
      <c r="H15" s="710"/>
    </row>
    <row r="17" spans="2:4">
      <c r="D17" s="711"/>
    </row>
    <row r="31" spans="2:4">
      <c r="B31" s="325" t="s">
        <v>998</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showGridLines="0" topLeftCell="C13" zoomScaleNormal="100" workbookViewId="0">
      <selection activeCell="C18" sqref="C18"/>
    </sheetView>
  </sheetViews>
  <sheetFormatPr defaultColWidth="9.140625" defaultRowHeight="12.75"/>
  <cols>
    <col min="1" max="1" width="11.85546875" style="369" bestFit="1" customWidth="1"/>
    <col min="2" max="2" width="128.85546875" style="369" bestFit="1" customWidth="1"/>
    <col min="3" max="3" width="37" style="369" customWidth="1"/>
    <col min="4" max="4" width="50.5703125" style="369" customWidth="1"/>
    <col min="5" max="16384" width="9.140625" style="369"/>
  </cols>
  <sheetData>
    <row r="1" spans="1:4" ht="13.5">
      <c r="A1" s="324" t="s">
        <v>106</v>
      </c>
      <c r="B1" s="257" t="str">
        <f>Info!C2</f>
        <v>სს ”საქართველოს ბანკი”</v>
      </c>
    </row>
    <row r="2" spans="1:4">
      <c r="A2" s="326" t="s">
        <v>107</v>
      </c>
      <c r="B2" s="328">
        <f>'1. key ratios'!B2</f>
        <v>45107</v>
      </c>
    </row>
    <row r="3" spans="1:4">
      <c r="A3" s="327" t="s">
        <v>540</v>
      </c>
    </row>
    <row r="4" spans="1:4">
      <c r="A4" s="327"/>
    </row>
    <row r="5" spans="1:4" ht="15" customHeight="1">
      <c r="A5" s="864" t="s">
        <v>541</v>
      </c>
      <c r="B5" s="865"/>
      <c r="C5" s="868" t="s">
        <v>542</v>
      </c>
      <c r="D5" s="868" t="s">
        <v>543</v>
      </c>
    </row>
    <row r="6" spans="1:4">
      <c r="A6" s="866"/>
      <c r="B6" s="867"/>
      <c r="C6" s="868"/>
      <c r="D6" s="868"/>
    </row>
    <row r="7" spans="1:4" ht="15">
      <c r="A7" s="372">
        <v>1</v>
      </c>
      <c r="B7" s="362" t="s">
        <v>544</v>
      </c>
      <c r="C7" s="534">
        <v>509275682.52130002</v>
      </c>
      <c r="D7" s="382"/>
    </row>
    <row r="8" spans="1:4" ht="15">
      <c r="A8" s="359">
        <v>2</v>
      </c>
      <c r="B8" s="359" t="s">
        <v>545</v>
      </c>
      <c r="C8" s="534">
        <v>114739095.3</v>
      </c>
      <c r="D8" s="382"/>
    </row>
    <row r="9" spans="1:4" ht="15">
      <c r="A9" s="359">
        <v>3</v>
      </c>
      <c r="B9" s="385" t="s">
        <v>546</v>
      </c>
      <c r="C9" s="534">
        <v>5673034.1799999997</v>
      </c>
      <c r="D9" s="382"/>
    </row>
    <row r="10" spans="1:4" ht="15">
      <c r="A10" s="359">
        <v>4</v>
      </c>
      <c r="B10" s="359" t="s">
        <v>547</v>
      </c>
      <c r="C10" s="534">
        <f>SUM(C11:C17)</f>
        <v>102018296.0912001</v>
      </c>
      <c r="D10" s="382"/>
    </row>
    <row r="11" spans="1:4" ht="15">
      <c r="A11" s="359">
        <v>5</v>
      </c>
      <c r="B11" s="384" t="s">
        <v>874</v>
      </c>
      <c r="C11" s="534">
        <v>26327046.00420009</v>
      </c>
      <c r="D11" s="382"/>
    </row>
    <row r="12" spans="1:4" ht="15">
      <c r="A12" s="359">
        <v>6</v>
      </c>
      <c r="B12" s="384" t="s">
        <v>548</v>
      </c>
      <c r="C12" s="534">
        <v>32428280.7577</v>
      </c>
      <c r="D12" s="382"/>
    </row>
    <row r="13" spans="1:4" ht="15">
      <c r="A13" s="359">
        <v>7</v>
      </c>
      <c r="B13" s="384" t="s">
        <v>551</v>
      </c>
      <c r="C13" s="534">
        <v>30296966.700599998</v>
      </c>
      <c r="D13" s="382"/>
    </row>
    <row r="14" spans="1:4" ht="15">
      <c r="A14" s="359">
        <v>8</v>
      </c>
      <c r="B14" s="384" t="s">
        <v>549</v>
      </c>
      <c r="C14" s="534">
        <v>12965969.3387</v>
      </c>
      <c r="D14" s="359"/>
    </row>
    <row r="15" spans="1:4" ht="15">
      <c r="A15" s="359">
        <v>9</v>
      </c>
      <c r="B15" s="384" t="s">
        <v>550</v>
      </c>
      <c r="C15" s="534">
        <v>0</v>
      </c>
      <c r="D15" s="359"/>
    </row>
    <row r="16" spans="1:4" ht="15">
      <c r="A16" s="359">
        <v>10</v>
      </c>
      <c r="B16" s="384" t="s">
        <v>552</v>
      </c>
      <c r="C16" s="534">
        <v>0</v>
      </c>
      <c r="D16" s="359"/>
    </row>
    <row r="17" spans="1:4" ht="26.25">
      <c r="A17" s="359">
        <v>11</v>
      </c>
      <c r="B17" s="384" t="s">
        <v>553</v>
      </c>
      <c r="C17" s="534">
        <v>33.29</v>
      </c>
      <c r="D17" s="382"/>
    </row>
    <row r="18" spans="1:4" ht="15">
      <c r="A18" s="372">
        <v>12</v>
      </c>
      <c r="B18" s="383" t="s">
        <v>554</v>
      </c>
      <c r="C18" s="534">
        <f>C7+C8-C10+C9</f>
        <v>527669515.91009992</v>
      </c>
      <c r="D18" s="382"/>
    </row>
    <row r="19" spans="1:4">
      <c r="C19" s="536"/>
    </row>
    <row r="20" spans="1:4">
      <c r="C20" s="535"/>
    </row>
    <row r="21" spans="1:4">
      <c r="B21" s="324"/>
      <c r="C21" s="535"/>
    </row>
    <row r="22" spans="1:4">
      <c r="B22" s="326"/>
    </row>
    <row r="23" spans="1:4">
      <c r="B23" s="327"/>
      <c r="C23" s="535"/>
    </row>
    <row r="24" spans="1:4">
      <c r="C24" s="535"/>
    </row>
    <row r="25" spans="1:4">
      <c r="C25" s="535"/>
    </row>
    <row r="27" spans="1:4">
      <c r="D27" s="535"/>
    </row>
    <row r="28" spans="1:4">
      <c r="D28" s="535"/>
    </row>
    <row r="31" spans="1:4">
      <c r="B31" s="369" t="s">
        <v>998</v>
      </c>
    </row>
  </sheetData>
  <mergeCells count="3">
    <mergeCell ref="A5:B6"/>
    <mergeCell ref="C5:C6"/>
    <mergeCell ref="D5:D6"/>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tabSelected="1" zoomScaleNormal="100" workbookViewId="0">
      <selection activeCell="C30" sqref="C30:D31"/>
    </sheetView>
  </sheetViews>
  <sheetFormatPr defaultColWidth="9.140625" defaultRowHeight="12.75"/>
  <cols>
    <col min="1" max="1" width="11.85546875" style="369" bestFit="1" customWidth="1"/>
    <col min="2" max="2" width="63.85546875" style="369" customWidth="1"/>
    <col min="3" max="3" width="19.42578125" style="535" bestFit="1" customWidth="1"/>
    <col min="4" max="4" width="22.28515625" style="535" customWidth="1"/>
    <col min="5" max="18" width="22.28515625" style="369" customWidth="1"/>
    <col min="19" max="19" width="23.28515625" style="369" bestFit="1" customWidth="1"/>
    <col min="20" max="26" width="22.28515625" style="369" customWidth="1"/>
    <col min="27" max="27" width="23.28515625" style="369" bestFit="1" customWidth="1"/>
    <col min="28" max="16384" width="9.140625" style="369"/>
  </cols>
  <sheetData>
    <row r="1" spans="1:28" ht="13.5">
      <c r="A1" s="324" t="s">
        <v>106</v>
      </c>
      <c r="B1" s="257" t="str">
        <f>Info!C2</f>
        <v>სს ”საქართველოს ბანკი”</v>
      </c>
    </row>
    <row r="2" spans="1:28">
      <c r="A2" s="326" t="s">
        <v>107</v>
      </c>
      <c r="B2" s="328">
        <f>'1. key ratios'!B2</f>
        <v>45107</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row>
    <row r="3" spans="1:28">
      <c r="A3" s="327" t="s">
        <v>555</v>
      </c>
      <c r="E3" s="535"/>
      <c r="F3" s="535"/>
      <c r="G3" s="535"/>
      <c r="H3" s="535"/>
      <c r="I3" s="535"/>
      <c r="J3" s="535"/>
      <c r="K3" s="535"/>
      <c r="L3" s="535"/>
      <c r="M3" s="535"/>
      <c r="N3" s="535"/>
      <c r="O3" s="535"/>
      <c r="P3" s="535"/>
      <c r="Q3" s="535"/>
      <c r="R3" s="535"/>
      <c r="S3" s="535"/>
      <c r="T3" s="535"/>
      <c r="U3" s="535"/>
      <c r="V3" s="535"/>
      <c r="W3" s="535"/>
      <c r="X3" s="535"/>
      <c r="Y3" s="535"/>
      <c r="Z3" s="535"/>
      <c r="AA3" s="535"/>
    </row>
    <row r="4" spans="1:28">
      <c r="A4" s="369">
        <v>1</v>
      </c>
      <c r="B4" s="369" t="s">
        <v>557</v>
      </c>
    </row>
    <row r="5" spans="1:28" ht="15" customHeight="1">
      <c r="A5" s="869" t="s">
        <v>887</v>
      </c>
      <c r="B5" s="870"/>
      <c r="C5" s="875" t="s">
        <v>886</v>
      </c>
      <c r="D5" s="876"/>
      <c r="E5" s="876"/>
      <c r="F5" s="876"/>
      <c r="G5" s="876"/>
      <c r="H5" s="876"/>
      <c r="I5" s="876"/>
      <c r="J5" s="876"/>
      <c r="K5" s="876"/>
      <c r="L5" s="876"/>
      <c r="M5" s="876"/>
      <c r="N5" s="876"/>
      <c r="O5" s="876"/>
      <c r="P5" s="876"/>
      <c r="Q5" s="876"/>
      <c r="R5" s="876"/>
      <c r="S5" s="876"/>
      <c r="T5" s="398"/>
      <c r="U5" s="398"/>
      <c r="V5" s="398"/>
      <c r="W5" s="398"/>
      <c r="X5" s="398"/>
      <c r="Y5" s="398"/>
      <c r="Z5" s="398"/>
      <c r="AA5" s="397"/>
    </row>
    <row r="6" spans="1:28">
      <c r="A6" s="871"/>
      <c r="B6" s="872"/>
      <c r="C6" s="877" t="s">
        <v>64</v>
      </c>
      <c r="D6" s="879" t="s">
        <v>885</v>
      </c>
      <c r="E6" s="879"/>
      <c r="F6" s="879"/>
      <c r="G6" s="879"/>
      <c r="H6" s="880" t="s">
        <v>884</v>
      </c>
      <c r="I6" s="881"/>
      <c r="J6" s="881"/>
      <c r="K6" s="882"/>
      <c r="L6" s="396"/>
      <c r="M6" s="883" t="s">
        <v>883</v>
      </c>
      <c r="N6" s="883"/>
      <c r="O6" s="883"/>
      <c r="P6" s="883"/>
      <c r="Q6" s="883"/>
      <c r="R6" s="883"/>
      <c r="S6" s="859"/>
      <c r="T6" s="395"/>
      <c r="U6" s="862" t="s">
        <v>882</v>
      </c>
      <c r="V6" s="862"/>
      <c r="W6" s="862"/>
      <c r="X6" s="862"/>
      <c r="Y6" s="862"/>
      <c r="Z6" s="862"/>
      <c r="AA6" s="860"/>
    </row>
    <row r="7" spans="1:28" ht="25.5">
      <c r="A7" s="873"/>
      <c r="B7" s="874"/>
      <c r="C7" s="878"/>
      <c r="D7" s="704"/>
      <c r="E7" s="390" t="s">
        <v>556</v>
      </c>
      <c r="F7" s="366" t="s">
        <v>880</v>
      </c>
      <c r="G7" s="366" t="s">
        <v>881</v>
      </c>
      <c r="H7" s="393"/>
      <c r="I7" s="390" t="s">
        <v>556</v>
      </c>
      <c r="J7" s="366" t="s">
        <v>880</v>
      </c>
      <c r="K7" s="366" t="s">
        <v>881</v>
      </c>
      <c r="L7" s="392"/>
      <c r="M7" s="390" t="s">
        <v>556</v>
      </c>
      <c r="N7" s="366" t="s">
        <v>880</v>
      </c>
      <c r="O7" s="366" t="s">
        <v>879</v>
      </c>
      <c r="P7" s="366" t="s">
        <v>878</v>
      </c>
      <c r="Q7" s="366" t="s">
        <v>877</v>
      </c>
      <c r="R7" s="366" t="s">
        <v>876</v>
      </c>
      <c r="S7" s="366" t="s">
        <v>875</v>
      </c>
      <c r="T7" s="391"/>
      <c r="U7" s="390" t="s">
        <v>556</v>
      </c>
      <c r="V7" s="366" t="s">
        <v>880</v>
      </c>
      <c r="W7" s="366" t="s">
        <v>879</v>
      </c>
      <c r="X7" s="366" t="s">
        <v>878</v>
      </c>
      <c r="Y7" s="366" t="s">
        <v>877</v>
      </c>
      <c r="Z7" s="366" t="s">
        <v>876</v>
      </c>
      <c r="AA7" s="366" t="s">
        <v>875</v>
      </c>
    </row>
    <row r="8" spans="1:28" ht="15">
      <c r="A8" s="389">
        <v>1</v>
      </c>
      <c r="B8" s="362" t="s">
        <v>557</v>
      </c>
      <c r="C8" s="554">
        <f>D8+H8+L8+T8</f>
        <v>17873413244.260139</v>
      </c>
      <c r="D8" s="525">
        <f>SUM(D9:D14)</f>
        <v>16162470351.640638</v>
      </c>
      <c r="E8" s="525">
        <f t="shared" ref="E8:AA8" si="0">SUM(E9:E14)</f>
        <v>145469807.09549999</v>
      </c>
      <c r="F8" s="525">
        <f t="shared" si="0"/>
        <v>71942.236699999979</v>
      </c>
      <c r="G8" s="525">
        <f t="shared" si="0"/>
        <v>0</v>
      </c>
      <c r="H8" s="525">
        <f t="shared" si="0"/>
        <v>1183273376.7094011</v>
      </c>
      <c r="I8" s="525">
        <f t="shared" si="0"/>
        <v>66972784.15519999</v>
      </c>
      <c r="J8" s="525">
        <f t="shared" si="0"/>
        <v>67302047.469000012</v>
      </c>
      <c r="K8" s="525">
        <f t="shared" si="0"/>
        <v>19486.343700000005</v>
      </c>
      <c r="L8" s="525">
        <f t="shared" si="0"/>
        <v>433395707.07560015</v>
      </c>
      <c r="M8" s="525">
        <f t="shared" si="0"/>
        <v>29165786.065300018</v>
      </c>
      <c r="N8" s="525">
        <f t="shared" si="0"/>
        <v>18971797.105800007</v>
      </c>
      <c r="O8" s="525">
        <f t="shared" si="0"/>
        <v>74017579.160100013</v>
      </c>
      <c r="P8" s="525">
        <f t="shared" si="0"/>
        <v>105180657.51589999</v>
      </c>
      <c r="Q8" s="525">
        <f t="shared" si="0"/>
        <v>45811887.053300001</v>
      </c>
      <c r="R8" s="525">
        <f t="shared" si="0"/>
        <v>33159701.131199993</v>
      </c>
      <c r="S8" s="525">
        <f t="shared" si="0"/>
        <v>3397377.5153000001</v>
      </c>
      <c r="T8" s="525">
        <f t="shared" si="0"/>
        <v>94273808.83449997</v>
      </c>
      <c r="U8" s="525">
        <f t="shared" si="0"/>
        <v>11082927.829499997</v>
      </c>
      <c r="V8" s="525">
        <f t="shared" si="0"/>
        <v>7097345.3843</v>
      </c>
      <c r="W8" s="525">
        <f t="shared" si="0"/>
        <v>3475104.6247</v>
      </c>
      <c r="X8" s="525">
        <f t="shared" si="0"/>
        <v>1706171.2345999999</v>
      </c>
      <c r="Y8" s="525">
        <f t="shared" si="0"/>
        <v>1248128.3566000001</v>
      </c>
      <c r="Z8" s="525">
        <f t="shared" si="0"/>
        <v>1423161.9103999999</v>
      </c>
      <c r="AA8" s="525">
        <f t="shared" si="0"/>
        <v>0</v>
      </c>
    </row>
    <row r="9" spans="1:28" ht="15">
      <c r="A9" s="358">
        <v>1.1000000000000001</v>
      </c>
      <c r="B9" s="388" t="s">
        <v>558</v>
      </c>
      <c r="C9" s="554">
        <f>D9+H9+L9+T9</f>
        <v>0</v>
      </c>
      <c r="D9" s="527">
        <v>0</v>
      </c>
      <c r="E9" s="527">
        <v>0</v>
      </c>
      <c r="F9" s="527">
        <v>0</v>
      </c>
      <c r="G9" s="527">
        <v>0</v>
      </c>
      <c r="H9" s="527">
        <v>0</v>
      </c>
      <c r="I9" s="527">
        <v>0</v>
      </c>
      <c r="J9" s="527">
        <v>0</v>
      </c>
      <c r="K9" s="527">
        <v>0</v>
      </c>
      <c r="L9" s="527">
        <v>0</v>
      </c>
      <c r="M9" s="527">
        <v>0</v>
      </c>
      <c r="N9" s="527">
        <v>0</v>
      </c>
      <c r="O9" s="527">
        <v>0</v>
      </c>
      <c r="P9" s="527">
        <v>0</v>
      </c>
      <c r="Q9" s="527">
        <v>0</v>
      </c>
      <c r="R9" s="527">
        <v>0</v>
      </c>
      <c r="S9" s="527">
        <v>0</v>
      </c>
      <c r="T9" s="527">
        <v>0</v>
      </c>
      <c r="U9" s="527">
        <v>0</v>
      </c>
      <c r="V9" s="527">
        <v>0</v>
      </c>
      <c r="W9" s="527">
        <v>0</v>
      </c>
      <c r="X9" s="527">
        <v>0</v>
      </c>
      <c r="Y9" s="527">
        <v>0</v>
      </c>
      <c r="Z9" s="527">
        <v>0</v>
      </c>
      <c r="AA9" s="527">
        <v>0</v>
      </c>
    </row>
    <row r="10" spans="1:28" ht="15">
      <c r="A10" s="358">
        <v>1.2</v>
      </c>
      <c r="B10" s="388" t="s">
        <v>559</v>
      </c>
      <c r="C10" s="554">
        <f t="shared" ref="C10:C25" si="1">D10+H10+L10+T10</f>
        <v>0</v>
      </c>
      <c r="D10" s="527">
        <v>0</v>
      </c>
      <c r="E10" s="527">
        <v>0</v>
      </c>
      <c r="F10" s="527">
        <v>0</v>
      </c>
      <c r="G10" s="527">
        <v>0</v>
      </c>
      <c r="H10" s="527">
        <v>0</v>
      </c>
      <c r="I10" s="527">
        <v>0</v>
      </c>
      <c r="J10" s="527">
        <v>0</v>
      </c>
      <c r="K10" s="527">
        <v>0</v>
      </c>
      <c r="L10" s="527">
        <v>0</v>
      </c>
      <c r="M10" s="527">
        <v>0</v>
      </c>
      <c r="N10" s="527">
        <v>0</v>
      </c>
      <c r="O10" s="527">
        <v>0</v>
      </c>
      <c r="P10" s="527">
        <v>0</v>
      </c>
      <c r="Q10" s="527">
        <v>0</v>
      </c>
      <c r="R10" s="527">
        <v>0</v>
      </c>
      <c r="S10" s="527">
        <v>0</v>
      </c>
      <c r="T10" s="527">
        <v>0</v>
      </c>
      <c r="U10" s="527">
        <v>0</v>
      </c>
      <c r="V10" s="527">
        <v>0</v>
      </c>
      <c r="W10" s="527">
        <v>0</v>
      </c>
      <c r="X10" s="527">
        <v>0</v>
      </c>
      <c r="Y10" s="527">
        <v>0</v>
      </c>
      <c r="Z10" s="527">
        <v>0</v>
      </c>
      <c r="AA10" s="527">
        <v>0</v>
      </c>
    </row>
    <row r="11" spans="1:28" ht="15">
      <c r="A11" s="358">
        <v>1.3</v>
      </c>
      <c r="B11" s="388" t="s">
        <v>560</v>
      </c>
      <c r="C11" s="554">
        <f t="shared" si="1"/>
        <v>0</v>
      </c>
      <c r="D11" s="527">
        <v>0</v>
      </c>
      <c r="E11" s="527">
        <v>0</v>
      </c>
      <c r="F11" s="527">
        <v>0</v>
      </c>
      <c r="G11" s="527">
        <v>0</v>
      </c>
      <c r="H11" s="527">
        <v>0</v>
      </c>
      <c r="I11" s="527">
        <v>0</v>
      </c>
      <c r="J11" s="527">
        <v>0</v>
      </c>
      <c r="K11" s="527">
        <v>0</v>
      </c>
      <c r="L11" s="527">
        <v>0</v>
      </c>
      <c r="M11" s="527">
        <v>0</v>
      </c>
      <c r="N11" s="527">
        <v>0</v>
      </c>
      <c r="O11" s="527">
        <v>0</v>
      </c>
      <c r="P11" s="527">
        <v>0</v>
      </c>
      <c r="Q11" s="527">
        <v>0</v>
      </c>
      <c r="R11" s="527">
        <v>0</v>
      </c>
      <c r="S11" s="527">
        <v>0</v>
      </c>
      <c r="T11" s="527">
        <v>0</v>
      </c>
      <c r="U11" s="527">
        <v>0</v>
      </c>
      <c r="V11" s="527">
        <v>0</v>
      </c>
      <c r="W11" s="527">
        <v>0</v>
      </c>
      <c r="X11" s="527">
        <v>0</v>
      </c>
      <c r="Y11" s="527">
        <v>0</v>
      </c>
      <c r="Z11" s="527">
        <v>0</v>
      </c>
      <c r="AA11" s="527">
        <v>0</v>
      </c>
    </row>
    <row r="12" spans="1:28" ht="15">
      <c r="A12" s="358">
        <v>1.4</v>
      </c>
      <c r="B12" s="388" t="s">
        <v>561</v>
      </c>
      <c r="C12" s="554">
        <f t="shared" si="1"/>
        <v>280482375.20969999</v>
      </c>
      <c r="D12" s="527">
        <v>275515502.53969997</v>
      </c>
      <c r="E12" s="527">
        <v>0</v>
      </c>
      <c r="F12" s="527">
        <v>0</v>
      </c>
      <c r="G12" s="527">
        <v>0</v>
      </c>
      <c r="H12" s="527">
        <v>0</v>
      </c>
      <c r="I12" s="527">
        <v>0</v>
      </c>
      <c r="J12" s="527">
        <v>0</v>
      </c>
      <c r="K12" s="527">
        <v>0</v>
      </c>
      <c r="L12" s="527">
        <v>4966872.67</v>
      </c>
      <c r="M12" s="527">
        <v>4625646.76</v>
      </c>
      <c r="N12" s="527">
        <v>0</v>
      </c>
      <c r="O12" s="527">
        <v>0</v>
      </c>
      <c r="P12" s="527">
        <v>0</v>
      </c>
      <c r="Q12" s="527">
        <v>0</v>
      </c>
      <c r="R12" s="527">
        <v>0</v>
      </c>
      <c r="S12" s="527">
        <v>0</v>
      </c>
      <c r="T12" s="527">
        <v>0</v>
      </c>
      <c r="U12" s="527">
        <v>0</v>
      </c>
      <c r="V12" s="527">
        <v>0</v>
      </c>
      <c r="W12" s="527">
        <v>0</v>
      </c>
      <c r="X12" s="527">
        <v>0</v>
      </c>
      <c r="Y12" s="527">
        <v>0</v>
      </c>
      <c r="Z12" s="527">
        <v>0</v>
      </c>
      <c r="AA12" s="527">
        <v>0</v>
      </c>
    </row>
    <row r="13" spans="1:28" ht="15">
      <c r="A13" s="358">
        <v>1.5</v>
      </c>
      <c r="B13" s="388" t="s">
        <v>562</v>
      </c>
      <c r="C13" s="554">
        <f t="shared" si="1"/>
        <v>8271057636.8682404</v>
      </c>
      <c r="D13" s="527">
        <v>7297331579.5232401</v>
      </c>
      <c r="E13" s="527">
        <v>48163287.259299994</v>
      </c>
      <c r="F13" s="527">
        <v>0</v>
      </c>
      <c r="G13" s="527">
        <v>0</v>
      </c>
      <c r="H13" s="527">
        <v>733071744.84590018</v>
      </c>
      <c r="I13" s="527">
        <v>9977630.0207999982</v>
      </c>
      <c r="J13" s="527">
        <v>25052386.168900006</v>
      </c>
      <c r="K13" s="527">
        <v>119.9838</v>
      </c>
      <c r="L13" s="527">
        <v>220258200.68760005</v>
      </c>
      <c r="M13" s="527">
        <v>3308011.0788000003</v>
      </c>
      <c r="N13" s="527">
        <v>3570526.4910000004</v>
      </c>
      <c r="O13" s="527">
        <v>40376906.643700011</v>
      </c>
      <c r="P13" s="527">
        <v>85226660.432999998</v>
      </c>
      <c r="Q13" s="527">
        <v>31666759.246499997</v>
      </c>
      <c r="R13" s="527">
        <v>21383410.878099993</v>
      </c>
      <c r="S13" s="527">
        <v>1117159.7663</v>
      </c>
      <c r="T13" s="527">
        <v>20396111.811499994</v>
      </c>
      <c r="U13" s="527">
        <v>165502.77360000001</v>
      </c>
      <c r="V13" s="527">
        <v>1859463.2253999999</v>
      </c>
      <c r="W13" s="527">
        <v>760605.63989999995</v>
      </c>
      <c r="X13" s="527">
        <v>0</v>
      </c>
      <c r="Y13" s="527">
        <v>565944.35360000003</v>
      </c>
      <c r="Z13" s="527">
        <v>116853.46</v>
      </c>
      <c r="AA13" s="527">
        <v>0</v>
      </c>
    </row>
    <row r="14" spans="1:28" ht="15">
      <c r="A14" s="358">
        <v>1.6</v>
      </c>
      <c r="B14" s="388" t="s">
        <v>563</v>
      </c>
      <c r="C14" s="554">
        <f t="shared" si="1"/>
        <v>9321873232.1822014</v>
      </c>
      <c r="D14" s="527">
        <v>8589623269.5776987</v>
      </c>
      <c r="E14" s="527">
        <v>97306519.836199984</v>
      </c>
      <c r="F14" s="527">
        <v>71942.236699999979</v>
      </c>
      <c r="G14" s="527">
        <v>0</v>
      </c>
      <c r="H14" s="527">
        <v>450201631.86350107</v>
      </c>
      <c r="I14" s="527">
        <v>56995154.134399995</v>
      </c>
      <c r="J14" s="527">
        <v>42249661.300099999</v>
      </c>
      <c r="K14" s="527">
        <v>19366.359900000003</v>
      </c>
      <c r="L14" s="527">
        <v>208170633.71800008</v>
      </c>
      <c r="M14" s="527">
        <v>21232128.226500019</v>
      </c>
      <c r="N14" s="527">
        <v>15401270.614800006</v>
      </c>
      <c r="O14" s="527">
        <v>33640672.516399994</v>
      </c>
      <c r="P14" s="527">
        <v>19953997.082899995</v>
      </c>
      <c r="Q14" s="527">
        <v>14145127.806800004</v>
      </c>
      <c r="R14" s="527">
        <v>11776290.2531</v>
      </c>
      <c r="S14" s="527">
        <v>2280217.7490000003</v>
      </c>
      <c r="T14" s="527">
        <v>73877697.022999972</v>
      </c>
      <c r="U14" s="527">
        <v>10917425.055899996</v>
      </c>
      <c r="V14" s="527">
        <v>5237882.1589000002</v>
      </c>
      <c r="W14" s="527">
        <v>2714498.9848000002</v>
      </c>
      <c r="X14" s="527">
        <v>1706171.2345999999</v>
      </c>
      <c r="Y14" s="527">
        <v>682184.00300000003</v>
      </c>
      <c r="Z14" s="527">
        <v>1306308.4504</v>
      </c>
      <c r="AA14" s="527">
        <v>0</v>
      </c>
    </row>
    <row r="15" spans="1:28" ht="15">
      <c r="A15" s="389">
        <v>2</v>
      </c>
      <c r="B15" s="372" t="s">
        <v>564</v>
      </c>
      <c r="C15" s="554">
        <f>SUM(C16:C21)</f>
        <v>4471828968.1967001</v>
      </c>
      <c r="D15" s="554">
        <f t="shared" ref="D15:AA15" si="2">SUM(D16:D21)</f>
        <v>4471828968.1967001</v>
      </c>
      <c r="E15" s="554">
        <f t="shared" si="2"/>
        <v>0</v>
      </c>
      <c r="F15" s="554">
        <f t="shared" si="2"/>
        <v>0</v>
      </c>
      <c r="G15" s="554">
        <f t="shared" si="2"/>
        <v>0</v>
      </c>
      <c r="H15" s="554">
        <f t="shared" si="2"/>
        <v>0</v>
      </c>
      <c r="I15" s="554">
        <f t="shared" si="2"/>
        <v>0</v>
      </c>
      <c r="J15" s="554">
        <f t="shared" si="2"/>
        <v>0</v>
      </c>
      <c r="K15" s="554">
        <f t="shared" si="2"/>
        <v>0</v>
      </c>
      <c r="L15" s="554">
        <f t="shared" si="2"/>
        <v>0</v>
      </c>
      <c r="M15" s="554">
        <f t="shared" si="2"/>
        <v>0</v>
      </c>
      <c r="N15" s="554">
        <f t="shared" si="2"/>
        <v>0</v>
      </c>
      <c r="O15" s="554">
        <f t="shared" si="2"/>
        <v>0</v>
      </c>
      <c r="P15" s="554">
        <f t="shared" si="2"/>
        <v>0</v>
      </c>
      <c r="Q15" s="554">
        <f t="shared" si="2"/>
        <v>0</v>
      </c>
      <c r="R15" s="554">
        <f t="shared" si="2"/>
        <v>0</v>
      </c>
      <c r="S15" s="554">
        <f t="shared" si="2"/>
        <v>0</v>
      </c>
      <c r="T15" s="554">
        <f t="shared" si="2"/>
        <v>0</v>
      </c>
      <c r="U15" s="554">
        <f t="shared" si="2"/>
        <v>0</v>
      </c>
      <c r="V15" s="554">
        <f t="shared" si="2"/>
        <v>0</v>
      </c>
      <c r="W15" s="554">
        <f t="shared" si="2"/>
        <v>0</v>
      </c>
      <c r="X15" s="554">
        <f t="shared" si="2"/>
        <v>0</v>
      </c>
      <c r="Y15" s="554">
        <f t="shared" si="2"/>
        <v>0</v>
      </c>
      <c r="Z15" s="554">
        <f t="shared" si="2"/>
        <v>0</v>
      </c>
      <c r="AA15" s="554">
        <f t="shared" si="2"/>
        <v>0</v>
      </c>
    </row>
    <row r="16" spans="1:28" ht="15">
      <c r="A16" s="358">
        <v>2.1</v>
      </c>
      <c r="B16" s="388" t="s">
        <v>558</v>
      </c>
      <c r="C16" s="554">
        <f t="shared" si="1"/>
        <v>33692192.735300004</v>
      </c>
      <c r="D16" s="527">
        <v>33692192.735300004</v>
      </c>
      <c r="E16" s="527">
        <v>0</v>
      </c>
      <c r="F16" s="527">
        <v>0</v>
      </c>
      <c r="G16" s="527">
        <v>0</v>
      </c>
      <c r="H16" s="527">
        <v>0</v>
      </c>
      <c r="I16" s="527">
        <v>0</v>
      </c>
      <c r="J16" s="527">
        <v>0</v>
      </c>
      <c r="K16" s="527">
        <v>0</v>
      </c>
      <c r="L16" s="527">
        <v>0</v>
      </c>
      <c r="M16" s="527">
        <v>0</v>
      </c>
      <c r="N16" s="527">
        <v>0</v>
      </c>
      <c r="O16" s="527">
        <v>0</v>
      </c>
      <c r="P16" s="527">
        <v>0</v>
      </c>
      <c r="Q16" s="527">
        <v>0</v>
      </c>
      <c r="R16" s="527">
        <v>0</v>
      </c>
      <c r="S16" s="527">
        <v>0</v>
      </c>
      <c r="T16" s="527">
        <v>0</v>
      </c>
      <c r="U16" s="527">
        <v>0</v>
      </c>
      <c r="V16" s="527">
        <v>0</v>
      </c>
      <c r="W16" s="527">
        <v>0</v>
      </c>
      <c r="X16" s="527">
        <v>0</v>
      </c>
      <c r="Y16" s="527">
        <v>0</v>
      </c>
      <c r="Z16" s="527">
        <v>0</v>
      </c>
      <c r="AA16" s="527">
        <v>0</v>
      </c>
    </row>
    <row r="17" spans="1:27" ht="15">
      <c r="A17" s="358">
        <v>2.2000000000000002</v>
      </c>
      <c r="B17" s="388" t="s">
        <v>559</v>
      </c>
      <c r="C17" s="554">
        <f t="shared" si="1"/>
        <v>3436178790.9004002</v>
      </c>
      <c r="D17" s="527">
        <v>3436178790.9004002</v>
      </c>
      <c r="E17" s="527">
        <v>0</v>
      </c>
      <c r="F17" s="527">
        <v>0</v>
      </c>
      <c r="G17" s="527">
        <v>0</v>
      </c>
      <c r="H17" s="527">
        <v>0</v>
      </c>
      <c r="I17" s="527">
        <v>0</v>
      </c>
      <c r="J17" s="527">
        <v>0</v>
      </c>
      <c r="K17" s="527">
        <v>0</v>
      </c>
      <c r="L17" s="527">
        <v>0</v>
      </c>
      <c r="M17" s="527">
        <v>0</v>
      </c>
      <c r="N17" s="527">
        <v>0</v>
      </c>
      <c r="O17" s="527">
        <v>0</v>
      </c>
      <c r="P17" s="527">
        <v>0</v>
      </c>
      <c r="Q17" s="527">
        <v>0</v>
      </c>
      <c r="R17" s="527">
        <v>0</v>
      </c>
      <c r="S17" s="527">
        <v>0</v>
      </c>
      <c r="T17" s="527">
        <v>0</v>
      </c>
      <c r="U17" s="527">
        <v>0</v>
      </c>
      <c r="V17" s="527">
        <v>0</v>
      </c>
      <c r="W17" s="527">
        <v>0</v>
      </c>
      <c r="X17" s="527">
        <v>0</v>
      </c>
      <c r="Y17" s="527">
        <v>0</v>
      </c>
      <c r="Z17" s="527">
        <v>0</v>
      </c>
      <c r="AA17" s="527">
        <v>0</v>
      </c>
    </row>
    <row r="18" spans="1:27" ht="15">
      <c r="A18" s="358">
        <v>2.2999999999999998</v>
      </c>
      <c r="B18" s="388" t="s">
        <v>560</v>
      </c>
      <c r="C18" s="554">
        <f t="shared" si="1"/>
        <v>904441115.88610005</v>
      </c>
      <c r="D18" s="527">
        <v>904441115.88610005</v>
      </c>
      <c r="E18" s="527">
        <v>0</v>
      </c>
      <c r="F18" s="527">
        <v>0</v>
      </c>
      <c r="G18" s="527">
        <v>0</v>
      </c>
      <c r="H18" s="527">
        <v>0</v>
      </c>
      <c r="I18" s="527">
        <v>0</v>
      </c>
      <c r="J18" s="527">
        <v>0</v>
      </c>
      <c r="K18" s="527">
        <v>0</v>
      </c>
      <c r="L18" s="527">
        <v>0</v>
      </c>
      <c r="M18" s="527">
        <v>0</v>
      </c>
      <c r="N18" s="527">
        <v>0</v>
      </c>
      <c r="O18" s="527">
        <v>0</v>
      </c>
      <c r="P18" s="527">
        <v>0</v>
      </c>
      <c r="Q18" s="527">
        <v>0</v>
      </c>
      <c r="R18" s="527">
        <v>0</v>
      </c>
      <c r="S18" s="527">
        <v>0</v>
      </c>
      <c r="T18" s="527">
        <v>0</v>
      </c>
      <c r="U18" s="527">
        <v>0</v>
      </c>
      <c r="V18" s="527">
        <v>0</v>
      </c>
      <c r="W18" s="527">
        <v>0</v>
      </c>
      <c r="X18" s="527">
        <v>0</v>
      </c>
      <c r="Y18" s="527">
        <v>0</v>
      </c>
      <c r="Z18" s="527">
        <v>0</v>
      </c>
      <c r="AA18" s="527">
        <v>0</v>
      </c>
    </row>
    <row r="19" spans="1:27" ht="15">
      <c r="A19" s="358">
        <v>2.4</v>
      </c>
      <c r="B19" s="388" t="s">
        <v>561</v>
      </c>
      <c r="C19" s="554">
        <f t="shared" si="1"/>
        <v>10417362.27</v>
      </c>
      <c r="D19" s="527">
        <v>10417362.27</v>
      </c>
      <c r="E19" s="527">
        <v>0</v>
      </c>
      <c r="F19" s="527">
        <v>0</v>
      </c>
      <c r="G19" s="527">
        <v>0</v>
      </c>
      <c r="H19" s="527">
        <v>0</v>
      </c>
      <c r="I19" s="527">
        <v>0</v>
      </c>
      <c r="J19" s="527">
        <v>0</v>
      </c>
      <c r="K19" s="527">
        <v>0</v>
      </c>
      <c r="L19" s="527">
        <v>0</v>
      </c>
      <c r="M19" s="527">
        <v>0</v>
      </c>
      <c r="N19" s="527">
        <v>0</v>
      </c>
      <c r="O19" s="527">
        <v>0</v>
      </c>
      <c r="P19" s="527">
        <v>0</v>
      </c>
      <c r="Q19" s="527">
        <v>0</v>
      </c>
      <c r="R19" s="527">
        <v>0</v>
      </c>
      <c r="S19" s="527">
        <v>0</v>
      </c>
      <c r="T19" s="527">
        <v>0</v>
      </c>
      <c r="U19" s="527">
        <v>0</v>
      </c>
      <c r="V19" s="527">
        <v>0</v>
      </c>
      <c r="W19" s="527">
        <v>0</v>
      </c>
      <c r="X19" s="527">
        <v>0</v>
      </c>
      <c r="Y19" s="527">
        <v>0</v>
      </c>
      <c r="Z19" s="527">
        <v>0</v>
      </c>
      <c r="AA19" s="527">
        <v>0</v>
      </c>
    </row>
    <row r="20" spans="1:27" ht="15">
      <c r="A20" s="358">
        <v>2.5</v>
      </c>
      <c r="B20" s="388" t="s">
        <v>562</v>
      </c>
      <c r="C20" s="554">
        <f t="shared" si="1"/>
        <v>87099506.404899999</v>
      </c>
      <c r="D20" s="527">
        <v>87099506.404899999</v>
      </c>
      <c r="E20" s="527">
        <v>0</v>
      </c>
      <c r="F20" s="527">
        <v>0</v>
      </c>
      <c r="G20" s="527">
        <v>0</v>
      </c>
      <c r="H20" s="527">
        <v>0</v>
      </c>
      <c r="I20" s="527">
        <v>0</v>
      </c>
      <c r="J20" s="527">
        <v>0</v>
      </c>
      <c r="K20" s="527">
        <v>0</v>
      </c>
      <c r="L20" s="527">
        <v>0</v>
      </c>
      <c r="M20" s="527">
        <v>0</v>
      </c>
      <c r="N20" s="527">
        <v>0</v>
      </c>
      <c r="O20" s="527">
        <v>0</v>
      </c>
      <c r="P20" s="527">
        <v>0</v>
      </c>
      <c r="Q20" s="527">
        <v>0</v>
      </c>
      <c r="R20" s="527">
        <v>0</v>
      </c>
      <c r="S20" s="527">
        <v>0</v>
      </c>
      <c r="T20" s="527">
        <v>0</v>
      </c>
      <c r="U20" s="527">
        <v>0</v>
      </c>
      <c r="V20" s="527">
        <v>0</v>
      </c>
      <c r="W20" s="527">
        <v>0</v>
      </c>
      <c r="X20" s="527">
        <v>0</v>
      </c>
      <c r="Y20" s="527">
        <v>0</v>
      </c>
      <c r="Z20" s="527">
        <v>0</v>
      </c>
      <c r="AA20" s="527">
        <v>0</v>
      </c>
    </row>
    <row r="21" spans="1:27" ht="15">
      <c r="A21" s="358">
        <v>2.6</v>
      </c>
      <c r="B21" s="388" t="s">
        <v>563</v>
      </c>
      <c r="C21" s="554">
        <f t="shared" si="1"/>
        <v>0</v>
      </c>
      <c r="D21" s="527">
        <v>0</v>
      </c>
      <c r="E21" s="527">
        <v>0</v>
      </c>
      <c r="F21" s="527">
        <v>0</v>
      </c>
      <c r="G21" s="527">
        <v>0</v>
      </c>
      <c r="H21" s="527">
        <v>0</v>
      </c>
      <c r="I21" s="527">
        <v>0</v>
      </c>
      <c r="J21" s="527">
        <v>0</v>
      </c>
      <c r="K21" s="527">
        <v>0</v>
      </c>
      <c r="L21" s="527">
        <v>0</v>
      </c>
      <c r="M21" s="527">
        <v>0</v>
      </c>
      <c r="N21" s="527">
        <v>0</v>
      </c>
      <c r="O21" s="527">
        <v>0</v>
      </c>
      <c r="P21" s="527">
        <v>0</v>
      </c>
      <c r="Q21" s="527">
        <v>0</v>
      </c>
      <c r="R21" s="527">
        <v>0</v>
      </c>
      <c r="S21" s="527">
        <v>0</v>
      </c>
      <c r="T21" s="527">
        <v>0</v>
      </c>
      <c r="U21" s="527">
        <v>0</v>
      </c>
      <c r="V21" s="527">
        <v>0</v>
      </c>
      <c r="W21" s="527">
        <v>0</v>
      </c>
      <c r="X21" s="527">
        <v>0</v>
      </c>
      <c r="Y21" s="527">
        <v>0</v>
      </c>
      <c r="Z21" s="527">
        <v>0</v>
      </c>
      <c r="AA21" s="527">
        <v>0</v>
      </c>
    </row>
    <row r="22" spans="1:27" ht="15">
      <c r="A22" s="389">
        <v>3</v>
      </c>
      <c r="B22" s="362" t="s">
        <v>565</v>
      </c>
      <c r="C22" s="554">
        <f>SUM(C23:C28)</f>
        <v>2644599880.5602999</v>
      </c>
      <c r="D22" s="554">
        <f t="shared" ref="D22" si="3">SUM(D23:D28)</f>
        <v>2602143056.6918869</v>
      </c>
      <c r="E22" s="387"/>
      <c r="F22" s="387"/>
      <c r="G22" s="387"/>
      <c r="H22" s="554">
        <f t="shared" ref="H22" si="4">SUM(H23:H28)</f>
        <v>13467727.354106998</v>
      </c>
      <c r="I22" s="387"/>
      <c r="J22" s="387"/>
      <c r="K22" s="387"/>
      <c r="L22" s="554">
        <f t="shared" ref="L22" si="5">SUM(L23:L28)</f>
        <v>7804585.0718060005</v>
      </c>
      <c r="M22" s="387"/>
      <c r="N22" s="387"/>
      <c r="O22" s="387"/>
      <c r="P22" s="387"/>
      <c r="Q22" s="387"/>
      <c r="R22" s="387"/>
      <c r="S22" s="387"/>
      <c r="T22" s="527">
        <v>0</v>
      </c>
      <c r="U22" s="387"/>
      <c r="V22" s="387"/>
      <c r="W22" s="387"/>
      <c r="X22" s="387"/>
      <c r="Y22" s="387"/>
      <c r="Z22" s="387"/>
      <c r="AA22" s="387"/>
    </row>
    <row r="23" spans="1:27" ht="15">
      <c r="A23" s="358">
        <v>3.1</v>
      </c>
      <c r="B23" s="388" t="s">
        <v>558</v>
      </c>
      <c r="C23" s="554">
        <f t="shared" si="1"/>
        <v>0</v>
      </c>
      <c r="D23" s="527">
        <v>0</v>
      </c>
      <c r="E23" s="387"/>
      <c r="F23" s="387"/>
      <c r="G23" s="387"/>
      <c r="H23" s="527">
        <v>0</v>
      </c>
      <c r="I23" s="387"/>
      <c r="J23" s="387"/>
      <c r="K23" s="387"/>
      <c r="L23" s="527">
        <v>0</v>
      </c>
      <c r="M23" s="387"/>
      <c r="N23" s="387"/>
      <c r="O23" s="387"/>
      <c r="P23" s="387"/>
      <c r="Q23" s="387"/>
      <c r="R23" s="387"/>
      <c r="S23" s="387"/>
      <c r="T23" s="527">
        <v>0</v>
      </c>
      <c r="U23" s="387"/>
      <c r="V23" s="387"/>
      <c r="W23" s="387"/>
      <c r="X23" s="387"/>
      <c r="Y23" s="387"/>
      <c r="Z23" s="387"/>
      <c r="AA23" s="387"/>
    </row>
    <row r="24" spans="1:27" ht="15">
      <c r="A24" s="358">
        <v>3.2</v>
      </c>
      <c r="B24" s="388" t="s">
        <v>559</v>
      </c>
      <c r="C24" s="554">
        <f t="shared" si="1"/>
        <v>893245.59</v>
      </c>
      <c r="D24" s="527">
        <v>893245.59</v>
      </c>
      <c r="E24" s="387"/>
      <c r="F24" s="387"/>
      <c r="G24" s="387"/>
      <c r="H24" s="527">
        <v>0</v>
      </c>
      <c r="I24" s="387"/>
      <c r="J24" s="387"/>
      <c r="K24" s="387"/>
      <c r="L24" s="527">
        <v>0</v>
      </c>
      <c r="M24" s="387"/>
      <c r="N24" s="387"/>
      <c r="O24" s="387"/>
      <c r="P24" s="387"/>
      <c r="Q24" s="387"/>
      <c r="R24" s="387"/>
      <c r="S24" s="387"/>
      <c r="T24" s="527">
        <v>0</v>
      </c>
      <c r="U24" s="387"/>
      <c r="V24" s="387"/>
      <c r="W24" s="387"/>
      <c r="X24" s="387"/>
      <c r="Y24" s="387"/>
      <c r="Z24" s="387"/>
      <c r="AA24" s="387"/>
    </row>
    <row r="25" spans="1:27" ht="15">
      <c r="A25" s="358">
        <v>3.3</v>
      </c>
      <c r="B25" s="388" t="s">
        <v>560</v>
      </c>
      <c r="C25" s="554">
        <f t="shared" si="1"/>
        <v>0</v>
      </c>
      <c r="D25" s="527">
        <v>0</v>
      </c>
      <c r="E25" s="387"/>
      <c r="F25" s="387"/>
      <c r="G25" s="387"/>
      <c r="H25" s="527">
        <v>0</v>
      </c>
      <c r="I25" s="387"/>
      <c r="J25" s="387"/>
      <c r="K25" s="387"/>
      <c r="L25" s="527">
        <v>0</v>
      </c>
      <c r="M25" s="387"/>
      <c r="N25" s="387"/>
      <c r="O25" s="387"/>
      <c r="P25" s="387"/>
      <c r="Q25" s="387"/>
      <c r="R25" s="387"/>
      <c r="S25" s="387"/>
      <c r="T25" s="527">
        <v>0</v>
      </c>
      <c r="U25" s="387"/>
      <c r="V25" s="387"/>
      <c r="W25" s="387"/>
      <c r="X25" s="387"/>
      <c r="Y25" s="387"/>
      <c r="Z25" s="387"/>
      <c r="AA25" s="387"/>
    </row>
    <row r="26" spans="1:27" ht="15">
      <c r="A26" s="358">
        <v>3.4</v>
      </c>
      <c r="B26" s="388" t="s">
        <v>561</v>
      </c>
      <c r="C26" s="554">
        <f>D26+H26+L26+T26</f>
        <v>4186833.9071</v>
      </c>
      <c r="D26" s="527">
        <v>4186833.9071</v>
      </c>
      <c r="E26" s="387"/>
      <c r="F26" s="387"/>
      <c r="G26" s="387"/>
      <c r="H26" s="527">
        <v>0</v>
      </c>
      <c r="I26" s="387"/>
      <c r="J26" s="387"/>
      <c r="K26" s="387"/>
      <c r="L26" s="527">
        <v>0</v>
      </c>
      <c r="M26" s="387"/>
      <c r="N26" s="387"/>
      <c r="O26" s="387"/>
      <c r="P26" s="387"/>
      <c r="Q26" s="387"/>
      <c r="R26" s="387"/>
      <c r="S26" s="387"/>
      <c r="T26" s="527">
        <v>0</v>
      </c>
      <c r="U26" s="387"/>
      <c r="V26" s="387"/>
      <c r="W26" s="387"/>
      <c r="X26" s="387"/>
      <c r="Y26" s="387"/>
      <c r="Z26" s="387"/>
      <c r="AA26" s="387"/>
    </row>
    <row r="27" spans="1:27" ht="15">
      <c r="A27" s="358">
        <v>3.5</v>
      </c>
      <c r="B27" s="388" t="s">
        <v>562</v>
      </c>
      <c r="C27" s="554">
        <f>D27+H27+L27+T27</f>
        <v>2390722519.5213308</v>
      </c>
      <c r="D27" s="527">
        <v>2353318154.5535488</v>
      </c>
      <c r="E27" s="387"/>
      <c r="F27" s="387"/>
      <c r="G27" s="387"/>
      <c r="H27" s="527">
        <v>8839015.4853099994</v>
      </c>
      <c r="I27" s="387"/>
      <c r="J27" s="387"/>
      <c r="K27" s="387"/>
      <c r="L27" s="527">
        <v>7382349.4824720006</v>
      </c>
      <c r="M27" s="387"/>
      <c r="N27" s="387"/>
      <c r="O27" s="387"/>
      <c r="P27" s="387"/>
      <c r="Q27" s="387"/>
      <c r="R27" s="387"/>
      <c r="S27" s="387"/>
      <c r="T27" s="527">
        <v>21183000</v>
      </c>
      <c r="U27" s="387"/>
      <c r="V27" s="387"/>
      <c r="W27" s="387"/>
      <c r="X27" s="387"/>
      <c r="Y27" s="387"/>
      <c r="Z27" s="387"/>
      <c r="AA27" s="387"/>
    </row>
    <row r="28" spans="1:27" ht="15">
      <c r="A28" s="358">
        <v>3.6</v>
      </c>
      <c r="B28" s="388" t="s">
        <v>563</v>
      </c>
      <c r="C28" s="554">
        <f>D28+H28+L28+T28</f>
        <v>248797281.54186901</v>
      </c>
      <c r="D28" s="527">
        <v>243744822.641238</v>
      </c>
      <c r="E28" s="387"/>
      <c r="F28" s="387"/>
      <c r="G28" s="387"/>
      <c r="H28" s="527">
        <v>4628711.8687969986</v>
      </c>
      <c r="I28" s="387"/>
      <c r="J28" s="387"/>
      <c r="K28" s="387"/>
      <c r="L28" s="527">
        <v>422235.58933400002</v>
      </c>
      <c r="M28" s="387"/>
      <c r="N28" s="387"/>
      <c r="O28" s="387"/>
      <c r="P28" s="387"/>
      <c r="Q28" s="387"/>
      <c r="R28" s="387"/>
      <c r="S28" s="387"/>
      <c r="T28" s="527">
        <v>1511.4425000000001</v>
      </c>
      <c r="U28" s="387"/>
      <c r="V28" s="387"/>
      <c r="W28" s="387"/>
      <c r="X28" s="387"/>
      <c r="Y28" s="387"/>
      <c r="Z28" s="387"/>
      <c r="AA28" s="387"/>
    </row>
    <row r="29" spans="1:27">
      <c r="E29" s="535"/>
      <c r="F29" s="535"/>
      <c r="G29" s="535"/>
      <c r="H29" s="535"/>
      <c r="I29" s="535"/>
      <c r="J29" s="535"/>
      <c r="K29" s="535"/>
      <c r="L29" s="527"/>
      <c r="M29" s="535"/>
      <c r="N29" s="535"/>
      <c r="O29" s="535"/>
      <c r="P29" s="535"/>
      <c r="Q29" s="535"/>
      <c r="R29" s="535"/>
      <c r="S29" s="535"/>
      <c r="T29" s="535"/>
      <c r="U29" s="535"/>
      <c r="V29" s="535"/>
      <c r="W29" s="535"/>
      <c r="X29" s="535"/>
      <c r="Y29" s="535"/>
      <c r="Z29" s="535"/>
      <c r="AA29" s="535"/>
    </row>
    <row r="31" spans="1:27">
      <c r="B31" s="369" t="s">
        <v>998</v>
      </c>
    </row>
    <row r="32" spans="1:27">
      <c r="E32" s="535"/>
      <c r="F32" s="535"/>
      <c r="G32" s="535"/>
      <c r="H32" s="535"/>
      <c r="I32" s="535"/>
      <c r="J32" s="535"/>
      <c r="K32" s="535"/>
      <c r="L32" s="535"/>
      <c r="M32" s="535"/>
      <c r="N32" s="535"/>
      <c r="O32" s="535"/>
      <c r="P32" s="535"/>
      <c r="Q32" s="535"/>
      <c r="R32" s="535"/>
      <c r="S32" s="535"/>
      <c r="T32" s="535"/>
      <c r="U32" s="535"/>
      <c r="V32" s="535"/>
      <c r="W32" s="535"/>
      <c r="X32" s="535"/>
      <c r="Y32" s="535"/>
      <c r="Z32" s="535"/>
      <c r="AA32" s="53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topLeftCell="A16" zoomScaleNormal="100" workbookViewId="0">
      <selection activeCell="C21" sqref="C21"/>
    </sheetView>
  </sheetViews>
  <sheetFormatPr defaultColWidth="9.140625" defaultRowHeight="12.75"/>
  <cols>
    <col min="1" max="1" width="11.85546875" style="369" bestFit="1" customWidth="1"/>
    <col min="2" max="2" width="90.28515625" style="369" bestFit="1" customWidth="1"/>
    <col min="3" max="3" width="20.140625" style="369" customWidth="1"/>
    <col min="4" max="4" width="22.28515625" style="369" customWidth="1"/>
    <col min="5" max="7" width="17.140625" style="369" customWidth="1"/>
    <col min="8" max="8" width="22.28515625" style="369" customWidth="1"/>
    <col min="9" max="10" width="17.140625" style="369" customWidth="1"/>
    <col min="11" max="27" width="22.28515625" style="369" customWidth="1"/>
    <col min="28" max="16384" width="9.140625" style="369"/>
  </cols>
  <sheetData>
    <row r="1" spans="1:28" ht="13.5">
      <c r="A1" s="324" t="s">
        <v>106</v>
      </c>
      <c r="B1" s="257" t="str">
        <f>Info!C2</f>
        <v>სს ”საქართველოს ბანკი”</v>
      </c>
      <c r="D1" s="536"/>
    </row>
    <row r="2" spans="1:28">
      <c r="A2" s="326" t="s">
        <v>107</v>
      </c>
      <c r="B2" s="328">
        <f>'1. key ratios'!B2</f>
        <v>45107</v>
      </c>
      <c r="S2" s="535"/>
    </row>
    <row r="3" spans="1:28">
      <c r="A3" s="327" t="s">
        <v>566</v>
      </c>
      <c r="C3" s="371"/>
      <c r="E3" s="535"/>
      <c r="H3" s="535"/>
      <c r="L3" s="535"/>
      <c r="T3" s="535"/>
    </row>
    <row r="4" spans="1:28" ht="13.5" thickBot="1">
      <c r="A4" s="327"/>
      <c r="B4" s="371"/>
      <c r="C4" s="371"/>
    </row>
    <row r="5" spans="1:28" s="399" customFormat="1" ht="13.5" customHeight="1">
      <c r="A5" s="888" t="s">
        <v>894</v>
      </c>
      <c r="B5" s="889"/>
      <c r="C5" s="885" t="s">
        <v>567</v>
      </c>
      <c r="D5" s="886"/>
      <c r="E5" s="886"/>
      <c r="F5" s="886"/>
      <c r="G5" s="886"/>
      <c r="H5" s="886"/>
      <c r="I5" s="886"/>
      <c r="J5" s="886"/>
      <c r="K5" s="886"/>
      <c r="L5" s="886"/>
      <c r="M5" s="886"/>
      <c r="N5" s="886"/>
      <c r="O5" s="886"/>
      <c r="P5" s="886"/>
      <c r="Q5" s="886"/>
      <c r="R5" s="886"/>
      <c r="S5" s="886"/>
      <c r="T5" s="886"/>
      <c r="U5" s="886"/>
      <c r="V5" s="886"/>
      <c r="W5" s="886"/>
      <c r="X5" s="886"/>
      <c r="Y5" s="886"/>
      <c r="Z5" s="886"/>
      <c r="AA5" s="887"/>
    </row>
    <row r="6" spans="1:28" s="399" customFormat="1" ht="12" customHeight="1">
      <c r="A6" s="890"/>
      <c r="B6" s="891"/>
      <c r="C6" s="895" t="s">
        <v>64</v>
      </c>
      <c r="D6" s="894" t="s">
        <v>885</v>
      </c>
      <c r="E6" s="894"/>
      <c r="F6" s="894"/>
      <c r="G6" s="894"/>
      <c r="H6" s="880" t="s">
        <v>884</v>
      </c>
      <c r="I6" s="881"/>
      <c r="J6" s="881"/>
      <c r="K6" s="881"/>
      <c r="L6" s="395"/>
      <c r="M6" s="862" t="s">
        <v>883</v>
      </c>
      <c r="N6" s="862"/>
      <c r="O6" s="862"/>
      <c r="P6" s="862"/>
      <c r="Q6" s="862"/>
      <c r="R6" s="862"/>
      <c r="S6" s="860"/>
      <c r="T6" s="395"/>
      <c r="U6" s="862" t="s">
        <v>882</v>
      </c>
      <c r="V6" s="862"/>
      <c r="W6" s="862"/>
      <c r="X6" s="862"/>
      <c r="Y6" s="862"/>
      <c r="Z6" s="862"/>
      <c r="AA6" s="884"/>
    </row>
    <row r="7" spans="1:28" s="399" customFormat="1" ht="38.25">
      <c r="A7" s="892"/>
      <c r="B7" s="893"/>
      <c r="C7" s="896"/>
      <c r="D7" s="394"/>
      <c r="E7" s="390" t="s">
        <v>556</v>
      </c>
      <c r="F7" s="366" t="s">
        <v>880</v>
      </c>
      <c r="G7" s="366" t="s">
        <v>881</v>
      </c>
      <c r="H7" s="420"/>
      <c r="I7" s="390" t="s">
        <v>556</v>
      </c>
      <c r="J7" s="366" t="s">
        <v>880</v>
      </c>
      <c r="K7" s="366" t="s">
        <v>881</v>
      </c>
      <c r="L7" s="391"/>
      <c r="M7" s="390" t="s">
        <v>556</v>
      </c>
      <c r="N7" s="366" t="s">
        <v>893</v>
      </c>
      <c r="O7" s="366" t="s">
        <v>892</v>
      </c>
      <c r="P7" s="366" t="s">
        <v>891</v>
      </c>
      <c r="Q7" s="366" t="s">
        <v>890</v>
      </c>
      <c r="R7" s="366" t="s">
        <v>889</v>
      </c>
      <c r="S7" s="366" t="s">
        <v>875</v>
      </c>
      <c r="T7" s="391"/>
      <c r="U7" s="390" t="s">
        <v>556</v>
      </c>
      <c r="V7" s="366" t="s">
        <v>893</v>
      </c>
      <c r="W7" s="366" t="s">
        <v>892</v>
      </c>
      <c r="X7" s="366" t="s">
        <v>891</v>
      </c>
      <c r="Y7" s="366" t="s">
        <v>890</v>
      </c>
      <c r="Z7" s="366" t="s">
        <v>889</v>
      </c>
      <c r="AA7" s="366" t="s">
        <v>875</v>
      </c>
    </row>
    <row r="8" spans="1:28" ht="15">
      <c r="A8" s="419">
        <v>1</v>
      </c>
      <c r="B8" s="418" t="s">
        <v>557</v>
      </c>
      <c r="C8" s="531">
        <f t="shared" ref="C8:C15" si="0">D8+H8+L8+T8</f>
        <v>17873413244.260139</v>
      </c>
      <c r="D8" s="522">
        <v>16162470351.64064</v>
      </c>
      <c r="E8" s="522">
        <v>145469807.09549999</v>
      </c>
      <c r="F8" s="522">
        <v>71942.236699999994</v>
      </c>
      <c r="G8" s="522"/>
      <c r="H8" s="522">
        <v>1183273376.7093999</v>
      </c>
      <c r="I8" s="522">
        <v>66972784.155200005</v>
      </c>
      <c r="J8" s="522">
        <v>67302047.468999997</v>
      </c>
      <c r="K8" s="522">
        <v>19486.343700000001</v>
      </c>
      <c r="L8" s="522">
        <v>433395707.07559997</v>
      </c>
      <c r="M8" s="522">
        <v>29165786.065299995</v>
      </c>
      <c r="N8" s="522">
        <v>18971797.105799999</v>
      </c>
      <c r="O8" s="522">
        <v>74017579.160100013</v>
      </c>
      <c r="P8" s="522">
        <v>105180657.51589996</v>
      </c>
      <c r="Q8" s="522">
        <v>45811887.053300008</v>
      </c>
      <c r="R8" s="522">
        <v>33159701.131200004</v>
      </c>
      <c r="S8" s="522">
        <v>3397377.5153000006</v>
      </c>
      <c r="T8" s="522">
        <v>94273808.83450003</v>
      </c>
      <c r="U8" s="522">
        <v>11082927.829500001</v>
      </c>
      <c r="V8" s="522">
        <v>7097345.384300001</v>
      </c>
      <c r="W8" s="522">
        <v>3475104.6247</v>
      </c>
      <c r="X8" s="522">
        <v>1706171.2346000001</v>
      </c>
      <c r="Y8" s="522">
        <v>1248128.3566000001</v>
      </c>
      <c r="Z8" s="522">
        <v>1423161.9103999999</v>
      </c>
      <c r="AA8" s="522">
        <v>0</v>
      </c>
      <c r="AB8" s="523"/>
    </row>
    <row r="9" spans="1:28" ht="15">
      <c r="A9" s="416">
        <v>1.1000000000000001</v>
      </c>
      <c r="B9" s="417" t="s">
        <v>568</v>
      </c>
      <c r="C9" s="531">
        <f t="shared" si="0"/>
        <v>14675056701.6192</v>
      </c>
      <c r="D9" s="522">
        <v>13213844167.530701</v>
      </c>
      <c r="E9" s="522">
        <v>110094986.2568</v>
      </c>
      <c r="F9" s="522">
        <v>0</v>
      </c>
      <c r="G9" s="522"/>
      <c r="H9" s="522">
        <v>1039726893.4377999</v>
      </c>
      <c r="I9" s="522">
        <v>41072903.611399993</v>
      </c>
      <c r="J9" s="522">
        <v>47660950.067599997</v>
      </c>
      <c r="K9" s="522">
        <v>0</v>
      </c>
      <c r="L9" s="522">
        <v>334378011.70179993</v>
      </c>
      <c r="M9" s="522">
        <v>10066829.120200001</v>
      </c>
      <c r="N9" s="522">
        <v>11173511.790200001</v>
      </c>
      <c r="O9" s="522">
        <v>53787421.832900003</v>
      </c>
      <c r="P9" s="522">
        <v>103355786.95280001</v>
      </c>
      <c r="Q9" s="522">
        <v>43962548.923199996</v>
      </c>
      <c r="R9" s="522">
        <v>30182786.9267</v>
      </c>
      <c r="S9" s="522">
        <v>0</v>
      </c>
      <c r="T9" s="522">
        <v>87107628.948899999</v>
      </c>
      <c r="U9" s="522">
        <v>9774535.2433000002</v>
      </c>
      <c r="V9" s="522">
        <v>6549996.0805999991</v>
      </c>
      <c r="W9" s="522">
        <v>3170392.6107000001</v>
      </c>
      <c r="X9" s="522">
        <v>1625315.5214</v>
      </c>
      <c r="Y9" s="522">
        <v>1248128.3566000001</v>
      </c>
      <c r="Z9" s="522">
        <v>1423161.9103999999</v>
      </c>
      <c r="AA9" s="522"/>
      <c r="AB9" s="522"/>
    </row>
    <row r="10" spans="1:28" ht="15">
      <c r="A10" s="414" t="s">
        <v>155</v>
      </c>
      <c r="B10" s="415" t="s">
        <v>569</v>
      </c>
      <c r="C10" s="531">
        <f t="shared" si="0"/>
        <v>14325745134.8892</v>
      </c>
      <c r="D10" s="522">
        <v>12872772340.9531</v>
      </c>
      <c r="E10" s="522">
        <v>107253037.3538</v>
      </c>
      <c r="F10" s="522">
        <v>0</v>
      </c>
      <c r="G10" s="522"/>
      <c r="H10" s="522">
        <v>1034968650.9217</v>
      </c>
      <c r="I10" s="522">
        <v>40763438.253499992</v>
      </c>
      <c r="J10" s="522">
        <v>47207969.871399999</v>
      </c>
      <c r="K10" s="522">
        <v>0</v>
      </c>
      <c r="L10" s="522">
        <v>330896514.06549996</v>
      </c>
      <c r="M10" s="522">
        <v>9985002.6283999998</v>
      </c>
      <c r="N10" s="522">
        <v>11093164.6273</v>
      </c>
      <c r="O10" s="522">
        <v>52764851.984400004</v>
      </c>
      <c r="P10" s="522">
        <v>102022278.7031</v>
      </c>
      <c r="Q10" s="522">
        <v>43962548.923199996</v>
      </c>
      <c r="R10" s="522">
        <v>30182786.9267</v>
      </c>
      <c r="S10" s="522">
        <v>0</v>
      </c>
      <c r="T10" s="522">
        <v>87107628.948899999</v>
      </c>
      <c r="U10" s="522">
        <v>9774535.2433000002</v>
      </c>
      <c r="V10" s="522">
        <v>6549996.0805999991</v>
      </c>
      <c r="W10" s="522">
        <v>3170392.6107000001</v>
      </c>
      <c r="X10" s="522">
        <v>1625315.5214</v>
      </c>
      <c r="Y10" s="522">
        <v>1248128.3566000001</v>
      </c>
      <c r="Z10" s="522">
        <v>1423161.9103999999</v>
      </c>
      <c r="AA10" s="522"/>
      <c r="AB10" s="522"/>
    </row>
    <row r="11" spans="1:28" ht="15">
      <c r="A11" s="413" t="s">
        <v>570</v>
      </c>
      <c r="B11" s="412" t="s">
        <v>571</v>
      </c>
      <c r="C11" s="531">
        <f t="shared" si="0"/>
        <v>6926415894.6401997</v>
      </c>
      <c r="D11" s="522">
        <v>6307463242.7901001</v>
      </c>
      <c r="E11" s="522">
        <v>47340911.148100004</v>
      </c>
      <c r="F11" s="522">
        <v>0</v>
      </c>
      <c r="G11" s="522"/>
      <c r="H11" s="522">
        <v>400809817.65310001</v>
      </c>
      <c r="I11" s="522">
        <v>19994882.835099999</v>
      </c>
      <c r="J11" s="522">
        <v>14204907.803400001</v>
      </c>
      <c r="K11" s="522">
        <v>0</v>
      </c>
      <c r="L11" s="522">
        <v>182364030.34109998</v>
      </c>
      <c r="M11" s="522">
        <v>4731256.3888999997</v>
      </c>
      <c r="N11" s="522">
        <v>4140381.5055</v>
      </c>
      <c r="O11" s="522">
        <v>18885903.775600001</v>
      </c>
      <c r="P11" s="522">
        <v>64775011.166000001</v>
      </c>
      <c r="Q11" s="522">
        <v>26145135.400899999</v>
      </c>
      <c r="R11" s="522">
        <v>18814586.365899999</v>
      </c>
      <c r="S11" s="522">
        <v>0</v>
      </c>
      <c r="T11" s="522">
        <v>35778803.855900005</v>
      </c>
      <c r="U11" s="522">
        <v>4187161.4915</v>
      </c>
      <c r="V11" s="522">
        <v>2953587.6951000001</v>
      </c>
      <c r="W11" s="522">
        <v>1246313.2637</v>
      </c>
      <c r="X11" s="522">
        <v>591154.94819999998</v>
      </c>
      <c r="Y11" s="522">
        <v>386677.07990000001</v>
      </c>
      <c r="Z11" s="522">
        <v>116853.46</v>
      </c>
      <c r="AA11" s="522"/>
      <c r="AB11" s="522"/>
    </row>
    <row r="12" spans="1:28" ht="15">
      <c r="A12" s="413" t="s">
        <v>572</v>
      </c>
      <c r="B12" s="412" t="s">
        <v>573</v>
      </c>
      <c r="C12" s="531">
        <f t="shared" si="0"/>
        <v>2320345319.8815999</v>
      </c>
      <c r="D12" s="522">
        <v>2167126962.1195998</v>
      </c>
      <c r="E12" s="522">
        <v>27760955.941800002</v>
      </c>
      <c r="F12" s="522">
        <v>0</v>
      </c>
      <c r="G12" s="522"/>
      <c r="H12" s="522">
        <v>87553228.227200001</v>
      </c>
      <c r="I12" s="522">
        <v>6657717.2378000002</v>
      </c>
      <c r="J12" s="522">
        <v>7481100.9758000001</v>
      </c>
      <c r="K12" s="522">
        <v>0</v>
      </c>
      <c r="L12" s="522">
        <v>33314516.789099999</v>
      </c>
      <c r="M12" s="522">
        <v>1791867.4253</v>
      </c>
      <c r="N12" s="522">
        <v>1697703.5920000002</v>
      </c>
      <c r="O12" s="522">
        <v>7542790.6648000004</v>
      </c>
      <c r="P12" s="522">
        <v>3619184.7379000001</v>
      </c>
      <c r="Q12" s="522">
        <v>3408351.1575000002</v>
      </c>
      <c r="R12" s="522">
        <v>3196742.13</v>
      </c>
      <c r="S12" s="522">
        <v>0</v>
      </c>
      <c r="T12" s="522">
        <v>32350612.745700002</v>
      </c>
      <c r="U12" s="522">
        <v>2618297.5443000002</v>
      </c>
      <c r="V12" s="522">
        <v>1295553.6253</v>
      </c>
      <c r="W12" s="522">
        <v>370822.48680000001</v>
      </c>
      <c r="X12" s="522">
        <v>168714.68799999999</v>
      </c>
      <c r="Y12" s="522">
        <v>71710.016399999993</v>
      </c>
      <c r="Z12" s="522">
        <v>131960.5638</v>
      </c>
      <c r="AA12" s="522"/>
      <c r="AB12" s="522"/>
    </row>
    <row r="13" spans="1:28" ht="15">
      <c r="A13" s="413" t="s">
        <v>574</v>
      </c>
      <c r="B13" s="412" t="s">
        <v>575</v>
      </c>
      <c r="C13" s="531">
        <f t="shared" si="0"/>
        <v>1704071797.6615</v>
      </c>
      <c r="D13" s="522">
        <v>1555862530.2495</v>
      </c>
      <c r="E13" s="522">
        <v>17335161.941199999</v>
      </c>
      <c r="F13" s="522">
        <v>0</v>
      </c>
      <c r="G13" s="522"/>
      <c r="H13" s="522">
        <v>105813178.4554</v>
      </c>
      <c r="I13" s="522">
        <v>10752183.052199999</v>
      </c>
      <c r="J13" s="522">
        <v>7807229.1461999994</v>
      </c>
      <c r="K13" s="522">
        <v>0</v>
      </c>
      <c r="L13" s="522">
        <v>34084968.176799998</v>
      </c>
      <c r="M13" s="522">
        <v>1027610.5323</v>
      </c>
      <c r="N13" s="522">
        <v>1946400.7165000001</v>
      </c>
      <c r="O13" s="522">
        <v>8926806.6735999994</v>
      </c>
      <c r="P13" s="522">
        <v>7159428.4968999997</v>
      </c>
      <c r="Q13" s="522">
        <v>2668455.5959000001</v>
      </c>
      <c r="R13" s="522">
        <v>1349710.6132</v>
      </c>
      <c r="S13" s="522">
        <v>0</v>
      </c>
      <c r="T13" s="522">
        <v>8311120.7797999997</v>
      </c>
      <c r="U13" s="522">
        <v>1465165.7760999999</v>
      </c>
      <c r="V13" s="522">
        <v>1166914.5911000001</v>
      </c>
      <c r="W13" s="522">
        <v>621176.27729999996</v>
      </c>
      <c r="X13" s="522">
        <v>388715.78460000001</v>
      </c>
      <c r="Y13" s="522">
        <v>0</v>
      </c>
      <c r="Z13" s="522">
        <v>61138.488700000002</v>
      </c>
      <c r="AA13" s="522"/>
      <c r="AB13" s="522"/>
    </row>
    <row r="14" spans="1:28" ht="15">
      <c r="A14" s="413" t="s">
        <v>576</v>
      </c>
      <c r="B14" s="412" t="s">
        <v>577</v>
      </c>
      <c r="C14" s="531">
        <f t="shared" si="0"/>
        <v>3374912122.7059002</v>
      </c>
      <c r="D14" s="522">
        <v>2842319605.7939</v>
      </c>
      <c r="E14" s="522">
        <v>14816008.322699999</v>
      </c>
      <c r="F14" s="522">
        <v>0</v>
      </c>
      <c r="G14" s="522"/>
      <c r="H14" s="522">
        <v>440792426.58600003</v>
      </c>
      <c r="I14" s="522">
        <v>3358655.1284000003</v>
      </c>
      <c r="J14" s="522">
        <v>17714731.945999999</v>
      </c>
      <c r="K14" s="522">
        <v>0</v>
      </c>
      <c r="L14" s="522">
        <v>81132998.758499995</v>
      </c>
      <c r="M14" s="522">
        <v>2434268.2818999998</v>
      </c>
      <c r="N14" s="522">
        <v>3308678.8133</v>
      </c>
      <c r="O14" s="522">
        <v>17409350.8704</v>
      </c>
      <c r="P14" s="522">
        <v>26468654.302299999</v>
      </c>
      <c r="Q14" s="522">
        <v>11740606.7689</v>
      </c>
      <c r="R14" s="522">
        <v>6821747.8175999997</v>
      </c>
      <c r="S14" s="522">
        <v>0</v>
      </c>
      <c r="T14" s="522">
        <v>10667091.567500001</v>
      </c>
      <c r="U14" s="522">
        <v>1503910.4313999999</v>
      </c>
      <c r="V14" s="522">
        <v>1133940.1691000001</v>
      </c>
      <c r="W14" s="522">
        <v>932080.58290000004</v>
      </c>
      <c r="X14" s="522">
        <v>476730.10060000001</v>
      </c>
      <c r="Y14" s="522">
        <v>789741.26029999997</v>
      </c>
      <c r="Z14" s="522">
        <v>1113209.3979</v>
      </c>
      <c r="AA14" s="522"/>
      <c r="AB14" s="522"/>
    </row>
    <row r="15" spans="1:28" ht="15">
      <c r="A15" s="411">
        <v>1.2</v>
      </c>
      <c r="B15" s="409" t="s">
        <v>888</v>
      </c>
      <c r="C15" s="531">
        <f t="shared" si="0"/>
        <v>155171154.806523</v>
      </c>
      <c r="D15" s="522">
        <v>30400045.189999998</v>
      </c>
      <c r="E15" s="522">
        <v>844314.2</v>
      </c>
      <c r="F15" s="522">
        <v>0</v>
      </c>
      <c r="G15" s="522"/>
      <c r="H15" s="522">
        <v>30520454.009999998</v>
      </c>
      <c r="I15" s="522">
        <v>685505.73</v>
      </c>
      <c r="J15" s="522">
        <v>1163687.31</v>
      </c>
      <c r="K15" s="522">
        <v>0</v>
      </c>
      <c r="L15" s="522">
        <v>75025952.942721009</v>
      </c>
      <c r="M15" s="522">
        <v>2318333.4193540001</v>
      </c>
      <c r="N15" s="522">
        <v>2563894.7376379999</v>
      </c>
      <c r="O15" s="522">
        <v>7050447.118059</v>
      </c>
      <c r="P15" s="522">
        <v>21294519.793694999</v>
      </c>
      <c r="Q15" s="522">
        <v>11875398.999387</v>
      </c>
      <c r="R15" s="522">
        <v>14178705.531380001</v>
      </c>
      <c r="S15" s="522">
        <v>0</v>
      </c>
      <c r="T15" s="522">
        <v>19224702.663801998</v>
      </c>
      <c r="U15" s="522">
        <v>2656406.4883320001</v>
      </c>
      <c r="V15" s="522">
        <v>1785880.0364609999</v>
      </c>
      <c r="W15" s="522">
        <v>1118184.46</v>
      </c>
      <c r="X15" s="522">
        <v>707978.767888</v>
      </c>
      <c r="Y15" s="522">
        <v>508718.14728000003</v>
      </c>
      <c r="Z15" s="522">
        <v>505431.84560899995</v>
      </c>
      <c r="AA15" s="522"/>
      <c r="AB15" s="522"/>
    </row>
    <row r="16" spans="1:28" ht="15">
      <c r="A16" s="410">
        <v>1.3</v>
      </c>
      <c r="B16" s="409" t="s">
        <v>578</v>
      </c>
      <c r="C16" s="532"/>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row>
    <row r="17" spans="1:28" s="399" customFormat="1" ht="25.5">
      <c r="A17" s="407" t="s">
        <v>579</v>
      </c>
      <c r="B17" s="408" t="s">
        <v>580</v>
      </c>
      <c r="C17" s="531">
        <f t="shared" ref="C17:C22" si="1">D17+H17+L17+T17</f>
        <v>13776125692.614899</v>
      </c>
      <c r="D17" s="534">
        <v>12396318964.396</v>
      </c>
      <c r="E17" s="534">
        <v>107489642.4958</v>
      </c>
      <c r="F17" s="534">
        <v>0</v>
      </c>
      <c r="G17" s="534"/>
      <c r="H17" s="534">
        <v>978270299.51400006</v>
      </c>
      <c r="I17" s="534">
        <v>40735228.318499997</v>
      </c>
      <c r="J17" s="534">
        <v>44161031.445500001</v>
      </c>
      <c r="K17" s="534">
        <v>0</v>
      </c>
      <c r="L17" s="534">
        <v>316565152.1444</v>
      </c>
      <c r="M17" s="534">
        <v>9524989.8478999995</v>
      </c>
      <c r="N17" s="534">
        <v>10608484.650300002</v>
      </c>
      <c r="O17" s="534">
        <v>52419314.521400005</v>
      </c>
      <c r="P17" s="534">
        <v>97334001.565099999</v>
      </c>
      <c r="Q17" s="534">
        <v>39869012.847399995</v>
      </c>
      <c r="R17" s="534">
        <v>27878615.387499999</v>
      </c>
      <c r="S17" s="534">
        <v>0</v>
      </c>
      <c r="T17" s="534">
        <v>84971276.560500011</v>
      </c>
      <c r="U17" s="534">
        <v>9419108.1388000008</v>
      </c>
      <c r="V17" s="534">
        <v>6356470.0215000007</v>
      </c>
      <c r="W17" s="534">
        <v>3033323.7278</v>
      </c>
      <c r="X17" s="534">
        <v>1452965.7836000002</v>
      </c>
      <c r="Y17" s="534">
        <v>1012221.8062999999</v>
      </c>
      <c r="Z17" s="534">
        <v>1417461.2404999998</v>
      </c>
      <c r="AA17" s="534"/>
      <c r="AB17" s="534"/>
    </row>
    <row r="18" spans="1:28" s="399" customFormat="1" ht="26.25">
      <c r="A18" s="404" t="s">
        <v>581</v>
      </c>
      <c r="B18" s="405" t="s">
        <v>582</v>
      </c>
      <c r="C18" s="531">
        <f t="shared" si="1"/>
        <v>13031106683.112358</v>
      </c>
      <c r="D18" s="534">
        <v>11724368226.64016</v>
      </c>
      <c r="E18" s="534">
        <v>104541051.90110001</v>
      </c>
      <c r="F18" s="534">
        <v>0</v>
      </c>
      <c r="G18" s="534"/>
      <c r="H18" s="534">
        <v>914792129.97619808</v>
      </c>
      <c r="I18" s="534">
        <v>40261887.9551</v>
      </c>
      <c r="J18" s="534">
        <v>42376416.825400002</v>
      </c>
      <c r="K18" s="534">
        <v>0</v>
      </c>
      <c r="L18" s="534">
        <v>307009301.6846</v>
      </c>
      <c r="M18" s="534">
        <v>9358193.7964999992</v>
      </c>
      <c r="N18" s="534">
        <v>10428207.244000001</v>
      </c>
      <c r="O18" s="534">
        <v>47926276.714000002</v>
      </c>
      <c r="P18" s="534">
        <v>94446123.9208</v>
      </c>
      <c r="Q18" s="534">
        <v>39717960.024299994</v>
      </c>
      <c r="R18" s="534">
        <v>27276788.149099998</v>
      </c>
      <c r="S18" s="534">
        <v>0</v>
      </c>
      <c r="T18" s="534">
        <v>84937024.811400011</v>
      </c>
      <c r="U18" s="534">
        <v>9419108.1419000011</v>
      </c>
      <c r="V18" s="534">
        <v>6356470.0215000007</v>
      </c>
      <c r="W18" s="534">
        <v>3033323.7278</v>
      </c>
      <c r="X18" s="534">
        <v>1452965.7807999998</v>
      </c>
      <c r="Y18" s="534">
        <v>1012221.8062999999</v>
      </c>
      <c r="Z18" s="534">
        <v>1383209.4925000002</v>
      </c>
      <c r="AA18" s="534"/>
      <c r="AB18" s="534"/>
    </row>
    <row r="19" spans="1:28" s="399" customFormat="1" ht="15">
      <c r="A19" s="407" t="s">
        <v>583</v>
      </c>
      <c r="B19" s="406" t="s">
        <v>584</v>
      </c>
      <c r="C19" s="531">
        <f t="shared" si="1"/>
        <v>14767239682.485703</v>
      </c>
      <c r="D19" s="534">
        <v>13603570898.345701</v>
      </c>
      <c r="E19" s="534">
        <v>82688852.809399992</v>
      </c>
      <c r="F19" s="534">
        <v>0</v>
      </c>
      <c r="G19" s="534"/>
      <c r="H19" s="534">
        <v>790218765.82989991</v>
      </c>
      <c r="I19" s="534">
        <v>42542291.251399994</v>
      </c>
      <c r="J19" s="534">
        <v>22226252.286799997</v>
      </c>
      <c r="K19" s="534">
        <v>0</v>
      </c>
      <c r="L19" s="534">
        <v>316626441.25719994</v>
      </c>
      <c r="M19" s="534">
        <v>8218340.9468999989</v>
      </c>
      <c r="N19" s="534">
        <v>8733193.957799999</v>
      </c>
      <c r="O19" s="534">
        <v>46448122.893600002</v>
      </c>
      <c r="P19" s="534">
        <v>93135273.878199995</v>
      </c>
      <c r="Q19" s="534">
        <v>23875021.375699997</v>
      </c>
      <c r="R19" s="534">
        <v>29590342.797200002</v>
      </c>
      <c r="S19" s="534">
        <v>0</v>
      </c>
      <c r="T19" s="534">
        <v>56823577.052899994</v>
      </c>
      <c r="U19" s="534">
        <v>6083477.0790999997</v>
      </c>
      <c r="V19" s="534">
        <v>3736645.2259</v>
      </c>
      <c r="W19" s="534">
        <v>1593442.4859</v>
      </c>
      <c r="X19" s="534">
        <v>823476.69920000003</v>
      </c>
      <c r="Y19" s="534">
        <v>547718.54370000004</v>
      </c>
      <c r="Z19" s="534">
        <v>373129.99780000001</v>
      </c>
      <c r="AA19" s="534"/>
      <c r="AB19" s="534"/>
    </row>
    <row r="20" spans="1:28" s="399" customFormat="1" ht="15">
      <c r="A20" s="404" t="s">
        <v>585</v>
      </c>
      <c r="B20" s="405" t="s">
        <v>586</v>
      </c>
      <c r="C20" s="531">
        <f t="shared" si="1"/>
        <v>13485155986.978348</v>
      </c>
      <c r="D20" s="534">
        <v>12367326985.76074</v>
      </c>
      <c r="E20" s="534">
        <v>80796426.058899999</v>
      </c>
      <c r="F20" s="534">
        <v>0</v>
      </c>
      <c r="G20" s="534"/>
      <c r="H20" s="534">
        <v>708898723.22360885</v>
      </c>
      <c r="I20" s="534">
        <v>41551102.184900001</v>
      </c>
      <c r="J20" s="534">
        <v>20833819.564599998</v>
      </c>
      <c r="K20" s="534">
        <v>0</v>
      </c>
      <c r="L20" s="534">
        <v>352342588.93540001</v>
      </c>
      <c r="M20" s="534">
        <v>8048800.8935000002</v>
      </c>
      <c r="N20" s="534">
        <v>8633632.095999999</v>
      </c>
      <c r="O20" s="534">
        <v>27876972.436000001</v>
      </c>
      <c r="P20" s="534">
        <v>86673233.889200002</v>
      </c>
      <c r="Q20" s="534">
        <v>22885141.275699999</v>
      </c>
      <c r="R20" s="534">
        <v>29135316.260900002</v>
      </c>
      <c r="S20" s="534">
        <v>0</v>
      </c>
      <c r="T20" s="534">
        <v>56587689.058599994</v>
      </c>
      <c r="U20" s="534">
        <v>6083477.0780999996</v>
      </c>
      <c r="V20" s="534">
        <v>3736645.2285000002</v>
      </c>
      <c r="W20" s="534">
        <v>1593442.4822</v>
      </c>
      <c r="X20" s="534">
        <v>823476.69920000003</v>
      </c>
      <c r="Y20" s="534">
        <v>547718.54370000004</v>
      </c>
      <c r="Z20" s="534">
        <v>302673.75750000007</v>
      </c>
      <c r="AA20" s="534"/>
      <c r="AB20" s="534"/>
    </row>
    <row r="21" spans="1:28" s="399" customFormat="1" ht="15">
      <c r="A21" s="403">
        <v>1.4</v>
      </c>
      <c r="B21" s="402" t="s">
        <v>675</v>
      </c>
      <c r="C21" s="531">
        <f>D21+H21+L21+T21</f>
        <v>94646020.940106556</v>
      </c>
      <c r="D21" s="534">
        <v>84857790.972506553</v>
      </c>
      <c r="E21" s="534">
        <v>150316.13</v>
      </c>
      <c r="F21" s="534">
        <v>0</v>
      </c>
      <c r="G21" s="534"/>
      <c r="H21" s="534">
        <v>6900184.9199999999</v>
      </c>
      <c r="I21" s="534">
        <v>287487.62</v>
      </c>
      <c r="J21" s="534">
        <v>59371.09</v>
      </c>
      <c r="K21" s="534">
        <v>0</v>
      </c>
      <c r="L21" s="534">
        <v>2888045.0476000002</v>
      </c>
      <c r="M21" s="534">
        <v>-415</v>
      </c>
      <c r="N21" s="534">
        <v>17733.990000000002</v>
      </c>
      <c r="O21" s="534">
        <v>107934.96</v>
      </c>
      <c r="P21" s="534">
        <v>2586608.56</v>
      </c>
      <c r="Q21" s="534">
        <v>0</v>
      </c>
      <c r="R21" s="534">
        <v>0</v>
      </c>
      <c r="S21" s="534">
        <v>0</v>
      </c>
      <c r="T21" s="534">
        <v>0</v>
      </c>
      <c r="U21" s="534">
        <v>0</v>
      </c>
      <c r="V21" s="534">
        <v>0</v>
      </c>
      <c r="W21" s="534">
        <v>0</v>
      </c>
      <c r="X21" s="534">
        <v>0</v>
      </c>
      <c r="Y21" s="534">
        <v>0</v>
      </c>
      <c r="Z21" s="534">
        <v>0</v>
      </c>
      <c r="AA21" s="534"/>
      <c r="AB21" s="534"/>
    </row>
    <row r="22" spans="1:28" s="399" customFormat="1" ht="15.75" thickBot="1">
      <c r="A22" s="401">
        <v>1.5</v>
      </c>
      <c r="B22" s="400" t="s">
        <v>676</v>
      </c>
      <c r="C22" s="531">
        <f t="shared" si="1"/>
        <v>76759876.532317936</v>
      </c>
      <c r="D22" s="534">
        <v>73977068.138017923</v>
      </c>
      <c r="E22" s="534">
        <v>118718.32</v>
      </c>
      <c r="F22" s="534">
        <v>0</v>
      </c>
      <c r="G22" s="534"/>
      <c r="H22" s="534">
        <v>1181799.2143000001</v>
      </c>
      <c r="I22" s="534">
        <v>0</v>
      </c>
      <c r="J22" s="534">
        <v>0</v>
      </c>
      <c r="K22" s="534">
        <v>0</v>
      </c>
      <c r="L22" s="534">
        <v>1601009.1800000002</v>
      </c>
      <c r="M22" s="534">
        <v>-415</v>
      </c>
      <c r="N22" s="534">
        <v>0</v>
      </c>
      <c r="O22" s="534">
        <v>0</v>
      </c>
      <c r="P22" s="534">
        <v>933112.18240000005</v>
      </c>
      <c r="Q22" s="534">
        <v>0</v>
      </c>
      <c r="R22" s="534">
        <v>0</v>
      </c>
      <c r="S22" s="534">
        <v>0</v>
      </c>
      <c r="T22" s="534">
        <v>0</v>
      </c>
      <c r="U22" s="534">
        <v>0</v>
      </c>
      <c r="V22" s="534">
        <v>0</v>
      </c>
      <c r="W22" s="534">
        <v>0</v>
      </c>
      <c r="X22" s="534">
        <v>0</v>
      </c>
      <c r="Y22" s="534">
        <v>0</v>
      </c>
      <c r="Z22" s="534">
        <v>0</v>
      </c>
      <c r="AA22" s="534"/>
      <c r="AB22" s="534"/>
    </row>
    <row r="24" spans="1:28">
      <c r="C24" s="535"/>
    </row>
    <row r="25" spans="1:28">
      <c r="C25" s="535"/>
    </row>
    <row r="31" spans="1:28">
      <c r="B31" s="369" t="s">
        <v>998</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E16" zoomScaleNormal="100" workbookViewId="0">
      <selection activeCell="L27" sqref="L27"/>
    </sheetView>
  </sheetViews>
  <sheetFormatPr defaultColWidth="9.140625" defaultRowHeight="12.75"/>
  <cols>
    <col min="1" max="1" width="11.85546875" style="369" bestFit="1" customWidth="1"/>
    <col min="2" max="2" width="93.42578125" style="369" customWidth="1"/>
    <col min="3" max="3" width="18.7109375" style="369" bestFit="1" customWidth="1"/>
    <col min="4" max="5" width="16.140625" style="369" customWidth="1"/>
    <col min="6" max="6" width="16.140625" style="421" customWidth="1"/>
    <col min="7" max="7" width="25.28515625" style="421" customWidth="1"/>
    <col min="8" max="8" width="16.140625" style="369" customWidth="1"/>
    <col min="9" max="11" width="16.140625" style="421" customWidth="1"/>
    <col min="12" max="12" width="26.28515625" style="421" customWidth="1"/>
    <col min="13" max="16384" width="9.140625" style="369"/>
  </cols>
  <sheetData>
    <row r="1" spans="1:12" ht="13.5">
      <c r="A1" s="324" t="s">
        <v>106</v>
      </c>
      <c r="B1" s="257" t="str">
        <f>Info!C2</f>
        <v>სს ”საქართველოს ბანკი”</v>
      </c>
      <c r="F1" s="369"/>
      <c r="G1" s="369"/>
      <c r="I1" s="369"/>
      <c r="J1" s="369"/>
      <c r="K1" s="369"/>
      <c r="L1" s="369"/>
    </row>
    <row r="2" spans="1:12">
      <c r="A2" s="326" t="s">
        <v>107</v>
      </c>
      <c r="B2" s="328">
        <f>'1. key ratios'!B2</f>
        <v>45107</v>
      </c>
      <c r="F2" s="369"/>
      <c r="G2" s="369"/>
      <c r="I2" s="369"/>
      <c r="J2" s="369"/>
      <c r="K2" s="369"/>
      <c r="L2" s="369"/>
    </row>
    <row r="3" spans="1:12">
      <c r="A3" s="327" t="s">
        <v>589</v>
      </c>
      <c r="F3" s="369"/>
      <c r="G3" s="369"/>
      <c r="I3" s="369"/>
      <c r="J3" s="369"/>
      <c r="K3" s="369"/>
      <c r="L3" s="369"/>
    </row>
    <row r="4" spans="1:12">
      <c r="F4" s="369"/>
      <c r="G4" s="369"/>
      <c r="I4" s="369"/>
      <c r="J4" s="369"/>
      <c r="K4" s="369"/>
      <c r="L4" s="369"/>
    </row>
    <row r="5" spans="1:12" ht="37.5" customHeight="1">
      <c r="A5" s="846" t="s">
        <v>590</v>
      </c>
      <c r="B5" s="847"/>
      <c r="C5" s="897" t="s">
        <v>591</v>
      </c>
      <c r="D5" s="898"/>
      <c r="E5" s="898"/>
      <c r="F5" s="898"/>
      <c r="G5" s="898"/>
      <c r="H5" s="899" t="s">
        <v>900</v>
      </c>
      <c r="I5" s="900"/>
      <c r="J5" s="900"/>
      <c r="K5" s="900"/>
      <c r="L5" s="901"/>
    </row>
    <row r="6" spans="1:12" ht="39.6" customHeight="1">
      <c r="A6" s="850"/>
      <c r="B6" s="851"/>
      <c r="C6" s="334"/>
      <c r="D6" s="367" t="s">
        <v>885</v>
      </c>
      <c r="E6" s="367" t="s">
        <v>884</v>
      </c>
      <c r="F6" s="367" t="s">
        <v>883</v>
      </c>
      <c r="G6" s="367" t="s">
        <v>882</v>
      </c>
      <c r="H6" s="423"/>
      <c r="I6" s="367" t="s">
        <v>885</v>
      </c>
      <c r="J6" s="367" t="s">
        <v>884</v>
      </c>
      <c r="K6" s="367" t="s">
        <v>883</v>
      </c>
      <c r="L6" s="367" t="s">
        <v>882</v>
      </c>
    </row>
    <row r="7" spans="1:12">
      <c r="A7" s="358">
        <v>1</v>
      </c>
      <c r="B7" s="373" t="s">
        <v>513</v>
      </c>
      <c r="C7" s="549">
        <f>SUM(D7:G7)</f>
        <v>712307502.10320008</v>
      </c>
      <c r="D7" s="527">
        <v>664580816.15210009</v>
      </c>
      <c r="E7" s="527">
        <v>34112691.045899995</v>
      </c>
      <c r="F7" s="527">
        <v>9619441.8485000003</v>
      </c>
      <c r="G7" s="527">
        <v>3994553.0566999996</v>
      </c>
      <c r="H7" s="527">
        <f>SUM(I7:L7)</f>
        <v>10595432.489145</v>
      </c>
      <c r="I7" s="527">
        <v>3357657.0199999996</v>
      </c>
      <c r="J7" s="527">
        <v>1814234.7500000005</v>
      </c>
      <c r="K7" s="527">
        <v>4978433.1300340006</v>
      </c>
      <c r="L7" s="527">
        <v>445107.58911100001</v>
      </c>
    </row>
    <row r="8" spans="1:12">
      <c r="A8" s="358">
        <v>2</v>
      </c>
      <c r="B8" s="373" t="s">
        <v>514</v>
      </c>
      <c r="C8" s="549">
        <f t="shared" ref="C8:C32" si="0">SUM(D8:G8)</f>
        <v>752724166.33870018</v>
      </c>
      <c r="D8" s="527">
        <v>722508325.76380002</v>
      </c>
      <c r="E8" s="527">
        <v>20601496.475799993</v>
      </c>
      <c r="F8" s="527">
        <v>7206389.1863999991</v>
      </c>
      <c r="G8" s="527">
        <v>2407954.9127000002</v>
      </c>
      <c r="H8" s="527">
        <f t="shared" ref="H8:H32" si="1">SUM(I8:L8)</f>
        <v>6496301.2309500007</v>
      </c>
      <c r="I8" s="527">
        <v>2775231.46</v>
      </c>
      <c r="J8" s="527">
        <v>779327.65</v>
      </c>
      <c r="K8" s="527">
        <v>2515257.6489360007</v>
      </c>
      <c r="L8" s="527">
        <v>426484.472014</v>
      </c>
    </row>
    <row r="9" spans="1:12">
      <c r="A9" s="358">
        <v>3</v>
      </c>
      <c r="B9" s="373" t="s">
        <v>861</v>
      </c>
      <c r="C9" s="549">
        <f t="shared" si="0"/>
        <v>23392349.780000001</v>
      </c>
      <c r="D9" s="527">
        <v>17887438.490000002</v>
      </c>
      <c r="E9" s="527">
        <v>538038.62</v>
      </c>
      <c r="F9" s="527">
        <v>4966872.67</v>
      </c>
      <c r="G9" s="527">
        <v>0</v>
      </c>
      <c r="H9" s="527">
        <f t="shared" si="1"/>
        <v>4625646.76</v>
      </c>
      <c r="I9" s="527">
        <v>0</v>
      </c>
      <c r="J9" s="527">
        <v>0</v>
      </c>
      <c r="K9" s="527">
        <v>4625646.76</v>
      </c>
      <c r="L9" s="527">
        <v>0</v>
      </c>
    </row>
    <row r="10" spans="1:12">
      <c r="A10" s="358">
        <v>4</v>
      </c>
      <c r="B10" s="373" t="s">
        <v>515</v>
      </c>
      <c r="C10" s="549">
        <f t="shared" si="0"/>
        <v>679500382.04879999</v>
      </c>
      <c r="D10" s="527">
        <v>591573382.61039996</v>
      </c>
      <c r="E10" s="527">
        <v>48264425.443499997</v>
      </c>
      <c r="F10" s="527">
        <v>24170764.131200001</v>
      </c>
      <c r="G10" s="527">
        <v>15491809.863700001</v>
      </c>
      <c r="H10" s="527">
        <f t="shared" si="1"/>
        <v>16834189.458988003</v>
      </c>
      <c r="I10" s="527">
        <v>499350.31</v>
      </c>
      <c r="J10" s="527">
        <v>736085.33000000007</v>
      </c>
      <c r="K10" s="527">
        <v>9854397.2065430023</v>
      </c>
      <c r="L10" s="527">
        <v>5744356.6124449996</v>
      </c>
    </row>
    <row r="11" spans="1:12">
      <c r="A11" s="358">
        <v>5</v>
      </c>
      <c r="B11" s="373" t="s">
        <v>516</v>
      </c>
      <c r="C11" s="549">
        <f t="shared" si="0"/>
        <v>1033939012.8374</v>
      </c>
      <c r="D11" s="527">
        <v>943272715.28639984</v>
      </c>
      <c r="E11" s="527">
        <v>65699201.261099994</v>
      </c>
      <c r="F11" s="527">
        <v>22450266.768900003</v>
      </c>
      <c r="G11" s="527">
        <v>2516829.5209999997</v>
      </c>
      <c r="H11" s="527">
        <f t="shared" si="1"/>
        <v>7301847.9527460001</v>
      </c>
      <c r="I11" s="527">
        <v>1865937.6699999997</v>
      </c>
      <c r="J11" s="527">
        <v>932187.44999999984</v>
      </c>
      <c r="K11" s="527">
        <v>4355496.3427460007</v>
      </c>
      <c r="L11" s="527">
        <v>148226.49000000002</v>
      </c>
    </row>
    <row r="12" spans="1:12">
      <c r="A12" s="358">
        <v>6</v>
      </c>
      <c r="B12" s="373" t="s">
        <v>517</v>
      </c>
      <c r="C12" s="549">
        <f t="shared" si="0"/>
        <v>708810964.36360002</v>
      </c>
      <c r="D12" s="527">
        <v>652395563.94699991</v>
      </c>
      <c r="E12" s="527">
        <v>37642365.413999997</v>
      </c>
      <c r="F12" s="527">
        <v>15827809.575599998</v>
      </c>
      <c r="G12" s="527">
        <v>2945225.4270000006</v>
      </c>
      <c r="H12" s="527">
        <f t="shared" si="1"/>
        <v>14388077.926538</v>
      </c>
      <c r="I12" s="527">
        <v>4498814.71</v>
      </c>
      <c r="J12" s="527">
        <v>1857456.27</v>
      </c>
      <c r="K12" s="527">
        <v>7360240.0438269991</v>
      </c>
      <c r="L12" s="527">
        <v>671566.90271100006</v>
      </c>
    </row>
    <row r="13" spans="1:12">
      <c r="A13" s="358">
        <v>7</v>
      </c>
      <c r="B13" s="373" t="s">
        <v>518</v>
      </c>
      <c r="C13" s="549">
        <f t="shared" si="0"/>
        <v>628059046.03339994</v>
      </c>
      <c r="D13" s="527">
        <v>583982134.59819996</v>
      </c>
      <c r="E13" s="527">
        <v>20916486.133000005</v>
      </c>
      <c r="F13" s="527">
        <v>22352734.104699995</v>
      </c>
      <c r="G13" s="527">
        <v>807691.19750000001</v>
      </c>
      <c r="H13" s="527">
        <f t="shared" si="1"/>
        <v>11842594.692211002</v>
      </c>
      <c r="I13" s="527">
        <v>2327277.9300000002</v>
      </c>
      <c r="J13" s="527">
        <v>1714306.1700000002</v>
      </c>
      <c r="K13" s="527">
        <v>7671151.6063640006</v>
      </c>
      <c r="L13" s="527">
        <v>129858.985847</v>
      </c>
    </row>
    <row r="14" spans="1:12">
      <c r="A14" s="358">
        <v>8</v>
      </c>
      <c r="B14" s="373" t="s">
        <v>519</v>
      </c>
      <c r="C14" s="549">
        <f t="shared" si="0"/>
        <v>732719069.55860007</v>
      </c>
      <c r="D14" s="527">
        <v>701661422.23049998</v>
      </c>
      <c r="E14" s="527">
        <v>18001036.424599998</v>
      </c>
      <c r="F14" s="527">
        <v>11169224.436200002</v>
      </c>
      <c r="G14" s="527">
        <v>1887386.4673000001</v>
      </c>
      <c r="H14" s="527">
        <f t="shared" si="1"/>
        <v>8652858.2348260004</v>
      </c>
      <c r="I14" s="527">
        <v>3347424.7300000004</v>
      </c>
      <c r="J14" s="527">
        <v>1083478.79</v>
      </c>
      <c r="K14" s="527">
        <v>3483348.767546</v>
      </c>
      <c r="L14" s="527">
        <v>738605.94728000008</v>
      </c>
    </row>
    <row r="15" spans="1:12">
      <c r="A15" s="358">
        <v>9</v>
      </c>
      <c r="B15" s="373" t="s">
        <v>520</v>
      </c>
      <c r="C15" s="549">
        <f t="shared" si="0"/>
        <v>879759567.13800001</v>
      </c>
      <c r="D15" s="527">
        <v>576199007.20059991</v>
      </c>
      <c r="E15" s="527">
        <v>298766255.44310009</v>
      </c>
      <c r="F15" s="527">
        <v>3932175.3135000002</v>
      </c>
      <c r="G15" s="527">
        <v>862129.18079999997</v>
      </c>
      <c r="H15" s="527">
        <f t="shared" si="1"/>
        <v>20118405.614799999</v>
      </c>
      <c r="I15" s="527">
        <v>2601766.59</v>
      </c>
      <c r="J15" s="527">
        <v>15705960.420000002</v>
      </c>
      <c r="K15" s="527">
        <v>1647809.1148000001</v>
      </c>
      <c r="L15" s="527">
        <v>162869.49</v>
      </c>
    </row>
    <row r="16" spans="1:12">
      <c r="A16" s="358">
        <v>10</v>
      </c>
      <c r="B16" s="373" t="s">
        <v>521</v>
      </c>
      <c r="C16" s="549">
        <f t="shared" si="0"/>
        <v>299327379.46239996</v>
      </c>
      <c r="D16" s="527">
        <v>279314504.97500002</v>
      </c>
      <c r="E16" s="527">
        <v>6907974.5296999998</v>
      </c>
      <c r="F16" s="527">
        <v>12699208.179800002</v>
      </c>
      <c r="G16" s="527">
        <v>405691.77789999999</v>
      </c>
      <c r="H16" s="527">
        <f t="shared" si="1"/>
        <v>6456800.5021549985</v>
      </c>
      <c r="I16" s="527">
        <v>1248392.47</v>
      </c>
      <c r="J16" s="527">
        <v>349032.42</v>
      </c>
      <c r="K16" s="527">
        <v>4705119.1621549986</v>
      </c>
      <c r="L16" s="527">
        <v>154256.45000000001</v>
      </c>
    </row>
    <row r="17" spans="1:12">
      <c r="A17" s="358">
        <v>11</v>
      </c>
      <c r="B17" s="373" t="s">
        <v>522</v>
      </c>
      <c r="C17" s="549">
        <f t="shared" si="0"/>
        <v>268956923.31379992</v>
      </c>
      <c r="D17" s="527">
        <v>259467972.19919997</v>
      </c>
      <c r="E17" s="527">
        <v>6344838.7819000008</v>
      </c>
      <c r="F17" s="527">
        <v>2954347.2405000003</v>
      </c>
      <c r="G17" s="527">
        <v>189765.09220000001</v>
      </c>
      <c r="H17" s="527">
        <f t="shared" si="1"/>
        <v>2749684.6093100002</v>
      </c>
      <c r="I17" s="527">
        <v>1211115.02</v>
      </c>
      <c r="J17" s="527">
        <v>374988.44</v>
      </c>
      <c r="K17" s="527">
        <v>1103665.40931</v>
      </c>
      <c r="L17" s="527">
        <v>59915.74</v>
      </c>
    </row>
    <row r="18" spans="1:12">
      <c r="A18" s="358">
        <v>12</v>
      </c>
      <c r="B18" s="373" t="s">
        <v>523</v>
      </c>
      <c r="C18" s="549">
        <f t="shared" si="0"/>
        <v>771296117.57760012</v>
      </c>
      <c r="D18" s="527">
        <v>728118252.30200005</v>
      </c>
      <c r="E18" s="527">
        <v>24172662.455600001</v>
      </c>
      <c r="F18" s="527">
        <v>17979136.724300001</v>
      </c>
      <c r="G18" s="527">
        <v>1026066.0956999999</v>
      </c>
      <c r="H18" s="527">
        <f t="shared" si="1"/>
        <v>8259385.3455690015</v>
      </c>
      <c r="I18" s="527">
        <v>3402424.5</v>
      </c>
      <c r="J18" s="527">
        <v>1017750.11</v>
      </c>
      <c r="K18" s="527">
        <v>3668215.3076370009</v>
      </c>
      <c r="L18" s="527">
        <v>170995.42793200002</v>
      </c>
    </row>
    <row r="19" spans="1:12">
      <c r="A19" s="358">
        <v>13</v>
      </c>
      <c r="B19" s="373" t="s">
        <v>524</v>
      </c>
      <c r="C19" s="549">
        <f t="shared" si="0"/>
        <v>185689737.87740001</v>
      </c>
      <c r="D19" s="527">
        <v>172415677.23430002</v>
      </c>
      <c r="E19" s="527">
        <v>8548470.3458000012</v>
      </c>
      <c r="F19" s="527">
        <v>4591153.4112</v>
      </c>
      <c r="G19" s="527">
        <v>134436.8861</v>
      </c>
      <c r="H19" s="527">
        <f t="shared" si="1"/>
        <v>3755771.2636270002</v>
      </c>
      <c r="I19" s="527">
        <v>1599747.1600000001</v>
      </c>
      <c r="J19" s="527">
        <v>444090.06</v>
      </c>
      <c r="K19" s="527">
        <v>1674261.5136270002</v>
      </c>
      <c r="L19" s="527">
        <v>37672.53</v>
      </c>
    </row>
    <row r="20" spans="1:12">
      <c r="A20" s="358">
        <v>14</v>
      </c>
      <c r="B20" s="373" t="s">
        <v>525</v>
      </c>
      <c r="C20" s="549">
        <f t="shared" si="0"/>
        <v>1095310631.6083999</v>
      </c>
      <c r="D20" s="527">
        <v>908544141.91540003</v>
      </c>
      <c r="E20" s="527">
        <v>150316184.6541</v>
      </c>
      <c r="F20" s="527">
        <v>35600092.767299995</v>
      </c>
      <c r="G20" s="527">
        <v>850212.27159999998</v>
      </c>
      <c r="H20" s="527">
        <f t="shared" si="1"/>
        <v>13453028.625710998</v>
      </c>
      <c r="I20" s="527">
        <v>2060476.1500000001</v>
      </c>
      <c r="J20" s="527">
        <v>807546.83000000019</v>
      </c>
      <c r="K20" s="527">
        <v>10516500.805710997</v>
      </c>
      <c r="L20" s="527">
        <v>68504.84</v>
      </c>
    </row>
    <row r="21" spans="1:12">
      <c r="A21" s="358">
        <v>15</v>
      </c>
      <c r="B21" s="373" t="s">
        <v>526</v>
      </c>
      <c r="C21" s="549">
        <f t="shared" si="0"/>
        <v>261045681.45619997</v>
      </c>
      <c r="D21" s="527">
        <v>235417685.20979998</v>
      </c>
      <c r="E21" s="527">
        <v>18518216.165399998</v>
      </c>
      <c r="F21" s="527">
        <v>5610685.9699999997</v>
      </c>
      <c r="G21" s="527">
        <v>1499094.111</v>
      </c>
      <c r="H21" s="527">
        <f t="shared" si="1"/>
        <v>3714399.1248859996</v>
      </c>
      <c r="I21" s="527">
        <v>1759325.88</v>
      </c>
      <c r="J21" s="527">
        <v>297709.57</v>
      </c>
      <c r="K21" s="527">
        <v>1524591.8346129998</v>
      </c>
      <c r="L21" s="527">
        <v>132771.84027300001</v>
      </c>
    </row>
    <row r="22" spans="1:12">
      <c r="A22" s="358">
        <v>16</v>
      </c>
      <c r="B22" s="373" t="s">
        <v>527</v>
      </c>
      <c r="C22" s="549">
        <f t="shared" si="0"/>
        <v>717652212.63180006</v>
      </c>
      <c r="D22" s="527">
        <v>568688131.02900004</v>
      </c>
      <c r="E22" s="527">
        <v>87625499.012499973</v>
      </c>
      <c r="F22" s="527">
        <v>60810258.136800006</v>
      </c>
      <c r="G22" s="527">
        <v>528324.45349999995</v>
      </c>
      <c r="H22" s="527">
        <f t="shared" si="1"/>
        <v>10858982.884796001</v>
      </c>
      <c r="I22" s="527">
        <v>1438832.1800000002</v>
      </c>
      <c r="J22" s="527">
        <v>6519596.5200000005</v>
      </c>
      <c r="K22" s="527">
        <v>2761312.5247960002</v>
      </c>
      <c r="L22" s="527">
        <v>139241.66</v>
      </c>
    </row>
    <row r="23" spans="1:12">
      <c r="A23" s="358">
        <v>17</v>
      </c>
      <c r="B23" s="373" t="s">
        <v>528</v>
      </c>
      <c r="C23" s="549">
        <f t="shared" si="0"/>
        <v>112008103.94539998</v>
      </c>
      <c r="D23" s="527">
        <v>103145906.03779998</v>
      </c>
      <c r="E23" s="527">
        <v>3821095.5504999999</v>
      </c>
      <c r="F23" s="527">
        <v>4879417.3099999996</v>
      </c>
      <c r="G23" s="527">
        <v>161685.0471</v>
      </c>
      <c r="H23" s="527">
        <f t="shared" si="1"/>
        <v>3238266.622248</v>
      </c>
      <c r="I23" s="527">
        <v>324448</v>
      </c>
      <c r="J23" s="527">
        <v>140231.97999999998</v>
      </c>
      <c r="K23" s="527">
        <v>2750231.4697409999</v>
      </c>
      <c r="L23" s="527">
        <v>23355.172506999999</v>
      </c>
    </row>
    <row r="24" spans="1:12">
      <c r="A24" s="358">
        <v>18</v>
      </c>
      <c r="B24" s="373" t="s">
        <v>529</v>
      </c>
      <c r="C24" s="549">
        <f t="shared" si="0"/>
        <v>664033662.9496969</v>
      </c>
      <c r="D24" s="527">
        <v>651954880.36149704</v>
      </c>
      <c r="E24" s="527">
        <v>8198115.5651000002</v>
      </c>
      <c r="F24" s="527">
        <v>3326475.3926999997</v>
      </c>
      <c r="G24" s="527">
        <v>554191.63040000002</v>
      </c>
      <c r="H24" s="527">
        <f t="shared" si="1"/>
        <v>4532080.3255320005</v>
      </c>
      <c r="I24" s="527">
        <v>1927624.73</v>
      </c>
      <c r="J24" s="527">
        <v>318596.09999999992</v>
      </c>
      <c r="K24" s="527">
        <v>2182343.555532</v>
      </c>
      <c r="L24" s="527">
        <v>103515.94</v>
      </c>
    </row>
    <row r="25" spans="1:12">
      <c r="A25" s="358">
        <v>19</v>
      </c>
      <c r="B25" s="373" t="s">
        <v>530</v>
      </c>
      <c r="C25" s="549">
        <f t="shared" si="0"/>
        <v>178049655.56320003</v>
      </c>
      <c r="D25" s="527">
        <v>175296932.49030003</v>
      </c>
      <c r="E25" s="527">
        <v>2202363.1298000002</v>
      </c>
      <c r="F25" s="527">
        <v>525211.29149999993</v>
      </c>
      <c r="G25" s="527">
        <v>25148.651599999997</v>
      </c>
      <c r="H25" s="527">
        <f t="shared" si="1"/>
        <v>710071.39</v>
      </c>
      <c r="I25" s="527">
        <v>310062.94</v>
      </c>
      <c r="J25" s="527">
        <v>108380.31</v>
      </c>
      <c r="K25" s="527">
        <v>284321.05</v>
      </c>
      <c r="L25" s="527">
        <v>7307.09</v>
      </c>
    </row>
    <row r="26" spans="1:12">
      <c r="A26" s="358">
        <v>20</v>
      </c>
      <c r="B26" s="373" t="s">
        <v>531</v>
      </c>
      <c r="C26" s="549">
        <f t="shared" si="0"/>
        <v>551781301.35019994</v>
      </c>
      <c r="D26" s="527">
        <v>519603981.02750003</v>
      </c>
      <c r="E26" s="527">
        <v>24289362.0722</v>
      </c>
      <c r="F26" s="527">
        <v>6378981.9928000011</v>
      </c>
      <c r="G26" s="527">
        <v>1508976.2577</v>
      </c>
      <c r="H26" s="527">
        <f t="shared" si="1"/>
        <v>5559418.6235580007</v>
      </c>
      <c r="I26" s="527">
        <v>2244608.5000000005</v>
      </c>
      <c r="J26" s="527">
        <v>996208.5</v>
      </c>
      <c r="K26" s="527">
        <v>1893652.306929</v>
      </c>
      <c r="L26" s="527">
        <v>424949.31662900001</v>
      </c>
    </row>
    <row r="27" spans="1:12">
      <c r="A27" s="358">
        <v>21</v>
      </c>
      <c r="B27" s="373" t="s">
        <v>532</v>
      </c>
      <c r="C27" s="549">
        <f t="shared" si="0"/>
        <v>99883014.660699993</v>
      </c>
      <c r="D27" s="527">
        <v>95019412.481599987</v>
      </c>
      <c r="E27" s="527">
        <v>3544798.8292999994</v>
      </c>
      <c r="F27" s="527">
        <v>1104255.5872000002</v>
      </c>
      <c r="G27" s="527">
        <v>214547.76260000002</v>
      </c>
      <c r="H27" s="527">
        <f t="shared" si="1"/>
        <v>985044.2009210001</v>
      </c>
      <c r="I27" s="527">
        <v>527169.9800000001</v>
      </c>
      <c r="J27" s="527">
        <v>145201.22</v>
      </c>
      <c r="K27" s="527">
        <v>242720.64092100001</v>
      </c>
      <c r="L27" s="527">
        <v>69952.36</v>
      </c>
    </row>
    <row r="28" spans="1:12">
      <c r="A28" s="358">
        <v>22</v>
      </c>
      <c r="B28" s="373" t="s">
        <v>533</v>
      </c>
      <c r="C28" s="549">
        <f t="shared" si="0"/>
        <v>272741150.84819996</v>
      </c>
      <c r="D28" s="527">
        <v>257449445.42799997</v>
      </c>
      <c r="E28" s="527">
        <v>10036632.723099999</v>
      </c>
      <c r="F28" s="527">
        <v>4090798.0170999998</v>
      </c>
      <c r="G28" s="527">
        <v>1164274.68</v>
      </c>
      <c r="H28" s="527">
        <f t="shared" si="1"/>
        <v>3032980.6297069998</v>
      </c>
      <c r="I28" s="527">
        <v>855439.5199999999</v>
      </c>
      <c r="J28" s="527">
        <v>337596.72</v>
      </c>
      <c r="K28" s="527">
        <v>1403408.5897070002</v>
      </c>
      <c r="L28" s="527">
        <v>436535.8</v>
      </c>
    </row>
    <row r="29" spans="1:12">
      <c r="A29" s="358">
        <v>23</v>
      </c>
      <c r="B29" s="373" t="s">
        <v>534</v>
      </c>
      <c r="C29" s="549">
        <f t="shared" si="0"/>
        <v>2895677197.4051995</v>
      </c>
      <c r="D29" s="527">
        <v>2715003745.8186998</v>
      </c>
      <c r="E29" s="527">
        <v>122325713.8355</v>
      </c>
      <c r="F29" s="527">
        <v>42287062.906099983</v>
      </c>
      <c r="G29" s="527">
        <v>16060674.844899999</v>
      </c>
      <c r="H29" s="527">
        <f t="shared" si="1"/>
        <v>39299315.681104004</v>
      </c>
      <c r="I29" s="527">
        <v>15644406</v>
      </c>
      <c r="J29" s="527">
        <v>4917670.0600000005</v>
      </c>
      <c r="K29" s="527">
        <v>16218188.325046999</v>
      </c>
      <c r="L29" s="527">
        <v>2519051.2960569998</v>
      </c>
    </row>
    <row r="30" spans="1:12">
      <c r="A30" s="358">
        <v>24</v>
      </c>
      <c r="B30" s="373" t="s">
        <v>535</v>
      </c>
      <c r="C30" s="549">
        <f t="shared" si="0"/>
        <v>1100426025.8707001</v>
      </c>
      <c r="D30" s="527">
        <v>1030449389.3142</v>
      </c>
      <c r="E30" s="527">
        <v>40687086.918700002</v>
      </c>
      <c r="F30" s="527">
        <v>28891054.042599991</v>
      </c>
      <c r="G30" s="527">
        <v>398495.59520000004</v>
      </c>
      <c r="H30" s="527">
        <f t="shared" si="1"/>
        <v>17255394.301679999</v>
      </c>
      <c r="I30" s="527">
        <v>4921684.9400000004</v>
      </c>
      <c r="J30" s="527">
        <v>2062735.5499999998</v>
      </c>
      <c r="K30" s="527">
        <v>10061596.651679998</v>
      </c>
      <c r="L30" s="527">
        <v>209377.15999999997</v>
      </c>
    </row>
    <row r="31" spans="1:12">
      <c r="A31" s="358">
        <v>25</v>
      </c>
      <c r="B31" s="373" t="s">
        <v>998</v>
      </c>
      <c r="C31" s="549">
        <f t="shared" si="0"/>
        <v>2186964217.3298426</v>
      </c>
      <c r="D31" s="527">
        <v>1958309177.6554422</v>
      </c>
      <c r="E31" s="527">
        <v>115551659.089</v>
      </c>
      <c r="F31" s="527">
        <v>75104329.6646</v>
      </c>
      <c r="G31" s="527">
        <v>37999050.9208</v>
      </c>
      <c r="H31" s="527">
        <f t="shared" si="1"/>
        <v>65722908.254800968</v>
      </c>
      <c r="I31" s="527">
        <v>13487791.159999967</v>
      </c>
      <c r="J31" s="527">
        <v>6277764.8099999996</v>
      </c>
      <c r="K31" s="527">
        <v>35759773.285237998</v>
      </c>
      <c r="L31" s="527">
        <v>10197578.999562999</v>
      </c>
    </row>
    <row r="32" spans="1:12">
      <c r="A32" s="358">
        <v>26</v>
      </c>
      <c r="B32" s="373" t="s">
        <v>592</v>
      </c>
      <c r="C32" s="549">
        <f t="shared" si="0"/>
        <v>61358170.207699992</v>
      </c>
      <c r="D32" s="527">
        <v>50210309.881899998</v>
      </c>
      <c r="E32" s="527">
        <v>5640706.7901999988</v>
      </c>
      <c r="F32" s="527">
        <v>4867560.4061000003</v>
      </c>
      <c r="G32" s="527">
        <v>639593.12950000004</v>
      </c>
      <c r="H32" s="527">
        <f t="shared" si="1"/>
        <v>5773245.4465410011</v>
      </c>
      <c r="I32" s="527">
        <v>536640.03999999992</v>
      </c>
      <c r="J32" s="527">
        <v>479438.83</v>
      </c>
      <c r="K32" s="527">
        <v>4552275.298653001</v>
      </c>
      <c r="L32" s="527">
        <v>204891.27788799998</v>
      </c>
    </row>
    <row r="33" spans="1:12">
      <c r="A33" s="358">
        <v>27</v>
      </c>
      <c r="B33" s="422" t="s">
        <v>64</v>
      </c>
      <c r="C33" s="550">
        <f t="shared" ref="C33:L33" si="2">SUM(C7:C32)</f>
        <v>17873413244.260139</v>
      </c>
      <c r="D33" s="550">
        <f t="shared" si="2"/>
        <v>16162470351.64064</v>
      </c>
      <c r="E33" s="550">
        <f t="shared" si="2"/>
        <v>1183273376.7094002</v>
      </c>
      <c r="F33" s="550">
        <f t="shared" si="2"/>
        <v>433395707.07559991</v>
      </c>
      <c r="G33" s="550">
        <f t="shared" si="2"/>
        <v>94273808.8345</v>
      </c>
      <c r="H33" s="550">
        <f t="shared" si="2"/>
        <v>296212132.19234997</v>
      </c>
      <c r="I33" s="550">
        <f t="shared" si="2"/>
        <v>74773649.589999959</v>
      </c>
      <c r="J33" s="550">
        <f t="shared" si="2"/>
        <v>50217574.860000007</v>
      </c>
      <c r="K33" s="550">
        <f t="shared" si="2"/>
        <v>147793958.35209298</v>
      </c>
      <c r="L33" s="550">
        <f t="shared" si="2"/>
        <v>23426949.390256993</v>
      </c>
    </row>
    <row r="34" spans="1:12">
      <c r="A34" s="386"/>
      <c r="B34" s="386"/>
      <c r="C34" s="386"/>
      <c r="D34" s="551">
        <f>D33-'22. Quality'!D8</f>
        <v>0</v>
      </c>
      <c r="E34" s="551">
        <f>E33-'22. Quality'!H8</f>
        <v>0</v>
      </c>
      <c r="F34" s="553">
        <f>F33-'22. Quality'!L8</f>
        <v>0</v>
      </c>
      <c r="H34" s="386"/>
    </row>
    <row r="35" spans="1:12" s="535" customFormat="1">
      <c r="A35" s="551"/>
      <c r="B35" s="552"/>
      <c r="C35" s="552">
        <v>-9.6969306468963623E-6</v>
      </c>
      <c r="D35" s="551"/>
      <c r="E35" s="551"/>
      <c r="F35" s="553"/>
      <c r="G35" s="553"/>
      <c r="H35" s="551">
        <v>0</v>
      </c>
      <c r="I35" s="553"/>
      <c r="J35" s="553"/>
      <c r="K35" s="553"/>
      <c r="L35" s="553"/>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opLeftCell="E1" zoomScale="70" zoomScaleNormal="70" workbookViewId="0">
      <selection activeCell="K6" sqref="C6:K12"/>
    </sheetView>
  </sheetViews>
  <sheetFormatPr defaultColWidth="8.7109375" defaultRowHeight="12"/>
  <cols>
    <col min="1" max="1" width="11.85546875" style="335" bestFit="1" customWidth="1"/>
    <col min="2" max="2" width="165.140625" style="335" customWidth="1"/>
    <col min="3" max="11" width="28.28515625" style="335" customWidth="1"/>
    <col min="12" max="12" width="12.28515625" style="335" bestFit="1" customWidth="1"/>
    <col min="13" max="13" width="18.28515625" style="335" bestFit="1" customWidth="1"/>
    <col min="14" max="16384" width="8.7109375" style="335"/>
  </cols>
  <sheetData>
    <row r="1" spans="1:13" s="325" customFormat="1" ht="13.5">
      <c r="A1" s="324" t="s">
        <v>106</v>
      </c>
      <c r="B1" s="257" t="str">
        <f>Info!C2</f>
        <v>სს ”საქართველოს ბანკი”</v>
      </c>
      <c r="C1" s="369"/>
      <c r="D1" s="369"/>
      <c r="E1" s="369"/>
      <c r="F1" s="369"/>
      <c r="G1" s="369"/>
      <c r="H1" s="369"/>
      <c r="I1" s="369"/>
      <c r="J1" s="369"/>
      <c r="K1" s="369"/>
    </row>
    <row r="2" spans="1:13" s="325" customFormat="1" ht="12.75">
      <c r="A2" s="326" t="s">
        <v>107</v>
      </c>
      <c r="B2" s="328">
        <f>'1. key ratios'!B2</f>
        <v>45107</v>
      </c>
      <c r="C2" s="369"/>
      <c r="D2" s="369"/>
      <c r="E2" s="369"/>
      <c r="F2" s="369"/>
      <c r="G2" s="369"/>
      <c r="H2" s="369"/>
      <c r="I2" s="369"/>
      <c r="J2" s="369"/>
      <c r="K2" s="369"/>
    </row>
    <row r="3" spans="1:13" s="325" customFormat="1" ht="12.75">
      <c r="A3" s="327" t="s">
        <v>593</v>
      </c>
      <c r="B3" s="369"/>
      <c r="C3" s="369"/>
      <c r="D3" s="369"/>
      <c r="E3" s="369"/>
      <c r="F3" s="369"/>
      <c r="G3" s="369"/>
      <c r="H3" s="369"/>
      <c r="I3" s="369"/>
      <c r="J3" s="369"/>
      <c r="K3" s="369"/>
    </row>
    <row r="4" spans="1:13">
      <c r="A4" s="428"/>
      <c r="B4" s="428"/>
      <c r="C4" s="427" t="s">
        <v>497</v>
      </c>
      <c r="D4" s="427" t="s">
        <v>498</v>
      </c>
      <c r="E4" s="427" t="s">
        <v>499</v>
      </c>
      <c r="F4" s="427" t="s">
        <v>500</v>
      </c>
      <c r="G4" s="427" t="s">
        <v>501</v>
      </c>
      <c r="H4" s="427" t="s">
        <v>502</v>
      </c>
      <c r="I4" s="427" t="s">
        <v>503</v>
      </c>
      <c r="J4" s="427" t="s">
        <v>504</v>
      </c>
      <c r="K4" s="427" t="s">
        <v>505</v>
      </c>
    </row>
    <row r="5" spans="1:13" ht="104.1" customHeight="1">
      <c r="A5" s="902" t="s">
        <v>899</v>
      </c>
      <c r="B5" s="903"/>
      <c r="C5" s="426" t="s">
        <v>594</v>
      </c>
      <c r="D5" s="426" t="s">
        <v>587</v>
      </c>
      <c r="E5" s="426" t="s">
        <v>588</v>
      </c>
      <c r="F5" s="426" t="s">
        <v>898</v>
      </c>
      <c r="G5" s="426" t="s">
        <v>595</v>
      </c>
      <c r="H5" s="426" t="s">
        <v>596</v>
      </c>
      <c r="I5" s="426" t="s">
        <v>597</v>
      </c>
      <c r="J5" s="426" t="s">
        <v>598</v>
      </c>
      <c r="K5" s="426" t="s">
        <v>599</v>
      </c>
    </row>
    <row r="6" spans="1:13" ht="12.75">
      <c r="A6" s="358">
        <v>1</v>
      </c>
      <c r="B6" s="358" t="s">
        <v>600</v>
      </c>
      <c r="C6" s="583">
        <v>278969078.31599998</v>
      </c>
      <c r="D6" s="583">
        <v>93982988.526600003</v>
      </c>
      <c r="E6" s="583">
        <v>76702592.675799996</v>
      </c>
      <c r="F6" s="583">
        <v>162412082.47130001</v>
      </c>
      <c r="G6" s="583">
        <f>12947671901.9814+'[4]FSF-SOFP'!$S$27</f>
        <v>12967349235.393499</v>
      </c>
      <c r="H6" s="583">
        <v>449510109.11549997</v>
      </c>
      <c r="I6" s="583">
        <v>647892807.27030003</v>
      </c>
      <c r="J6" s="583">
        <v>725391037.05720007</v>
      </c>
      <c r="K6" s="583">
        <v>2471203313.4337001</v>
      </c>
      <c r="L6" s="655">
        <f>SUM(C6:K6)-'18. Assets by Exposure classes'!D22-'18. Assets by Exposure classes'!C22</f>
        <v>-2.5266408920288086E-4</v>
      </c>
      <c r="M6" s="706"/>
    </row>
    <row r="7" spans="1:13" ht="12.75">
      <c r="A7" s="358">
        <v>2</v>
      </c>
      <c r="B7" s="359" t="s">
        <v>601</v>
      </c>
      <c r="C7" s="583">
        <v>0</v>
      </c>
      <c r="D7" s="583">
        <v>0</v>
      </c>
      <c r="E7" s="583">
        <v>0</v>
      </c>
      <c r="F7" s="583">
        <v>0</v>
      </c>
      <c r="G7" s="583">
        <v>0</v>
      </c>
      <c r="H7" s="583">
        <v>0</v>
      </c>
      <c r="I7" s="583">
        <v>0</v>
      </c>
      <c r="J7" s="583">
        <v>0</v>
      </c>
      <c r="K7" s="583">
        <f>'22. Quality'!C20+'22. Quality'!C19</f>
        <v>97516868.674899995</v>
      </c>
      <c r="L7" s="655"/>
    </row>
    <row r="8" spans="1:13" ht="12.75">
      <c r="A8" s="358">
        <v>3</v>
      </c>
      <c r="B8" s="359" t="s">
        <v>565</v>
      </c>
      <c r="C8" s="583">
        <v>184585903.90078899</v>
      </c>
      <c r="D8" s="583">
        <v>0</v>
      </c>
      <c r="E8" s="583">
        <v>870717159.54226196</v>
      </c>
      <c r="F8" s="583">
        <v>0</v>
      </c>
      <c r="G8" s="583">
        <v>374849442.639422</v>
      </c>
      <c r="H8" s="583">
        <v>153453767.582881</v>
      </c>
      <c r="I8" s="583">
        <v>48264899.955207005</v>
      </c>
      <c r="J8" s="583">
        <v>72770219.719253004</v>
      </c>
      <c r="K8" s="583">
        <v>939958487.22048569</v>
      </c>
      <c r="L8" s="655">
        <f>SUM(C8:K8)-'22. Quality'!C22</f>
        <v>0</v>
      </c>
    </row>
    <row r="9" spans="1:13" ht="12.75">
      <c r="A9" s="358">
        <v>4</v>
      </c>
      <c r="B9" s="388" t="s">
        <v>897</v>
      </c>
      <c r="C9" s="583">
        <v>3117408.26408666</v>
      </c>
      <c r="D9" s="583">
        <v>3474528.9404356</v>
      </c>
      <c r="E9" s="583">
        <v>1808448.2207299999</v>
      </c>
      <c r="F9" s="583">
        <v>4966872.67</v>
      </c>
      <c r="G9" s="583">
        <v>393470741.31923199</v>
      </c>
      <c r="H9" s="583">
        <v>0</v>
      </c>
      <c r="I9" s="583">
        <v>8513970.0122952387</v>
      </c>
      <c r="J9" s="583">
        <v>6083030.6951026004</v>
      </c>
      <c r="K9" s="583">
        <v>106234515.7882179</v>
      </c>
      <c r="L9" s="655">
        <f>SUM(C9:K9)-'18. Assets by Exposure classes'!C22</f>
        <v>0</v>
      </c>
    </row>
    <row r="10" spans="1:13" ht="12.75">
      <c r="A10" s="358">
        <v>5</v>
      </c>
      <c r="B10" s="377" t="s">
        <v>896</v>
      </c>
      <c r="C10" s="583">
        <v>0</v>
      </c>
      <c r="D10" s="583">
        <v>0</v>
      </c>
      <c r="E10" s="583">
        <v>0</v>
      </c>
      <c r="F10" s="583">
        <v>0</v>
      </c>
      <c r="G10" s="583">
        <v>0</v>
      </c>
      <c r="H10" s="583">
        <v>0</v>
      </c>
      <c r="I10" s="583">
        <v>0</v>
      </c>
      <c r="J10" s="583">
        <v>0</v>
      </c>
      <c r="K10" s="583">
        <v>0</v>
      </c>
      <c r="L10" s="655"/>
    </row>
    <row r="11" spans="1:13" ht="12.75">
      <c r="A11" s="358">
        <v>6</v>
      </c>
      <c r="B11" s="377" t="s">
        <v>895</v>
      </c>
      <c r="C11" s="583">
        <v>0</v>
      </c>
      <c r="D11" s="583">
        <v>0</v>
      </c>
      <c r="E11" s="583">
        <v>0</v>
      </c>
      <c r="F11" s="583">
        <v>0</v>
      </c>
      <c r="G11" s="583">
        <v>0</v>
      </c>
      <c r="H11" s="583">
        <v>0</v>
      </c>
      <c r="I11" s="583">
        <v>0</v>
      </c>
      <c r="J11" s="583">
        <v>0</v>
      </c>
      <c r="K11" s="583">
        <v>0</v>
      </c>
    </row>
    <row r="13" spans="1:13" ht="15">
      <c r="B13" s="424"/>
      <c r="C13" s="535"/>
      <c r="D13" s="369"/>
      <c r="E13" s="369"/>
    </row>
    <row r="14" spans="1:13" ht="12.75">
      <c r="C14" s="535"/>
      <c r="D14" s="369"/>
      <c r="E14" s="524"/>
    </row>
    <row r="22" spans="2:11">
      <c r="C22" s="655"/>
      <c r="D22" s="655"/>
      <c r="E22" s="655"/>
      <c r="F22" s="655"/>
      <c r="G22" s="655"/>
      <c r="H22" s="655"/>
      <c r="I22" s="655"/>
      <c r="J22" s="655"/>
      <c r="K22" s="655"/>
    </row>
    <row r="23" spans="2:11">
      <c r="C23" s="655"/>
      <c r="D23" s="655"/>
      <c r="E23" s="655"/>
      <c r="F23" s="655"/>
      <c r="G23" s="655"/>
      <c r="H23" s="655"/>
      <c r="I23" s="655"/>
      <c r="J23" s="655"/>
      <c r="K23" s="655"/>
    </row>
    <row r="24" spans="2:11">
      <c r="C24" s="655"/>
      <c r="D24" s="655"/>
      <c r="E24" s="655"/>
      <c r="F24" s="655"/>
      <c r="G24" s="655"/>
      <c r="H24" s="655"/>
      <c r="I24" s="655"/>
      <c r="J24" s="655"/>
      <c r="K24" s="655"/>
    </row>
    <row r="25" spans="2:11">
      <c r="C25" s="655"/>
      <c r="D25" s="655"/>
      <c r="E25" s="655"/>
      <c r="F25" s="655"/>
      <c r="G25" s="655"/>
      <c r="H25" s="655"/>
      <c r="I25" s="655"/>
      <c r="J25" s="655"/>
      <c r="K25" s="655"/>
    </row>
    <row r="26" spans="2:11">
      <c r="C26" s="655"/>
      <c r="D26" s="655"/>
      <c r="E26" s="655"/>
      <c r="F26" s="655"/>
      <c r="G26" s="655"/>
      <c r="H26" s="655"/>
      <c r="I26" s="655"/>
      <c r="J26" s="655"/>
      <c r="K26" s="655"/>
    </row>
    <row r="27" spans="2:11">
      <c r="C27" s="655"/>
      <c r="D27" s="655"/>
      <c r="E27" s="655"/>
      <c r="F27" s="655"/>
      <c r="G27" s="655"/>
      <c r="H27" s="655"/>
      <c r="I27" s="655"/>
      <c r="J27" s="655"/>
      <c r="K27" s="655"/>
    </row>
    <row r="31" spans="2:11">
      <c r="B31" s="335" t="s">
        <v>998</v>
      </c>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showGridLines="0" topLeftCell="E7" zoomScale="70" zoomScaleNormal="70" workbookViewId="0">
      <selection activeCell="I27" sqref="I27"/>
    </sheetView>
  </sheetViews>
  <sheetFormatPr defaultColWidth="8.7109375" defaultRowHeight="15"/>
  <cols>
    <col min="1" max="1" width="12.140625" style="429" bestFit="1" customWidth="1"/>
    <col min="2" max="2" width="87.5703125" style="429" bestFit="1" customWidth="1"/>
    <col min="3" max="3" width="16.42578125" style="429" bestFit="1" customWidth="1"/>
    <col min="4" max="4" width="16.7109375" style="429" bestFit="1" customWidth="1"/>
    <col min="5" max="5" width="16.140625" style="429" bestFit="1" customWidth="1"/>
    <col min="6" max="6" width="20.42578125" style="429" bestFit="1" customWidth="1"/>
    <col min="7" max="7" width="37.42578125" style="429" bestFit="1" customWidth="1"/>
    <col min="8" max="8" width="18.42578125" style="429" customWidth="1"/>
    <col min="9" max="9" width="16.42578125" style="429" bestFit="1" customWidth="1"/>
    <col min="10" max="10" width="16.140625" style="429" bestFit="1" customWidth="1"/>
    <col min="11" max="11" width="20.42578125" style="429" bestFit="1" customWidth="1"/>
    <col min="12" max="12" width="37.42578125" style="429" bestFit="1" customWidth="1"/>
    <col min="13" max="13" width="14.28515625" style="429" bestFit="1" customWidth="1"/>
    <col min="14" max="15" width="16.140625" style="429" bestFit="1" customWidth="1"/>
    <col min="16" max="16" width="20.42578125" style="429" bestFit="1" customWidth="1"/>
    <col min="17" max="17" width="37.42578125" style="429" bestFit="1" customWidth="1"/>
    <col min="18" max="18" width="18" style="429" bestFit="1" customWidth="1"/>
    <col min="19" max="19" width="79.42578125" style="429" bestFit="1" customWidth="1"/>
    <col min="20" max="20" width="77.140625" style="429" bestFit="1" customWidth="1"/>
    <col min="21" max="21" width="60.7109375" style="429" bestFit="1" customWidth="1"/>
    <col min="22" max="22" width="78.42578125" style="429" bestFit="1" customWidth="1"/>
    <col min="23" max="16384" width="8.7109375" style="429"/>
  </cols>
  <sheetData>
    <row r="1" spans="1:22">
      <c r="A1" s="324" t="s">
        <v>106</v>
      </c>
      <c r="B1" s="257" t="str">
        <f>Info!C2</f>
        <v>სს ”საქართველოს ბანკი”</v>
      </c>
      <c r="U1" s="429">
        <v>0</v>
      </c>
    </row>
    <row r="2" spans="1:22">
      <c r="A2" s="326" t="s">
        <v>107</v>
      </c>
      <c r="B2" s="328">
        <f>'1. key ratios'!B2</f>
        <v>45107</v>
      </c>
    </row>
    <row r="3" spans="1:22">
      <c r="A3" s="327" t="s">
        <v>684</v>
      </c>
      <c r="B3" s="369"/>
    </row>
    <row r="4" spans="1:22">
      <c r="A4" s="327"/>
      <c r="B4" s="369"/>
    </row>
    <row r="5" spans="1:22" ht="24" customHeight="1">
      <c r="A5" s="904" t="s">
        <v>711</v>
      </c>
      <c r="B5" s="904"/>
      <c r="C5" s="906" t="s">
        <v>901</v>
      </c>
      <c r="D5" s="906"/>
      <c r="E5" s="906"/>
      <c r="F5" s="906"/>
      <c r="G5" s="906"/>
      <c r="H5" s="906" t="s">
        <v>591</v>
      </c>
      <c r="I5" s="906"/>
      <c r="J5" s="906"/>
      <c r="K5" s="906"/>
      <c r="L5" s="906"/>
      <c r="M5" s="906" t="s">
        <v>900</v>
      </c>
      <c r="N5" s="906"/>
      <c r="O5" s="906"/>
      <c r="P5" s="906"/>
      <c r="Q5" s="906"/>
      <c r="R5" s="905" t="s">
        <v>710</v>
      </c>
      <c r="S5" s="905" t="s">
        <v>714</v>
      </c>
      <c r="T5" s="905" t="s">
        <v>713</v>
      </c>
      <c r="U5" s="905" t="s">
        <v>946</v>
      </c>
      <c r="V5" s="905" t="s">
        <v>947</v>
      </c>
    </row>
    <row r="6" spans="1:22" ht="36" customHeight="1">
      <c r="A6" s="904"/>
      <c r="B6" s="904"/>
      <c r="C6" s="438"/>
      <c r="D6" s="367" t="s">
        <v>885</v>
      </c>
      <c r="E6" s="367" t="s">
        <v>884</v>
      </c>
      <c r="F6" s="367" t="s">
        <v>883</v>
      </c>
      <c r="G6" s="367" t="s">
        <v>882</v>
      </c>
      <c r="H6" s="438"/>
      <c r="I6" s="367" t="s">
        <v>885</v>
      </c>
      <c r="J6" s="367" t="s">
        <v>884</v>
      </c>
      <c r="K6" s="367" t="s">
        <v>883</v>
      </c>
      <c r="L6" s="367" t="s">
        <v>882</v>
      </c>
      <c r="M6" s="438"/>
      <c r="N6" s="367" t="s">
        <v>885</v>
      </c>
      <c r="O6" s="367" t="s">
        <v>884</v>
      </c>
      <c r="P6" s="367" t="s">
        <v>883</v>
      </c>
      <c r="Q6" s="367" t="s">
        <v>882</v>
      </c>
      <c r="R6" s="905"/>
      <c r="S6" s="905"/>
      <c r="T6" s="905"/>
      <c r="U6" s="905"/>
      <c r="V6" s="905"/>
    </row>
    <row r="7" spans="1:22">
      <c r="A7" s="436">
        <v>1</v>
      </c>
      <c r="B7" s="437" t="s">
        <v>685</v>
      </c>
      <c r="C7" s="660">
        <f>SUM(D7:G7)</f>
        <v>76806433.99000001</v>
      </c>
      <c r="D7" s="660">
        <v>73374017.280000001</v>
      </c>
      <c r="E7" s="660">
        <v>2132355.9500000002</v>
      </c>
      <c r="F7" s="660">
        <v>1300060.76</v>
      </c>
      <c r="G7" s="660">
        <v>0</v>
      </c>
      <c r="H7" s="657">
        <v>78043899.736099988</v>
      </c>
      <c r="I7" s="657">
        <v>74497184.878299996</v>
      </c>
      <c r="J7" s="657">
        <v>2173528.5403999998</v>
      </c>
      <c r="K7" s="657">
        <v>1373186.3174000001</v>
      </c>
      <c r="L7" s="657">
        <v>0</v>
      </c>
      <c r="M7" s="657">
        <v>2444155.6940560001</v>
      </c>
      <c r="N7" s="657">
        <v>1486907.37</v>
      </c>
      <c r="O7" s="657">
        <v>233825.05</v>
      </c>
      <c r="P7" s="657">
        <v>723423.27405600005</v>
      </c>
      <c r="Q7" s="657">
        <v>0</v>
      </c>
      <c r="R7" s="657">
        <v>912</v>
      </c>
      <c r="S7" s="729">
        <v>0.11973575883675201</v>
      </c>
      <c r="T7" s="729">
        <v>0.13913333036446202</v>
      </c>
      <c r="U7" s="707">
        <v>0.12</v>
      </c>
      <c r="V7" s="658">
        <v>44.54</v>
      </c>
    </row>
    <row r="8" spans="1:22">
      <c r="A8" s="436">
        <v>2</v>
      </c>
      <c r="B8" s="435" t="s">
        <v>686</v>
      </c>
      <c r="C8" s="660">
        <f t="shared" ref="C8:C18" si="0">SUM(D8:G8)</f>
        <v>3524695663.9399996</v>
      </c>
      <c r="D8" s="660">
        <v>3202772604.4899998</v>
      </c>
      <c r="E8" s="660">
        <v>190778155.59999999</v>
      </c>
      <c r="F8" s="660">
        <v>105852283.15000001</v>
      </c>
      <c r="G8" s="660">
        <v>25292620.699999999</v>
      </c>
      <c r="H8" s="657">
        <v>3548000784.5971999</v>
      </c>
      <c r="I8" s="657">
        <v>3221200525.6810999</v>
      </c>
      <c r="J8" s="657">
        <v>195400091.81389999</v>
      </c>
      <c r="K8" s="657">
        <v>105623186.64929999</v>
      </c>
      <c r="L8" s="657">
        <v>25776980.4529</v>
      </c>
      <c r="M8" s="657">
        <v>117474544.17206101</v>
      </c>
      <c r="N8" s="657">
        <v>35649784.850000001</v>
      </c>
      <c r="O8" s="657">
        <v>16444082.76</v>
      </c>
      <c r="P8" s="657">
        <v>57515878.114494003</v>
      </c>
      <c r="Q8" s="657">
        <v>7864798.4475670001</v>
      </c>
      <c r="R8" s="657">
        <v>436747</v>
      </c>
      <c r="S8" s="729">
        <v>0.14908691684817199</v>
      </c>
      <c r="T8" s="729">
        <v>0.19304398862317998</v>
      </c>
      <c r="U8" s="707">
        <v>0.15</v>
      </c>
      <c r="V8" s="658">
        <v>58.72</v>
      </c>
    </row>
    <row r="9" spans="1:22">
      <c r="A9" s="436">
        <v>3</v>
      </c>
      <c r="B9" s="435" t="s">
        <v>687</v>
      </c>
      <c r="C9" s="660">
        <f t="shared" si="0"/>
        <v>1897236.0600000003</v>
      </c>
      <c r="D9" s="660">
        <v>1025231.05</v>
      </c>
      <c r="E9" s="660">
        <v>465057.63</v>
      </c>
      <c r="F9" s="660">
        <v>381676.06</v>
      </c>
      <c r="G9" s="660">
        <v>25271.32</v>
      </c>
      <c r="H9" s="657">
        <v>2019564.9966</v>
      </c>
      <c r="I9" s="657">
        <v>1069677.1551999999</v>
      </c>
      <c r="J9" s="657">
        <v>490583.58529999998</v>
      </c>
      <c r="K9" s="657">
        <v>431029.66200000001</v>
      </c>
      <c r="L9" s="657">
        <v>28274.594099999998</v>
      </c>
      <c r="M9" s="657">
        <v>507197.94</v>
      </c>
      <c r="N9" s="657">
        <v>65758.73</v>
      </c>
      <c r="O9" s="657">
        <v>80709.960000000006</v>
      </c>
      <c r="P9" s="657">
        <v>347300.48</v>
      </c>
      <c r="Q9" s="657">
        <v>13428.77</v>
      </c>
      <c r="R9" s="657">
        <v>6975</v>
      </c>
      <c r="S9" s="729">
        <v>0.31159195978099197</v>
      </c>
      <c r="T9" s="729">
        <v>0.403101714971002</v>
      </c>
      <c r="U9" s="707">
        <v>0.33</v>
      </c>
      <c r="V9" s="658">
        <v>13.01</v>
      </c>
    </row>
    <row r="10" spans="1:22">
      <c r="A10" s="436">
        <v>4</v>
      </c>
      <c r="B10" s="435" t="s">
        <v>688</v>
      </c>
      <c r="C10" s="660">
        <f t="shared" si="0"/>
        <v>82940026.540000007</v>
      </c>
      <c r="D10" s="660">
        <v>80467424.370000005</v>
      </c>
      <c r="E10" s="660">
        <v>1731679.27</v>
      </c>
      <c r="F10" s="660">
        <v>740922.9</v>
      </c>
      <c r="G10" s="660">
        <v>0</v>
      </c>
      <c r="H10" s="657">
        <v>81842609.043200001</v>
      </c>
      <c r="I10" s="657">
        <v>79319532.135299996</v>
      </c>
      <c r="J10" s="657">
        <v>1743829.0197000001</v>
      </c>
      <c r="K10" s="657">
        <v>779247.88820000004</v>
      </c>
      <c r="L10" s="657">
        <v>0</v>
      </c>
      <c r="M10" s="657">
        <v>2378463.2000000002</v>
      </c>
      <c r="N10" s="657">
        <v>1523200.26</v>
      </c>
      <c r="O10" s="657">
        <v>312868.86</v>
      </c>
      <c r="P10" s="657">
        <v>542394.07999999996</v>
      </c>
      <c r="Q10" s="657">
        <v>0</v>
      </c>
      <c r="R10" s="657">
        <v>93990</v>
      </c>
      <c r="S10" s="729">
        <v>0.186557733944726</v>
      </c>
      <c r="T10" s="729">
        <v>0.29756529727356296</v>
      </c>
      <c r="U10" s="707">
        <v>0.2</v>
      </c>
      <c r="V10" s="658">
        <v>12.58</v>
      </c>
    </row>
    <row r="11" spans="1:22">
      <c r="A11" s="436">
        <v>5</v>
      </c>
      <c r="B11" s="435" t="s">
        <v>689</v>
      </c>
      <c r="C11" s="660">
        <f t="shared" si="0"/>
        <v>10712091.719999999</v>
      </c>
      <c r="D11" s="660">
        <v>7861966.5800000001</v>
      </c>
      <c r="E11" s="660">
        <v>833646.28</v>
      </c>
      <c r="F11" s="660">
        <v>2016478.86</v>
      </c>
      <c r="G11" s="660">
        <v>0</v>
      </c>
      <c r="H11" s="657">
        <v>12969042.1719</v>
      </c>
      <c r="I11" s="657">
        <v>8231351.8161000004</v>
      </c>
      <c r="J11" s="657">
        <v>1049156.0368999999</v>
      </c>
      <c r="K11" s="657">
        <v>3688534.3188999998</v>
      </c>
      <c r="L11" s="657">
        <v>0</v>
      </c>
      <c r="M11" s="657">
        <v>3860344.228567</v>
      </c>
      <c r="N11" s="657">
        <v>285607.34000000003</v>
      </c>
      <c r="O11" s="657">
        <v>180872.47</v>
      </c>
      <c r="P11" s="657">
        <v>3393864.418567</v>
      </c>
      <c r="Q11" s="657">
        <v>0</v>
      </c>
      <c r="R11" s="657">
        <v>131634</v>
      </c>
      <c r="S11" s="729">
        <v>0.17326728210794301</v>
      </c>
      <c r="T11" s="729">
        <v>0.18120034158390103</v>
      </c>
      <c r="U11" s="707">
        <v>0.18</v>
      </c>
      <c r="V11" s="658">
        <v>19</v>
      </c>
    </row>
    <row r="12" spans="1:22">
      <c r="A12" s="436">
        <v>6</v>
      </c>
      <c r="B12" s="435" t="s">
        <v>690</v>
      </c>
      <c r="C12" s="660">
        <f t="shared" si="0"/>
        <v>199645118.13999999</v>
      </c>
      <c r="D12" s="660">
        <v>180783855.75999999</v>
      </c>
      <c r="E12" s="660">
        <v>14011081.18</v>
      </c>
      <c r="F12" s="660">
        <v>4850181.2</v>
      </c>
      <c r="G12" s="660">
        <v>0</v>
      </c>
      <c r="H12" s="657">
        <v>205965728.96330002</v>
      </c>
      <c r="I12" s="657">
        <v>186379664.28130001</v>
      </c>
      <c r="J12" s="657">
        <v>14486520.6777</v>
      </c>
      <c r="K12" s="657">
        <v>5099544.0043000001</v>
      </c>
      <c r="L12" s="657">
        <v>0</v>
      </c>
      <c r="M12" s="657">
        <v>6564763.21</v>
      </c>
      <c r="N12" s="657">
        <v>1478786.16</v>
      </c>
      <c r="O12" s="657">
        <v>856661.95</v>
      </c>
      <c r="P12" s="657">
        <v>4229315.0999999996</v>
      </c>
      <c r="Q12" s="657">
        <v>0</v>
      </c>
      <c r="R12" s="657">
        <v>150192</v>
      </c>
      <c r="S12" s="729">
        <v>0.35999985029667797</v>
      </c>
      <c r="T12" s="730">
        <v>0.36</v>
      </c>
      <c r="U12" s="730">
        <v>0.36</v>
      </c>
      <c r="V12" s="658">
        <v>29.99</v>
      </c>
    </row>
    <row r="13" spans="1:22">
      <c r="A13" s="436">
        <v>7</v>
      </c>
      <c r="B13" s="435" t="s">
        <v>691</v>
      </c>
      <c r="C13" s="660">
        <f t="shared" si="0"/>
        <v>4218062817.6193223</v>
      </c>
      <c r="D13" s="660">
        <v>3939961064.21</v>
      </c>
      <c r="E13" s="660">
        <v>173255986.73000002</v>
      </c>
      <c r="F13" s="660">
        <v>58975077.880000003</v>
      </c>
      <c r="G13" s="660">
        <v>45870688.799322009</v>
      </c>
      <c r="H13" s="657">
        <f t="shared" ref="H13:P13" si="1">H14+H15+H16</f>
        <v>4300082253.1438999</v>
      </c>
      <c r="I13" s="657">
        <f t="shared" si="1"/>
        <v>4015837252.9130006</v>
      </c>
      <c r="J13" s="657">
        <f t="shared" si="1"/>
        <v>178248427.39810002</v>
      </c>
      <c r="K13" s="657">
        <f t="shared" si="1"/>
        <v>59674377.940200001</v>
      </c>
      <c r="L13" s="657">
        <v>46322194.8926</v>
      </c>
      <c r="M13" s="657">
        <f t="shared" si="1"/>
        <v>33191210.794731997</v>
      </c>
      <c r="N13" s="657">
        <f t="shared" si="1"/>
        <v>7291068.5700000003</v>
      </c>
      <c r="O13" s="657">
        <f t="shared" si="1"/>
        <v>3102061.33</v>
      </c>
      <c r="P13" s="657">
        <f t="shared" si="1"/>
        <v>13647047.152039999</v>
      </c>
      <c r="Q13" s="657">
        <v>9151033.7426920012</v>
      </c>
      <c r="R13" s="657">
        <v>69473</v>
      </c>
      <c r="S13" s="729">
        <v>0.11496446968207201</v>
      </c>
      <c r="T13" s="729">
        <v>0.130695494263699</v>
      </c>
      <c r="U13" s="707">
        <v>0.1</v>
      </c>
      <c r="V13" s="658">
        <v>118.97</v>
      </c>
    </row>
    <row r="14" spans="1:22">
      <c r="A14" s="431">
        <v>7.1</v>
      </c>
      <c r="B14" s="430" t="s">
        <v>692</v>
      </c>
      <c r="C14" s="660">
        <f t="shared" si="0"/>
        <v>3303730665.7893214</v>
      </c>
      <c r="D14" s="660">
        <v>3062985835.04</v>
      </c>
      <c r="E14" s="660">
        <v>141960212.18000001</v>
      </c>
      <c r="F14" s="660">
        <v>52959088.490000002</v>
      </c>
      <c r="G14" s="660">
        <v>45825530.079322003</v>
      </c>
      <c r="H14" s="657">
        <v>3370132579.1309004</v>
      </c>
      <c r="I14" s="657">
        <v>3124022544.7895002</v>
      </c>
      <c r="J14" s="657">
        <v>146206323.41080001</v>
      </c>
      <c r="K14" s="657">
        <v>53628734.702299997</v>
      </c>
      <c r="L14" s="657">
        <v>46274976.228299998</v>
      </c>
      <c r="M14" s="657">
        <v>28574837.201523997</v>
      </c>
      <c r="N14" s="657">
        <v>4931675.08</v>
      </c>
      <c r="O14" s="657">
        <v>2285130.31</v>
      </c>
      <c r="P14" s="657">
        <v>12209931.628831999</v>
      </c>
      <c r="Q14" s="657">
        <v>9148100.1826920006</v>
      </c>
      <c r="R14" s="657">
        <v>42937</v>
      </c>
      <c r="S14" s="729">
        <v>0.11421948998178101</v>
      </c>
      <c r="T14" s="729">
        <v>0.12996890563316701</v>
      </c>
      <c r="U14" s="707">
        <v>0.1</v>
      </c>
      <c r="V14" s="658">
        <v>120.87</v>
      </c>
    </row>
    <row r="15" spans="1:22">
      <c r="A15" s="431">
        <v>7.2</v>
      </c>
      <c r="B15" s="430" t="s">
        <v>693</v>
      </c>
      <c r="C15" s="660">
        <f t="shared" si="0"/>
        <v>668751043.23999989</v>
      </c>
      <c r="D15" s="660">
        <v>642518480.30999994</v>
      </c>
      <c r="E15" s="660">
        <v>21998042.149999999</v>
      </c>
      <c r="F15" s="660">
        <v>4209783.9000000004</v>
      </c>
      <c r="G15" s="660">
        <v>24736.880000000001</v>
      </c>
      <c r="H15" s="657">
        <v>678985632.41379988</v>
      </c>
      <c r="I15" s="657">
        <v>652276726.73539996</v>
      </c>
      <c r="J15" s="657">
        <v>22431434.241999999</v>
      </c>
      <c r="K15" s="657">
        <v>4251560.1083000004</v>
      </c>
      <c r="L15" s="657">
        <v>25911.328099999999</v>
      </c>
      <c r="M15" s="657">
        <v>3904498.3762619998</v>
      </c>
      <c r="N15" s="657">
        <v>2124360.15</v>
      </c>
      <c r="O15" s="657">
        <v>704867.29</v>
      </c>
      <c r="P15" s="657">
        <v>1075270.9362619999</v>
      </c>
      <c r="Q15" s="657">
        <v>0</v>
      </c>
      <c r="R15" s="657">
        <v>8000</v>
      </c>
      <c r="S15" s="729">
        <v>0.113423835587158</v>
      </c>
      <c r="T15" s="729">
        <v>0.12942874594856899</v>
      </c>
      <c r="U15" s="707">
        <v>0.11</v>
      </c>
      <c r="V15" s="658">
        <v>119.66</v>
      </c>
    </row>
    <row r="16" spans="1:22">
      <c r="A16" s="431">
        <v>7.3</v>
      </c>
      <c r="B16" s="430" t="s">
        <v>694</v>
      </c>
      <c r="C16" s="660">
        <f t="shared" si="0"/>
        <v>245581108.59000003</v>
      </c>
      <c r="D16" s="660">
        <v>234456748.86000001</v>
      </c>
      <c r="E16" s="660">
        <v>9297732.4000000004</v>
      </c>
      <c r="F16" s="660">
        <v>1806205.49</v>
      </c>
      <c r="G16" s="660">
        <v>20421.84</v>
      </c>
      <c r="H16" s="657">
        <v>250964041.59920001</v>
      </c>
      <c r="I16" s="657">
        <v>239537981.3881</v>
      </c>
      <c r="J16" s="657">
        <v>9610669.7453000005</v>
      </c>
      <c r="K16" s="657">
        <v>1794083.1296000001</v>
      </c>
      <c r="L16" s="657">
        <v>21307.336200000002</v>
      </c>
      <c r="M16" s="657">
        <v>711875.216946</v>
      </c>
      <c r="N16" s="657">
        <v>235033.34</v>
      </c>
      <c r="O16" s="657">
        <v>112063.73</v>
      </c>
      <c r="P16" s="657">
        <v>361844.586946</v>
      </c>
      <c r="Q16" s="657">
        <v>2933.56</v>
      </c>
      <c r="R16" s="657">
        <v>18536</v>
      </c>
      <c r="S16" s="729">
        <v>0.12280285664624201</v>
      </c>
      <c r="T16" s="729">
        <v>0.13794590897825101</v>
      </c>
      <c r="U16" s="707">
        <v>0.12</v>
      </c>
      <c r="V16" s="658">
        <v>91.44</v>
      </c>
    </row>
    <row r="17" spans="1:22">
      <c r="A17" s="436">
        <v>8</v>
      </c>
      <c r="B17" s="435" t="s">
        <v>695</v>
      </c>
      <c r="C17" s="660">
        <f t="shared" si="0"/>
        <v>136298248.47</v>
      </c>
      <c r="D17" s="660">
        <v>125046738.81999999</v>
      </c>
      <c r="E17" s="660">
        <v>7945715.29</v>
      </c>
      <c r="F17" s="660">
        <v>3305794.36</v>
      </c>
      <c r="G17" s="660">
        <v>0</v>
      </c>
      <c r="H17" s="657">
        <v>138493459.80019999</v>
      </c>
      <c r="I17" s="657">
        <v>126235222.1521</v>
      </c>
      <c r="J17" s="657">
        <v>8053308.5888</v>
      </c>
      <c r="K17" s="657">
        <v>4204929.0592999998</v>
      </c>
      <c r="L17" s="657">
        <v>0</v>
      </c>
      <c r="M17" s="657">
        <v>1297215.4100000001</v>
      </c>
      <c r="N17" s="657">
        <v>56395.6</v>
      </c>
      <c r="O17" s="657">
        <v>29113</v>
      </c>
      <c r="P17" s="657">
        <v>1211706.81</v>
      </c>
      <c r="Q17" s="657">
        <v>0</v>
      </c>
      <c r="R17" s="657">
        <v>110671</v>
      </c>
      <c r="S17" s="729">
        <v>0.205202733805573</v>
      </c>
      <c r="T17" s="729">
        <v>0.205202733805573</v>
      </c>
      <c r="U17" s="707">
        <v>0.197702125918155</v>
      </c>
      <c r="V17" s="658">
        <v>0.61035332195147196</v>
      </c>
    </row>
    <row r="18" spans="1:22">
      <c r="A18" s="434">
        <v>9</v>
      </c>
      <c r="B18" s="433" t="s">
        <v>696</v>
      </c>
      <c r="C18" s="660">
        <f t="shared" si="0"/>
        <v>21597.82</v>
      </c>
      <c r="D18" s="660">
        <v>19783.66</v>
      </c>
      <c r="E18" s="660">
        <v>1814.16</v>
      </c>
      <c r="F18" s="660">
        <v>0</v>
      </c>
      <c r="G18" s="660">
        <v>0</v>
      </c>
      <c r="H18" s="657">
        <v>25810.3979</v>
      </c>
      <c r="I18" s="657">
        <v>23933.948799999998</v>
      </c>
      <c r="J18" s="657">
        <v>1876.4491</v>
      </c>
      <c r="K18" s="657">
        <v>0</v>
      </c>
      <c r="L18" s="657">
        <v>0</v>
      </c>
      <c r="M18" s="657">
        <v>891.78</v>
      </c>
      <c r="N18" s="657">
        <v>412.05</v>
      </c>
      <c r="O18" s="657">
        <v>479.73</v>
      </c>
      <c r="P18" s="657">
        <v>0</v>
      </c>
      <c r="Q18" s="657">
        <v>0</v>
      </c>
      <c r="R18" s="657">
        <v>8</v>
      </c>
      <c r="S18" s="729">
        <v>0</v>
      </c>
      <c r="T18" s="729">
        <v>0</v>
      </c>
      <c r="U18" s="707">
        <v>0.22</v>
      </c>
      <c r="V18" s="658">
        <v>9.81</v>
      </c>
    </row>
    <row r="19" spans="1:22" s="785" customFormat="1">
      <c r="A19" s="781">
        <v>10</v>
      </c>
      <c r="B19" s="432" t="s">
        <v>712</v>
      </c>
      <c r="C19" s="659">
        <f t="shared" ref="C19:E19" si="2">SUM(C7:C13)+C17+C18</f>
        <v>8251079234.2993212</v>
      </c>
      <c r="D19" s="659">
        <f t="shared" si="2"/>
        <v>7611312686.2199993</v>
      </c>
      <c r="E19" s="659">
        <f t="shared" si="2"/>
        <v>391155492.09000003</v>
      </c>
      <c r="F19" s="659">
        <f t="shared" ref="F19:L19" si="3">SUM(F7:F13)+F17+F18</f>
        <v>177422475.17000005</v>
      </c>
      <c r="G19" s="659">
        <f t="shared" si="3"/>
        <v>71188580.819322005</v>
      </c>
      <c r="H19" s="659">
        <f t="shared" si="3"/>
        <v>8367443152.8502998</v>
      </c>
      <c r="I19" s="659">
        <f t="shared" si="3"/>
        <v>7712794344.9612007</v>
      </c>
      <c r="J19" s="659">
        <f t="shared" si="3"/>
        <v>401647322.10990006</v>
      </c>
      <c r="K19" s="659">
        <f t="shared" si="3"/>
        <v>180874035.8396</v>
      </c>
      <c r="L19" s="659">
        <f t="shared" si="3"/>
        <v>72127449.939599991</v>
      </c>
      <c r="M19" s="659">
        <f t="shared" ref="M19:Q19" si="4">SUM(M7:M13)+M17+M18</f>
        <v>167718786.429416</v>
      </c>
      <c r="N19" s="659">
        <f t="shared" si="4"/>
        <v>47837920.929999992</v>
      </c>
      <c r="O19" s="659">
        <f t="shared" si="4"/>
        <v>21240675.110000003</v>
      </c>
      <c r="P19" s="659">
        <f t="shared" si="4"/>
        <v>81610929.429157004</v>
      </c>
      <c r="Q19" s="659">
        <f t="shared" si="4"/>
        <v>17029260.960259002</v>
      </c>
      <c r="R19" s="659">
        <f t="shared" ref="R19" si="5">SUM(R7:R13)+R17+R18</f>
        <v>1000602</v>
      </c>
      <c r="S19" s="782">
        <v>0.16659894626333799</v>
      </c>
      <c r="T19" s="782">
        <v>0.19475671561003602</v>
      </c>
      <c r="U19" s="783">
        <v>0.13140012508532875</v>
      </c>
      <c r="V19" s="784">
        <v>87.3</v>
      </c>
    </row>
    <row r="20" spans="1:22" ht="25.5">
      <c r="A20" s="431">
        <v>10.1</v>
      </c>
      <c r="B20" s="430" t="s">
        <v>715</v>
      </c>
      <c r="C20" s="425"/>
      <c r="D20" s="425"/>
      <c r="E20" s="425"/>
      <c r="F20" s="425"/>
      <c r="G20" s="425"/>
      <c r="H20" s="425"/>
      <c r="I20" s="425"/>
      <c r="J20" s="425"/>
      <c r="K20" s="425"/>
      <c r="L20" s="425"/>
      <c r="M20" s="425"/>
      <c r="N20" s="425"/>
      <c r="O20" s="425"/>
      <c r="P20" s="425"/>
      <c r="Q20" s="425"/>
      <c r="R20" s="425"/>
      <c r="S20" s="425"/>
      <c r="T20" s="425"/>
      <c r="U20" s="425"/>
      <c r="V20" s="425"/>
    </row>
    <row r="22" spans="1:22">
      <c r="H22" s="664">
        <f>H19+H24</f>
        <v>9048184686.2306004</v>
      </c>
      <c r="I22" s="429">
        <v>968058970.67260027</v>
      </c>
    </row>
    <row r="23" spans="1:22">
      <c r="H23" s="664">
        <f>H22-'22. Quality'!C14</f>
        <v>-273688545.95160103</v>
      </c>
    </row>
    <row r="24" spans="1:22">
      <c r="H24" s="429">
        <v>680741533.38030124</v>
      </c>
    </row>
    <row r="25" spans="1:22">
      <c r="C25" s="664"/>
      <c r="D25" s="664"/>
      <c r="E25" s="664"/>
      <c r="F25" s="664"/>
      <c r="G25" s="664"/>
      <c r="H25" s="664"/>
      <c r="I25" s="664">
        <f>I22+H19</f>
        <v>9335502123.5228996</v>
      </c>
      <c r="J25" s="664"/>
      <c r="K25" s="664"/>
      <c r="L25" s="664"/>
      <c r="M25" s="664"/>
      <c r="N25" s="664"/>
      <c r="O25" s="664"/>
      <c r="P25" s="664"/>
      <c r="Q25" s="664"/>
      <c r="R25" s="664"/>
      <c r="S25" s="664"/>
      <c r="T25" s="664"/>
      <c r="U25" s="664"/>
      <c r="V25" s="664"/>
    </row>
    <row r="26" spans="1:22">
      <c r="G26" s="664"/>
      <c r="I26" s="664">
        <f>I25-'22. Quality'!C14</f>
        <v>13628891.340698242</v>
      </c>
    </row>
    <row r="27" spans="1:22" ht="15.75">
      <c r="M27" s="664"/>
      <c r="S27" s="708"/>
      <c r="T27" s="709"/>
      <c r="U27" s="709"/>
    </row>
    <row r="28" spans="1:22">
      <c r="H28" s="664"/>
      <c r="S28"/>
      <c r="T28" s="728"/>
      <c r="U28" s="728"/>
    </row>
    <row r="29" spans="1:22">
      <c r="S29"/>
      <c r="T29" s="728"/>
      <c r="U29" s="728"/>
    </row>
    <row r="30" spans="1:22">
      <c r="S30"/>
      <c r="T30" s="728"/>
      <c r="U30" s="728"/>
    </row>
    <row r="31" spans="1:22">
      <c r="B31" s="429" t="s">
        <v>998</v>
      </c>
      <c r="S31"/>
      <c r="T31" s="728"/>
      <c r="U31" s="728"/>
    </row>
    <row r="32" spans="1:22">
      <c r="S32"/>
      <c r="T32" s="728"/>
      <c r="U32" s="728"/>
    </row>
    <row r="33" spans="19:21">
      <c r="S33"/>
      <c r="T33" s="728"/>
      <c r="U33" s="728"/>
    </row>
    <row r="34" spans="19:21">
      <c r="S34"/>
      <c r="T34" s="728"/>
      <c r="U34" s="728"/>
    </row>
    <row r="35" spans="19:21">
      <c r="S35"/>
      <c r="T35" s="728"/>
      <c r="U35" s="728"/>
    </row>
    <row r="36" spans="19:21">
      <c r="S36"/>
      <c r="T36" s="728"/>
      <c r="U36" s="728"/>
    </row>
    <row r="37" spans="19:21">
      <c r="S37"/>
      <c r="T37" s="728"/>
      <c r="U37" s="728"/>
    </row>
    <row r="38" spans="19:21">
      <c r="S38"/>
      <c r="T38" s="728"/>
      <c r="U38" s="728"/>
    </row>
    <row r="39" spans="19:21">
      <c r="S39"/>
      <c r="T39" s="728"/>
      <c r="U39" s="728"/>
    </row>
    <row r="40" spans="19:21">
      <c r="S40"/>
      <c r="T40" s="728"/>
      <c r="U40" s="728"/>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RowHeight="15"/>
  <cols>
    <col min="1" max="1" width="8.7109375" style="347"/>
    <col min="2" max="2" width="69.28515625" style="346" customWidth="1"/>
    <col min="3" max="4" width="16.42578125" style="491" bestFit="1" customWidth="1"/>
    <col min="5" max="5" width="13.85546875" style="491" bestFit="1" customWidth="1"/>
    <col min="6" max="6" width="16.42578125" style="491" bestFit="1" customWidth="1"/>
    <col min="7" max="7" width="17.5703125" style="491" bestFit="1" customWidth="1"/>
    <col min="8" max="8" width="16.42578125" style="491" bestFit="1" customWidth="1"/>
    <col min="9" max="9" width="15.85546875" customWidth="1"/>
    <col min="10" max="10" width="14.7109375" customWidth="1"/>
    <col min="13" max="13" width="11.5703125" customWidth="1"/>
  </cols>
  <sheetData>
    <row r="1" spans="1:11" ht="15.75">
      <c r="A1" s="15" t="s">
        <v>106</v>
      </c>
      <c r="B1" s="257" t="str">
        <f>Info!C2</f>
        <v>სს ”საქართველოს ბანკი”</v>
      </c>
      <c r="C1" s="714"/>
      <c r="D1" s="489"/>
      <c r="E1" s="489"/>
      <c r="F1" s="489"/>
      <c r="G1" s="489"/>
    </row>
    <row r="2" spans="1:11" ht="15.75">
      <c r="A2" s="15" t="s">
        <v>107</v>
      </c>
      <c r="B2" s="647">
        <f>'1. key ratios'!B2</f>
        <v>45107</v>
      </c>
      <c r="C2" s="715"/>
      <c r="D2" s="490"/>
      <c r="E2" s="490"/>
      <c r="F2" s="715"/>
      <c r="G2" s="490"/>
      <c r="H2" s="490"/>
    </row>
    <row r="3" spans="1:11" ht="16.5" thickBot="1">
      <c r="A3" s="15"/>
      <c r="B3" s="14"/>
      <c r="C3" s="715"/>
      <c r="D3" s="490"/>
      <c r="E3" s="490"/>
      <c r="F3" s="715"/>
      <c r="G3" s="490"/>
      <c r="H3" s="490"/>
    </row>
    <row r="4" spans="1:11">
      <c r="A4" s="791" t="s">
        <v>24</v>
      </c>
      <c r="B4" s="793" t="s">
        <v>724</v>
      </c>
      <c r="C4" s="795" t="s">
        <v>112</v>
      </c>
      <c r="D4" s="795"/>
      <c r="E4" s="795"/>
      <c r="F4" s="795" t="s">
        <v>113</v>
      </c>
      <c r="G4" s="795"/>
      <c r="H4" s="796"/>
    </row>
    <row r="5" spans="1:11">
      <c r="A5" s="792"/>
      <c r="B5" s="794"/>
      <c r="C5" s="557" t="s">
        <v>25</v>
      </c>
      <c r="D5" s="557" t="s">
        <v>86</v>
      </c>
      <c r="E5" s="557" t="s">
        <v>64</v>
      </c>
      <c r="F5" s="557" t="s">
        <v>25</v>
      </c>
      <c r="G5" s="557" t="s">
        <v>86</v>
      </c>
      <c r="H5" s="720" t="s">
        <v>64</v>
      </c>
    </row>
    <row r="6" spans="1:11">
      <c r="A6" s="792"/>
      <c r="B6" s="558" t="s">
        <v>93</v>
      </c>
      <c r="C6" s="789"/>
      <c r="D6" s="789"/>
      <c r="E6" s="789"/>
      <c r="F6" s="789"/>
      <c r="G6" s="789"/>
      <c r="H6" s="790"/>
      <c r="K6" s="491"/>
    </row>
    <row r="7" spans="1:11" ht="21">
      <c r="A7" s="579">
        <v>1</v>
      </c>
      <c r="B7" s="559" t="s">
        <v>836</v>
      </c>
      <c r="C7" s="716">
        <f>SUM(C8:C10)</f>
        <v>516350351.75599998</v>
      </c>
      <c r="D7" s="716">
        <f>SUM(D8:D10)</f>
        <v>2931540769.3006001</v>
      </c>
      <c r="E7" s="560">
        <f>C7+D7</f>
        <v>3447891121.0566001</v>
      </c>
      <c r="F7" s="716">
        <f>SUM(F8:F10)</f>
        <v>257835362.78999999</v>
      </c>
      <c r="G7" s="716">
        <f>SUM(G8:G10)</f>
        <v>3885845975.0055995</v>
      </c>
      <c r="H7" s="721">
        <f>F7+G7</f>
        <v>4143681337.7955995</v>
      </c>
    </row>
    <row r="8" spans="1:11">
      <c r="A8" s="579">
        <v>1.1000000000000001</v>
      </c>
      <c r="B8" s="561" t="s">
        <v>94</v>
      </c>
      <c r="C8" s="716">
        <v>265909673.77599999</v>
      </c>
      <c r="D8" s="716">
        <v>578793213.477</v>
      </c>
      <c r="E8" s="560">
        <f t="shared" ref="E8:E35" si="0">C8+D8</f>
        <v>844702887.25300002</v>
      </c>
      <c r="F8" s="716">
        <v>234625998.50999999</v>
      </c>
      <c r="G8" s="716">
        <v>464575414.45700002</v>
      </c>
      <c r="H8" s="721">
        <f t="shared" ref="H8:H36" si="1">F8+G8</f>
        <v>699201412.96700001</v>
      </c>
      <c r="J8" s="491"/>
    </row>
    <row r="9" spans="1:11">
      <c r="A9" s="579">
        <v>1.2</v>
      </c>
      <c r="B9" s="561" t="s">
        <v>95</v>
      </c>
      <c r="C9" s="716">
        <v>238645798.31999999</v>
      </c>
      <c r="D9" s="716">
        <v>1861167016.6200001</v>
      </c>
      <c r="E9" s="560">
        <f t="shared" si="0"/>
        <v>2099812814.9400001</v>
      </c>
      <c r="F9" s="716">
        <v>7736454.7600000007</v>
      </c>
      <c r="G9" s="716">
        <v>1726123879.3700001</v>
      </c>
      <c r="H9" s="721">
        <f t="shared" si="1"/>
        <v>1733860334.1300001</v>
      </c>
      <c r="J9" s="491"/>
    </row>
    <row r="10" spans="1:11">
      <c r="A10" s="579">
        <v>1.3</v>
      </c>
      <c r="B10" s="561" t="s">
        <v>96</v>
      </c>
      <c r="C10" s="716">
        <v>11794879.66</v>
      </c>
      <c r="D10" s="716">
        <v>491580539.20359999</v>
      </c>
      <c r="E10" s="560">
        <f t="shared" si="0"/>
        <v>503375418.86360002</v>
      </c>
      <c r="F10" s="716">
        <v>15472909.520000001</v>
      </c>
      <c r="G10" s="716">
        <v>1695146681.1785994</v>
      </c>
      <c r="H10" s="721">
        <f t="shared" si="1"/>
        <v>1710619590.6985993</v>
      </c>
      <c r="J10" s="491"/>
    </row>
    <row r="11" spans="1:11">
      <c r="A11" s="579">
        <v>2</v>
      </c>
      <c r="B11" s="562" t="s">
        <v>725</v>
      </c>
      <c r="C11" s="716">
        <f>C12</f>
        <v>21123818.879999999</v>
      </c>
      <c r="D11" s="716">
        <f>D12</f>
        <v>9707.820000000298</v>
      </c>
      <c r="E11" s="560">
        <f t="shared" si="0"/>
        <v>21133526.699999999</v>
      </c>
      <c r="F11" s="716">
        <f>F12</f>
        <v>120433876.27</v>
      </c>
      <c r="G11" s="716"/>
      <c r="H11" s="721">
        <f t="shared" si="1"/>
        <v>120433876.27</v>
      </c>
      <c r="J11" s="491"/>
    </row>
    <row r="12" spans="1:11">
      <c r="A12" s="579">
        <v>2.1</v>
      </c>
      <c r="B12" s="563" t="s">
        <v>726</v>
      </c>
      <c r="C12" s="716">
        <v>21123818.879999999</v>
      </c>
      <c r="D12" s="716">
        <v>9707.820000000298</v>
      </c>
      <c r="E12" s="560">
        <f t="shared" si="0"/>
        <v>21133526.699999999</v>
      </c>
      <c r="F12" s="716">
        <v>120433876.27</v>
      </c>
      <c r="G12" s="716">
        <v>0</v>
      </c>
      <c r="H12" s="721">
        <f t="shared" si="1"/>
        <v>120433876.27</v>
      </c>
      <c r="J12" s="491"/>
    </row>
    <row r="13" spans="1:11" ht="21">
      <c r="A13" s="579">
        <v>3</v>
      </c>
      <c r="B13" s="564" t="s">
        <v>727</v>
      </c>
      <c r="C13" s="716"/>
      <c r="D13" s="716"/>
      <c r="E13" s="560">
        <f t="shared" si="0"/>
        <v>0</v>
      </c>
      <c r="F13" s="716"/>
      <c r="G13" s="716"/>
      <c r="H13" s="721">
        <f t="shared" si="1"/>
        <v>0</v>
      </c>
      <c r="J13" s="491"/>
    </row>
    <row r="14" spans="1:11" ht="21">
      <c r="A14" s="579">
        <v>4</v>
      </c>
      <c r="B14" s="565" t="s">
        <v>728</v>
      </c>
      <c r="C14" s="716">
        <v>80572113.666666672</v>
      </c>
      <c r="D14" s="716"/>
      <c r="E14" s="560">
        <f t="shared" si="0"/>
        <v>80572113.666666672</v>
      </c>
      <c r="F14" s="716"/>
      <c r="G14" s="716"/>
      <c r="H14" s="721">
        <f t="shared" si="1"/>
        <v>0</v>
      </c>
      <c r="J14" s="491"/>
    </row>
    <row r="15" spans="1:11" ht="21">
      <c r="A15" s="579">
        <v>5</v>
      </c>
      <c r="B15" s="565" t="s">
        <v>729</v>
      </c>
      <c r="C15" s="717">
        <f>SUM(C16:C18)</f>
        <v>2474056278.2273993</v>
      </c>
      <c r="D15" s="717">
        <f>SUM(D16:D18)</f>
        <v>1779154051.7705998</v>
      </c>
      <c r="E15" s="566">
        <f t="shared" si="0"/>
        <v>4253210329.9979992</v>
      </c>
      <c r="F15" s="717">
        <f>SUM(F16:F18)</f>
        <v>2999137503.8399992</v>
      </c>
      <c r="G15" s="717">
        <f>SUM(G16:G18)</f>
        <v>143795080.26210046</v>
      </c>
      <c r="H15" s="722">
        <f t="shared" si="1"/>
        <v>3142932584.1020994</v>
      </c>
      <c r="J15" s="491"/>
    </row>
    <row r="16" spans="1:11">
      <c r="A16" s="579">
        <v>5.0999999999999996</v>
      </c>
      <c r="B16" s="567" t="s">
        <v>730</v>
      </c>
      <c r="C16" s="716">
        <v>108303.24</v>
      </c>
      <c r="D16" s="716">
        <v>5408759.4537000004</v>
      </c>
      <c r="E16" s="560">
        <f t="shared" si="0"/>
        <v>5517062.6937000006</v>
      </c>
      <c r="F16" s="716">
        <v>108303.24</v>
      </c>
      <c r="G16" s="716">
        <v>4388885.4496999998</v>
      </c>
      <c r="H16" s="721">
        <f t="shared" si="1"/>
        <v>4497188.6897</v>
      </c>
      <c r="J16" s="491"/>
    </row>
    <row r="17" spans="1:10">
      <c r="A17" s="579">
        <v>5.2</v>
      </c>
      <c r="B17" s="567" t="s">
        <v>564</v>
      </c>
      <c r="C17" s="716">
        <v>2473947974.9873996</v>
      </c>
      <c r="D17" s="716">
        <v>1773745292.3168998</v>
      </c>
      <c r="E17" s="560">
        <f t="shared" si="0"/>
        <v>4247693267.3042994</v>
      </c>
      <c r="F17" s="716">
        <v>2999029200.5999994</v>
      </c>
      <c r="G17" s="716">
        <v>139406194.81240046</v>
      </c>
      <c r="H17" s="721">
        <f t="shared" si="1"/>
        <v>3138435395.4123998</v>
      </c>
      <c r="J17" s="491"/>
    </row>
    <row r="18" spans="1:10">
      <c r="A18" s="579">
        <v>5.3</v>
      </c>
      <c r="B18" s="567" t="s">
        <v>731</v>
      </c>
      <c r="C18" s="716"/>
      <c r="D18" s="716"/>
      <c r="E18" s="560">
        <f t="shared" si="0"/>
        <v>0</v>
      </c>
      <c r="F18" s="716"/>
      <c r="G18" s="716"/>
      <c r="H18" s="721">
        <f t="shared" si="1"/>
        <v>0</v>
      </c>
      <c r="J18" s="491"/>
    </row>
    <row r="19" spans="1:10">
      <c r="A19" s="579">
        <v>6</v>
      </c>
      <c r="B19" s="564" t="s">
        <v>732</v>
      </c>
      <c r="C19" s="716">
        <f>SUM(C20:C21)</f>
        <v>9882002442.0078335</v>
      </c>
      <c r="D19" s="716">
        <f>SUM(D20:D21)</f>
        <v>7835214127.9344025</v>
      </c>
      <c r="E19" s="560">
        <f t="shared" si="0"/>
        <v>17717216569.942238</v>
      </c>
      <c r="F19" s="716">
        <f>SUM(F20:F21)</f>
        <v>7927509834.0043449</v>
      </c>
      <c r="G19" s="716">
        <f>SUM(G20:G21)</f>
        <v>7765840007.4929008</v>
      </c>
      <c r="H19" s="721">
        <f t="shared" si="1"/>
        <v>15693349841.497246</v>
      </c>
      <c r="J19" s="491"/>
    </row>
    <row r="20" spans="1:10">
      <c r="A20" s="579">
        <v>6.1</v>
      </c>
      <c r="B20" s="567" t="s">
        <v>564</v>
      </c>
      <c r="C20" s="716">
        <v>180826604.56999999</v>
      </c>
      <c r="D20" s="716">
        <v>39760966.971100003</v>
      </c>
      <c r="E20" s="560">
        <f t="shared" si="0"/>
        <v>220587571.5411</v>
      </c>
      <c r="F20" s="716">
        <v>0</v>
      </c>
      <c r="G20" s="716">
        <v>0</v>
      </c>
      <c r="H20" s="721">
        <f t="shared" si="1"/>
        <v>0</v>
      </c>
      <c r="J20" s="491"/>
    </row>
    <row r="21" spans="1:10">
      <c r="A21" s="579">
        <v>6.2</v>
      </c>
      <c r="B21" s="567" t="s">
        <v>731</v>
      </c>
      <c r="C21" s="716">
        <v>9701175837.4378338</v>
      </c>
      <c r="D21" s="716">
        <v>7795453160.9633026</v>
      </c>
      <c r="E21" s="560">
        <f t="shared" si="0"/>
        <v>17496628998.401138</v>
      </c>
      <c r="F21" s="716">
        <v>7927509834.0043449</v>
      </c>
      <c r="G21" s="716">
        <v>7765840007.4929008</v>
      </c>
      <c r="H21" s="721">
        <f t="shared" si="1"/>
        <v>15693349841.497246</v>
      </c>
      <c r="J21" s="491"/>
    </row>
    <row r="22" spans="1:10">
      <c r="A22" s="579">
        <v>7</v>
      </c>
      <c r="B22" s="568" t="s">
        <v>733</v>
      </c>
      <c r="C22" s="716">
        <v>157029813.86999997</v>
      </c>
      <c r="D22" s="716">
        <v>0</v>
      </c>
      <c r="E22" s="560">
        <f t="shared" si="0"/>
        <v>157029813.86999997</v>
      </c>
      <c r="F22" s="716">
        <v>160118886.21000001</v>
      </c>
      <c r="G22" s="716">
        <v>0</v>
      </c>
      <c r="H22" s="721">
        <f t="shared" si="1"/>
        <v>160118886.21000001</v>
      </c>
      <c r="J22" s="491"/>
    </row>
    <row r="23" spans="1:10" ht="21">
      <c r="A23" s="579">
        <v>8</v>
      </c>
      <c r="B23" s="568" t="s">
        <v>734</v>
      </c>
      <c r="C23" s="716">
        <v>30407303.619224988</v>
      </c>
      <c r="D23" s="716">
        <v>0</v>
      </c>
      <c r="E23" s="560">
        <f t="shared" si="0"/>
        <v>30407303.619224988</v>
      </c>
      <c r="F23" s="716">
        <v>43136648.34999992</v>
      </c>
      <c r="G23" s="716">
        <v>0</v>
      </c>
      <c r="H23" s="721">
        <f t="shared" si="1"/>
        <v>43136648.34999992</v>
      </c>
      <c r="J23" s="491"/>
    </row>
    <row r="24" spans="1:10">
      <c r="A24" s="579">
        <v>9</v>
      </c>
      <c r="B24" s="565" t="s">
        <v>735</v>
      </c>
      <c r="C24" s="716">
        <f>SUM(C25:C26)</f>
        <v>606618823.27000022</v>
      </c>
      <c r="D24" s="716">
        <f>SUM(D25:D26)</f>
        <v>0</v>
      </c>
      <c r="E24" s="560">
        <f t="shared" si="0"/>
        <v>606618823.27000022</v>
      </c>
      <c r="F24" s="716">
        <f>SUM(F25:F26)</f>
        <v>605764865.62000012</v>
      </c>
      <c r="G24" s="716">
        <f>SUM(G25:G26)</f>
        <v>0</v>
      </c>
      <c r="H24" s="721">
        <f t="shared" si="1"/>
        <v>605764865.62000012</v>
      </c>
      <c r="J24" s="491"/>
    </row>
    <row r="25" spans="1:10">
      <c r="A25" s="579">
        <v>9.1</v>
      </c>
      <c r="B25" s="569" t="s">
        <v>736</v>
      </c>
      <c r="C25" s="716">
        <v>466692434.13999999</v>
      </c>
      <c r="D25" s="716">
        <v>0</v>
      </c>
      <c r="E25" s="560">
        <f t="shared" si="0"/>
        <v>466692434.13999999</v>
      </c>
      <c r="F25" s="716">
        <v>418679560.35999995</v>
      </c>
      <c r="G25" s="716">
        <v>0</v>
      </c>
      <c r="H25" s="721">
        <f t="shared" si="1"/>
        <v>418679560.35999995</v>
      </c>
      <c r="J25" s="491"/>
    </row>
    <row r="26" spans="1:10">
      <c r="A26" s="579">
        <v>9.1999999999999993</v>
      </c>
      <c r="B26" s="569" t="s">
        <v>737</v>
      </c>
      <c r="C26" s="716">
        <v>139926389.1300002</v>
      </c>
      <c r="D26" s="716">
        <v>0</v>
      </c>
      <c r="E26" s="560">
        <f t="shared" si="0"/>
        <v>139926389.1300002</v>
      </c>
      <c r="F26" s="716">
        <v>187085305.26000011</v>
      </c>
      <c r="G26" s="716">
        <v>0</v>
      </c>
      <c r="H26" s="721">
        <f t="shared" si="1"/>
        <v>187085305.26000011</v>
      </c>
      <c r="J26" s="491"/>
    </row>
    <row r="27" spans="1:10">
      <c r="A27" s="579">
        <v>10</v>
      </c>
      <c r="B27" s="565" t="s">
        <v>35</v>
      </c>
      <c r="C27" s="716">
        <f>SUM(C28:C29)</f>
        <v>162816614.84999999</v>
      </c>
      <c r="D27" s="716">
        <f>SUM(D28:D29)</f>
        <v>0</v>
      </c>
      <c r="E27" s="560">
        <f t="shared" si="0"/>
        <v>162816614.84999999</v>
      </c>
      <c r="F27" s="716">
        <f>SUM(F28:F29)</f>
        <v>151084289.93000001</v>
      </c>
      <c r="G27" s="716">
        <f>SUM(G28:G29)</f>
        <v>0</v>
      </c>
      <c r="H27" s="721">
        <f t="shared" si="1"/>
        <v>151084289.93000001</v>
      </c>
      <c r="J27" s="491"/>
    </row>
    <row r="28" spans="1:10">
      <c r="A28" s="579">
        <v>10.1</v>
      </c>
      <c r="B28" s="569" t="s">
        <v>738</v>
      </c>
      <c r="C28" s="716">
        <v>33331342.84</v>
      </c>
      <c r="D28" s="716">
        <v>0</v>
      </c>
      <c r="E28" s="560">
        <f t="shared" si="0"/>
        <v>33331342.84</v>
      </c>
      <c r="F28" s="716">
        <v>33331342.84</v>
      </c>
      <c r="G28" s="716">
        <v>0</v>
      </c>
      <c r="H28" s="721">
        <f t="shared" si="1"/>
        <v>33331342.84</v>
      </c>
      <c r="J28" s="491"/>
    </row>
    <row r="29" spans="1:10">
      <c r="A29" s="579">
        <v>10.199999999999999</v>
      </c>
      <c r="B29" s="569" t="s">
        <v>739</v>
      </c>
      <c r="C29" s="716">
        <v>129485272.00999999</v>
      </c>
      <c r="D29" s="716">
        <v>0</v>
      </c>
      <c r="E29" s="560">
        <f t="shared" si="0"/>
        <v>129485272.00999999</v>
      </c>
      <c r="F29" s="716">
        <v>117752947.09</v>
      </c>
      <c r="G29" s="716">
        <v>0</v>
      </c>
      <c r="H29" s="721">
        <f t="shared" si="1"/>
        <v>117752947.09</v>
      </c>
      <c r="J29" s="491"/>
    </row>
    <row r="30" spans="1:10">
      <c r="A30" s="579">
        <v>11</v>
      </c>
      <c r="B30" s="565" t="s">
        <v>740</v>
      </c>
      <c r="C30" s="716"/>
      <c r="D30" s="716">
        <f>SUM(D31:D32)</f>
        <v>0</v>
      </c>
      <c r="E30" s="560">
        <f t="shared" si="0"/>
        <v>0</v>
      </c>
      <c r="F30" s="716">
        <f>SUM(F31:F32)</f>
        <v>0</v>
      </c>
      <c r="G30" s="716">
        <f>SUM(G31:G32)</f>
        <v>0</v>
      </c>
      <c r="H30" s="721">
        <f t="shared" si="1"/>
        <v>0</v>
      </c>
      <c r="J30" s="491"/>
    </row>
    <row r="31" spans="1:10">
      <c r="A31" s="579">
        <v>11.1</v>
      </c>
      <c r="B31" s="569" t="s">
        <v>998</v>
      </c>
      <c r="C31" s="716"/>
      <c r="D31" s="716">
        <v>0</v>
      </c>
      <c r="E31" s="560">
        <f t="shared" si="0"/>
        <v>0</v>
      </c>
      <c r="F31" s="716">
        <v>0</v>
      </c>
      <c r="G31" s="716">
        <v>0</v>
      </c>
      <c r="H31" s="721">
        <f t="shared" si="1"/>
        <v>0</v>
      </c>
      <c r="J31" s="491"/>
    </row>
    <row r="32" spans="1:10">
      <c r="A32" s="579">
        <v>11.2</v>
      </c>
      <c r="B32" s="569" t="s">
        <v>742</v>
      </c>
      <c r="C32" s="716"/>
      <c r="D32" s="716">
        <v>0</v>
      </c>
      <c r="E32" s="560">
        <f t="shared" si="0"/>
        <v>0</v>
      </c>
      <c r="F32" s="716">
        <v>0</v>
      </c>
      <c r="G32" s="716">
        <v>0</v>
      </c>
      <c r="H32" s="721">
        <f t="shared" si="1"/>
        <v>0</v>
      </c>
      <c r="J32" s="491"/>
    </row>
    <row r="33" spans="1:10">
      <c r="A33" s="579">
        <v>13</v>
      </c>
      <c r="B33" s="565" t="s">
        <v>97</v>
      </c>
      <c r="C33" s="716">
        <v>310054893.86296624</v>
      </c>
      <c r="D33" s="716">
        <v>109073359.59489965</v>
      </c>
      <c r="E33" s="560">
        <f t="shared" si="0"/>
        <v>419128253.45786589</v>
      </c>
      <c r="F33" s="716">
        <v>196246397.6739693</v>
      </c>
      <c r="G33" s="716">
        <v>71066773.740100056</v>
      </c>
      <c r="H33" s="721">
        <f t="shared" si="1"/>
        <v>267313171.41406935</v>
      </c>
      <c r="J33" s="491"/>
    </row>
    <row r="34" spans="1:10">
      <c r="A34" s="579">
        <v>13.1</v>
      </c>
      <c r="B34" s="570" t="s">
        <v>743</v>
      </c>
      <c r="C34" s="716">
        <v>141856351.75</v>
      </c>
      <c r="D34" s="716">
        <v>0</v>
      </c>
      <c r="E34" s="560">
        <f t="shared" si="0"/>
        <v>141856351.75</v>
      </c>
      <c r="F34" s="716">
        <v>51521625.840000004</v>
      </c>
      <c r="G34" s="716">
        <v>0</v>
      </c>
      <c r="H34" s="721">
        <f t="shared" si="1"/>
        <v>51521625.840000004</v>
      </c>
      <c r="J34" s="491"/>
    </row>
    <row r="35" spans="1:10">
      <c r="A35" s="579">
        <v>13.2</v>
      </c>
      <c r="B35" s="570" t="s">
        <v>744</v>
      </c>
      <c r="C35" s="716">
        <v>0</v>
      </c>
      <c r="D35" s="716">
        <v>0</v>
      </c>
      <c r="E35" s="560">
        <f t="shared" si="0"/>
        <v>0</v>
      </c>
      <c r="F35" s="716">
        <v>0</v>
      </c>
      <c r="G35" s="716">
        <v>0</v>
      </c>
      <c r="H35" s="721">
        <f t="shared" si="1"/>
        <v>0</v>
      </c>
      <c r="J35" s="491"/>
    </row>
    <row r="36" spans="1:10">
      <c r="A36" s="579">
        <v>14</v>
      </c>
      <c r="B36" s="571" t="s">
        <v>745</v>
      </c>
      <c r="C36" s="716">
        <f>SUM(C7,C11,C13,C14,C15,C19,C22,C23,C24,C27,C30,C33)</f>
        <v>14241032454.010092</v>
      </c>
      <c r="D36" s="716">
        <f>SUM(D7,D11,D13,D14,D15,D19,D22,D23,D24,D27,D30,D33)</f>
        <v>12654992016.420504</v>
      </c>
      <c r="E36" s="560">
        <f>C36+D36</f>
        <v>26896024470.430595</v>
      </c>
      <c r="F36" s="716">
        <f>SUM(F7,F11,F13,F14,F15,F19,F22,F23,F24,F27,F30,F33)</f>
        <v>12461267664.688314</v>
      </c>
      <c r="G36" s="716">
        <f>SUM(G7,G11,G13,G14,G15,G19,G22,G23,G24,G27,G30,G33)</f>
        <v>11866547836.500702</v>
      </c>
      <c r="H36" s="721">
        <f t="shared" si="1"/>
        <v>24327815501.189018</v>
      </c>
      <c r="I36" s="491"/>
      <c r="J36" s="491"/>
    </row>
    <row r="37" spans="1:10">
      <c r="A37" s="579"/>
      <c r="B37" s="572" t="s">
        <v>102</v>
      </c>
      <c r="C37" s="789"/>
      <c r="D37" s="789"/>
      <c r="E37" s="789"/>
      <c r="F37" s="789"/>
      <c r="G37" s="789"/>
      <c r="H37" s="790"/>
      <c r="J37" s="491"/>
    </row>
    <row r="38" spans="1:10">
      <c r="A38" s="579">
        <v>15</v>
      </c>
      <c r="B38" s="568" t="s">
        <v>746</v>
      </c>
      <c r="C38" s="716">
        <f>C39</f>
        <v>16252212.399999999</v>
      </c>
      <c r="D38" s="716">
        <f>D39</f>
        <v>130885</v>
      </c>
      <c r="E38" s="560">
        <f>C38+D38</f>
        <v>16383097.399999999</v>
      </c>
      <c r="F38" s="716">
        <f>F39</f>
        <v>4813945.18</v>
      </c>
      <c r="G38" s="716">
        <f>G39</f>
        <v>72431697</v>
      </c>
      <c r="H38" s="721">
        <f>F38+G38</f>
        <v>77245642.180000007</v>
      </c>
      <c r="J38" s="491"/>
    </row>
    <row r="39" spans="1:10">
      <c r="A39" s="579">
        <v>15.1</v>
      </c>
      <c r="B39" s="563" t="s">
        <v>726</v>
      </c>
      <c r="C39" s="716">
        <v>16252212.399999999</v>
      </c>
      <c r="D39" s="716">
        <v>130885</v>
      </c>
      <c r="E39" s="560">
        <f t="shared" ref="E39:E52" si="2">C39+D39</f>
        <v>16383097.399999999</v>
      </c>
      <c r="F39" s="716">
        <v>4813945.18</v>
      </c>
      <c r="G39" s="716">
        <v>72431697</v>
      </c>
      <c r="H39" s="721">
        <f t="shared" ref="H39:H53" si="3">F39+G39</f>
        <v>77245642.180000007</v>
      </c>
      <c r="J39" s="491"/>
    </row>
    <row r="40" spans="1:10" ht="21">
      <c r="A40" s="579">
        <v>16</v>
      </c>
      <c r="B40" s="568" t="s">
        <v>747</v>
      </c>
      <c r="C40" s="716"/>
      <c r="D40" s="716"/>
      <c r="E40" s="560">
        <f t="shared" si="2"/>
        <v>0</v>
      </c>
      <c r="F40" s="716"/>
      <c r="G40" s="716"/>
      <c r="H40" s="721">
        <f t="shared" si="3"/>
        <v>0</v>
      </c>
      <c r="J40" s="491"/>
    </row>
    <row r="41" spans="1:10" ht="21">
      <c r="A41" s="579">
        <v>17</v>
      </c>
      <c r="B41" s="568" t="s">
        <v>748</v>
      </c>
      <c r="C41" s="716">
        <f>SUM(C42:C45)</f>
        <v>10357529797.273582</v>
      </c>
      <c r="D41" s="716">
        <f>SUM(D42:D45)</f>
        <v>11383363638.472599</v>
      </c>
      <c r="E41" s="560">
        <f t="shared" si="2"/>
        <v>21740893435.746181</v>
      </c>
      <c r="F41" s="723">
        <f>SUM(F42:F45)</f>
        <v>9154183567.4760132</v>
      </c>
      <c r="G41" s="723">
        <f>SUM(G42:G45)</f>
        <v>10560044865.0856</v>
      </c>
      <c r="H41" s="721">
        <f t="shared" si="3"/>
        <v>19714228432.561615</v>
      </c>
      <c r="J41" s="491"/>
    </row>
    <row r="42" spans="1:10">
      <c r="A42" s="579">
        <v>17.100000000000001</v>
      </c>
      <c r="B42" s="577" t="s">
        <v>749</v>
      </c>
      <c r="C42" s="723">
        <v>9194176496.8935833</v>
      </c>
      <c r="D42" s="723">
        <v>10440726623.052599</v>
      </c>
      <c r="E42" s="560">
        <f t="shared" si="2"/>
        <v>19634903119.946182</v>
      </c>
      <c r="F42" s="723">
        <v>6036325901.3360128</v>
      </c>
      <c r="G42" s="723">
        <v>8983763791.8656006</v>
      </c>
      <c r="H42" s="721">
        <f t="shared" si="3"/>
        <v>15020089693.201614</v>
      </c>
      <c r="J42" s="491"/>
    </row>
    <row r="43" spans="1:10">
      <c r="A43" s="579">
        <v>17.2</v>
      </c>
      <c r="B43" s="561" t="s">
        <v>98</v>
      </c>
      <c r="C43" s="723">
        <v>1159483947.6399999</v>
      </c>
      <c r="D43" s="723">
        <v>502929762.33000016</v>
      </c>
      <c r="E43" s="560">
        <f t="shared" si="2"/>
        <v>1662413709.97</v>
      </c>
      <c r="F43" s="723">
        <v>3113872423.1599998</v>
      </c>
      <c r="G43" s="723">
        <v>533574790.46000004</v>
      </c>
      <c r="H43" s="721">
        <f t="shared" si="3"/>
        <v>3647447213.6199999</v>
      </c>
      <c r="J43" s="491"/>
    </row>
    <row r="44" spans="1:10">
      <c r="A44" s="579">
        <v>17.3</v>
      </c>
      <c r="B44" s="577" t="s">
        <v>750</v>
      </c>
      <c r="C44" s="723">
        <v>0</v>
      </c>
      <c r="D44" s="723">
        <v>335503670.50999999</v>
      </c>
      <c r="E44" s="560">
        <f t="shared" si="2"/>
        <v>335503670.50999999</v>
      </c>
      <c r="F44" s="723">
        <v>0</v>
      </c>
      <c r="G44" s="723">
        <v>959284374.10000002</v>
      </c>
      <c r="H44" s="721">
        <f t="shared" si="3"/>
        <v>959284374.10000002</v>
      </c>
      <c r="J44" s="491"/>
    </row>
    <row r="45" spans="1:10">
      <c r="A45" s="579">
        <v>17.399999999999999</v>
      </c>
      <c r="B45" s="577" t="s">
        <v>751</v>
      </c>
      <c r="C45" s="723">
        <v>3869352.74</v>
      </c>
      <c r="D45" s="723">
        <v>104203582.58000001</v>
      </c>
      <c r="E45" s="560">
        <f t="shared" si="2"/>
        <v>108072935.32000001</v>
      </c>
      <c r="F45" s="723">
        <v>3985242.98</v>
      </c>
      <c r="G45" s="723">
        <v>83421908.659999996</v>
      </c>
      <c r="H45" s="721">
        <f t="shared" si="3"/>
        <v>87407151.640000001</v>
      </c>
      <c r="J45" s="491"/>
    </row>
    <row r="46" spans="1:10">
      <c r="A46" s="579">
        <v>18</v>
      </c>
      <c r="B46" s="574" t="s">
        <v>752</v>
      </c>
      <c r="C46" s="716">
        <v>1141524.6399999999</v>
      </c>
      <c r="D46" s="716">
        <v>4378950.409</v>
      </c>
      <c r="E46" s="560">
        <f t="shared" si="2"/>
        <v>5520475.0489999996</v>
      </c>
      <c r="F46" s="723">
        <v>1104935.77</v>
      </c>
      <c r="G46" s="723">
        <v>2914433.3846999998</v>
      </c>
      <c r="H46" s="721">
        <f t="shared" si="3"/>
        <v>4019369.1546999998</v>
      </c>
      <c r="J46" s="491"/>
    </row>
    <row r="47" spans="1:10">
      <c r="A47" s="579">
        <v>19</v>
      </c>
      <c r="B47" s="574" t="s">
        <v>753</v>
      </c>
      <c r="C47" s="718">
        <f>SUM(C48:C49)</f>
        <v>155626760.94222438</v>
      </c>
      <c r="D47" s="716">
        <f>SUM(D48:D49)</f>
        <v>0</v>
      </c>
      <c r="E47" s="560">
        <f t="shared" si="2"/>
        <v>155626760.94222438</v>
      </c>
      <c r="F47" s="718">
        <f>SUM(F48:F49)</f>
        <v>46712195.359999999</v>
      </c>
      <c r="G47" s="716">
        <f>SUM(G48:G49)</f>
        <v>0</v>
      </c>
      <c r="H47" s="721">
        <f t="shared" si="3"/>
        <v>46712195.359999999</v>
      </c>
      <c r="J47" s="491"/>
    </row>
    <row r="48" spans="1:10">
      <c r="A48" s="579">
        <v>19.100000000000001</v>
      </c>
      <c r="B48" s="575" t="s">
        <v>754</v>
      </c>
      <c r="C48" s="716">
        <v>135393514.77610567</v>
      </c>
      <c r="D48" s="716">
        <v>0</v>
      </c>
      <c r="E48" s="560">
        <f t="shared" si="2"/>
        <v>135393514.77610567</v>
      </c>
      <c r="F48" s="716">
        <v>23980248.530000001</v>
      </c>
      <c r="G48" s="716">
        <v>0</v>
      </c>
      <c r="H48" s="721">
        <f t="shared" si="3"/>
        <v>23980248.530000001</v>
      </c>
      <c r="J48" s="491"/>
    </row>
    <row r="49" spans="1:10">
      <c r="A49" s="579">
        <v>19.2</v>
      </c>
      <c r="B49" s="575" t="s">
        <v>755</v>
      </c>
      <c r="C49" s="716">
        <v>20233246.166118711</v>
      </c>
      <c r="D49" s="716">
        <v>0</v>
      </c>
      <c r="E49" s="560">
        <f t="shared" si="2"/>
        <v>20233246.166118711</v>
      </c>
      <c r="F49" s="716">
        <v>22731946.829999998</v>
      </c>
      <c r="G49" s="716">
        <v>0</v>
      </c>
      <c r="H49" s="721">
        <f t="shared" si="3"/>
        <v>22731946.829999998</v>
      </c>
      <c r="J49" s="491"/>
    </row>
    <row r="50" spans="1:10">
      <c r="A50" s="579">
        <v>20</v>
      </c>
      <c r="B50" s="571" t="s">
        <v>99</v>
      </c>
      <c r="C50" s="716">
        <v>0</v>
      </c>
      <c r="D50" s="716">
        <v>781464193.60000002</v>
      </c>
      <c r="E50" s="560">
        <f t="shared" si="2"/>
        <v>781464193.60000002</v>
      </c>
      <c r="F50" s="716">
        <v>0</v>
      </c>
      <c r="G50" s="716">
        <v>867547656.88050008</v>
      </c>
      <c r="H50" s="721">
        <f t="shared" si="3"/>
        <v>867547656.88050008</v>
      </c>
      <c r="J50" s="491"/>
    </row>
    <row r="51" spans="1:10">
      <c r="A51" s="579">
        <v>21</v>
      </c>
      <c r="B51" s="562" t="s">
        <v>87</v>
      </c>
      <c r="C51" s="716">
        <v>161881777.69600001</v>
      </c>
      <c r="D51" s="716">
        <v>55540925.997799993</v>
      </c>
      <c r="E51" s="560">
        <f t="shared" si="2"/>
        <v>217422703.6938</v>
      </c>
      <c r="F51" s="716">
        <v>258907456.24837205</v>
      </c>
      <c r="G51" s="716">
        <v>47979428.796299964</v>
      </c>
      <c r="H51" s="721">
        <f t="shared" si="3"/>
        <v>306886885.04467201</v>
      </c>
      <c r="J51" s="491"/>
    </row>
    <row r="52" spans="1:10">
      <c r="A52" s="579">
        <v>21.1</v>
      </c>
      <c r="B52" s="561" t="s">
        <v>756</v>
      </c>
      <c r="C52" s="716">
        <v>3622279.43</v>
      </c>
      <c r="D52" s="716"/>
      <c r="E52" s="560">
        <f t="shared" si="2"/>
        <v>3622279.43</v>
      </c>
      <c r="F52" s="716">
        <v>146755380.27000001</v>
      </c>
      <c r="G52" s="716"/>
      <c r="H52" s="721">
        <f t="shared" si="3"/>
        <v>146755380.27000001</v>
      </c>
      <c r="J52" s="491"/>
    </row>
    <row r="53" spans="1:10">
      <c r="A53" s="579">
        <v>22</v>
      </c>
      <c r="B53" s="571" t="s">
        <v>757</v>
      </c>
      <c r="C53" s="716">
        <f>SUM(C38,C40,C41,C46,C47,C50,C51)</f>
        <v>10692432072.951805</v>
      </c>
      <c r="D53" s="716">
        <f>SUM(D38,D40,D41,D46,D47,D50,D51)</f>
        <v>12224878593.479401</v>
      </c>
      <c r="E53" s="560">
        <f>C53+D53</f>
        <v>22917310666.431206</v>
      </c>
      <c r="F53" s="716">
        <f>SUM(F38,F40,F41,F46,F47,F50,F51)</f>
        <v>9465722100.0343857</v>
      </c>
      <c r="G53" s="716">
        <f>SUM(G38,G40,G41,G46,G47,G50,G51)</f>
        <v>11550918081.147102</v>
      </c>
      <c r="H53" s="721">
        <f t="shared" si="3"/>
        <v>21016640181.181488</v>
      </c>
      <c r="I53" s="491"/>
      <c r="J53" s="491"/>
    </row>
    <row r="54" spans="1:10">
      <c r="A54" s="579"/>
      <c r="B54" s="572" t="s">
        <v>758</v>
      </c>
      <c r="C54" s="789"/>
      <c r="D54" s="789"/>
      <c r="E54" s="789"/>
      <c r="F54" s="789"/>
      <c r="G54" s="789"/>
      <c r="H54" s="790"/>
      <c r="J54" s="491"/>
    </row>
    <row r="55" spans="1:10">
      <c r="A55" s="579">
        <v>23</v>
      </c>
      <c r="B55" s="571" t="s">
        <v>103</v>
      </c>
      <c r="C55" s="716">
        <v>27993660.18</v>
      </c>
      <c r="D55" s="716"/>
      <c r="E55" s="560">
        <f>C55+D55</f>
        <v>27993660.18</v>
      </c>
      <c r="F55" s="716">
        <v>27993660.18</v>
      </c>
      <c r="G55" s="716"/>
      <c r="H55" s="721">
        <f>F55+G55</f>
        <v>27993660.18</v>
      </c>
      <c r="J55" s="491"/>
    </row>
    <row r="56" spans="1:10">
      <c r="A56" s="579">
        <v>24</v>
      </c>
      <c r="B56" s="571" t="s">
        <v>759</v>
      </c>
      <c r="C56" s="716"/>
      <c r="D56" s="716"/>
      <c r="E56" s="560">
        <f t="shared" ref="E56:E69" si="4">C56+D56</f>
        <v>0</v>
      </c>
      <c r="F56" s="716"/>
      <c r="G56" s="716"/>
      <c r="H56" s="721">
        <f t="shared" ref="H56:H69" si="5">F56+G56</f>
        <v>0</v>
      </c>
      <c r="J56" s="491"/>
    </row>
    <row r="57" spans="1:10">
      <c r="A57" s="579">
        <v>25</v>
      </c>
      <c r="B57" s="576" t="s">
        <v>100</v>
      </c>
      <c r="C57" s="716">
        <v>423163731.56</v>
      </c>
      <c r="D57" s="716"/>
      <c r="E57" s="560">
        <f t="shared" si="4"/>
        <v>423163731.56</v>
      </c>
      <c r="F57" s="716">
        <v>373676638.08999997</v>
      </c>
      <c r="G57" s="716"/>
      <c r="H57" s="721">
        <f t="shared" si="5"/>
        <v>373676638.08999997</v>
      </c>
      <c r="J57" s="491"/>
    </row>
    <row r="58" spans="1:10">
      <c r="A58" s="579">
        <v>26</v>
      </c>
      <c r="B58" s="574" t="s">
        <v>760</v>
      </c>
      <c r="C58" s="716">
        <v>-10173</v>
      </c>
      <c r="D58" s="716"/>
      <c r="E58" s="560">
        <f t="shared" si="4"/>
        <v>-10173</v>
      </c>
      <c r="F58" s="716">
        <v>-10173</v>
      </c>
      <c r="G58" s="716"/>
      <c r="H58" s="721">
        <f t="shared" si="5"/>
        <v>-10173</v>
      </c>
      <c r="J58" s="491"/>
    </row>
    <row r="59" spans="1:10" ht="21">
      <c r="A59" s="579">
        <v>27</v>
      </c>
      <c r="B59" s="574" t="s">
        <v>761</v>
      </c>
      <c r="C59" s="716">
        <f>SUM(C60:C61)</f>
        <v>0</v>
      </c>
      <c r="D59" s="716">
        <f>SUM(D60:D61)</f>
        <v>0</v>
      </c>
      <c r="E59" s="560">
        <f t="shared" si="4"/>
        <v>0</v>
      </c>
      <c r="F59" s="716">
        <f>SUM(F60:F61)</f>
        <v>0</v>
      </c>
      <c r="G59" s="716">
        <f>SUM(G60:G61)</f>
        <v>0</v>
      </c>
      <c r="H59" s="721">
        <f t="shared" si="5"/>
        <v>0</v>
      </c>
      <c r="J59" s="491"/>
    </row>
    <row r="60" spans="1:10">
      <c r="A60" s="579">
        <v>27.1</v>
      </c>
      <c r="B60" s="577" t="s">
        <v>762</v>
      </c>
      <c r="C60" s="716"/>
      <c r="D60" s="716"/>
      <c r="E60" s="560">
        <f t="shared" si="4"/>
        <v>0</v>
      </c>
      <c r="F60" s="716"/>
      <c r="G60" s="716"/>
      <c r="H60" s="721">
        <f t="shared" si="5"/>
        <v>0</v>
      </c>
      <c r="J60" s="491"/>
    </row>
    <row r="61" spans="1:10">
      <c r="A61" s="579">
        <v>27.2</v>
      </c>
      <c r="B61" s="573" t="s">
        <v>763</v>
      </c>
      <c r="C61" s="716"/>
      <c r="D61" s="716"/>
      <c r="E61" s="560">
        <f t="shared" si="4"/>
        <v>0</v>
      </c>
      <c r="F61" s="716"/>
      <c r="G61" s="716"/>
      <c r="H61" s="721">
        <f t="shared" si="5"/>
        <v>0</v>
      </c>
      <c r="J61" s="491"/>
    </row>
    <row r="62" spans="1:10">
      <c r="A62" s="579">
        <v>28</v>
      </c>
      <c r="B62" s="562" t="s">
        <v>764</v>
      </c>
      <c r="C62" s="716">
        <v>-263763035.30372295</v>
      </c>
      <c r="D62" s="716"/>
      <c r="E62" s="560">
        <f t="shared" si="4"/>
        <v>-263763035.30372295</v>
      </c>
      <c r="F62" s="716">
        <v>-202136047.64372295</v>
      </c>
      <c r="G62" s="716"/>
      <c r="H62" s="721">
        <f t="shared" si="5"/>
        <v>-202136047.64372295</v>
      </c>
      <c r="J62" s="491"/>
    </row>
    <row r="63" spans="1:10">
      <c r="A63" s="579">
        <v>29</v>
      </c>
      <c r="B63" s="574" t="s">
        <v>765</v>
      </c>
      <c r="C63" s="716">
        <f>SUM(C64:C66)</f>
        <v>36382468.386899993</v>
      </c>
      <c r="D63" s="716">
        <f>SUM(D64:D66)</f>
        <v>0</v>
      </c>
      <c r="E63" s="560">
        <f t="shared" si="4"/>
        <v>36382468.386899993</v>
      </c>
      <c r="F63" s="716">
        <f>SUM(F64:F66)</f>
        <v>-27288437.449999996</v>
      </c>
      <c r="G63" s="716">
        <f>SUM(G64:G66)</f>
        <v>0</v>
      </c>
      <c r="H63" s="721">
        <f t="shared" si="5"/>
        <v>-27288437.449999996</v>
      </c>
      <c r="J63" s="491"/>
    </row>
    <row r="64" spans="1:10">
      <c r="A64" s="579">
        <v>29.1</v>
      </c>
      <c r="B64" s="567" t="s">
        <v>766</v>
      </c>
      <c r="C64" s="716">
        <v>2358668.17</v>
      </c>
      <c r="D64" s="716"/>
      <c r="E64" s="560">
        <f t="shared" si="4"/>
        <v>2358668.17</v>
      </c>
      <c r="F64" s="716">
        <v>2358668.17</v>
      </c>
      <c r="G64" s="716"/>
      <c r="H64" s="721">
        <f t="shared" si="5"/>
        <v>2358668.17</v>
      </c>
      <c r="J64" s="491"/>
    </row>
    <row r="65" spans="1:10" ht="31.5">
      <c r="A65" s="579">
        <v>29.2</v>
      </c>
      <c r="B65" s="577" t="s">
        <v>767</v>
      </c>
      <c r="C65" s="716">
        <v>1129029</v>
      </c>
      <c r="D65" s="716"/>
      <c r="E65" s="560">
        <f t="shared" si="4"/>
        <v>1129029</v>
      </c>
      <c r="F65" s="716">
        <v>-199448.51</v>
      </c>
      <c r="G65" s="716"/>
      <c r="H65" s="721">
        <f t="shared" si="5"/>
        <v>-199448.51</v>
      </c>
      <c r="J65" s="491"/>
    </row>
    <row r="66" spans="1:10" ht="21">
      <c r="A66" s="579">
        <v>29.3</v>
      </c>
      <c r="B66" s="569" t="s">
        <v>768</v>
      </c>
      <c r="C66" s="716">
        <v>32894771.216899995</v>
      </c>
      <c r="D66" s="716"/>
      <c r="E66" s="560">
        <f t="shared" si="4"/>
        <v>32894771.216899995</v>
      </c>
      <c r="F66" s="716">
        <v>-29447657.109999996</v>
      </c>
      <c r="G66" s="716"/>
      <c r="H66" s="721">
        <f t="shared" si="5"/>
        <v>-29447657.109999996</v>
      </c>
      <c r="J66" s="491"/>
    </row>
    <row r="67" spans="1:10">
      <c r="A67" s="579">
        <v>30</v>
      </c>
      <c r="B67" s="565" t="s">
        <v>101</v>
      </c>
      <c r="C67" s="716">
        <v>3754947152.1762114</v>
      </c>
      <c r="D67" s="716"/>
      <c r="E67" s="560">
        <f t="shared" si="4"/>
        <v>3754947152.1762114</v>
      </c>
      <c r="F67" s="716">
        <v>3138939679.8312531</v>
      </c>
      <c r="G67" s="716"/>
      <c r="H67" s="721">
        <f t="shared" si="5"/>
        <v>3138939679.8312531</v>
      </c>
      <c r="J67" s="491"/>
    </row>
    <row r="68" spans="1:10">
      <c r="A68" s="579">
        <v>31</v>
      </c>
      <c r="B68" s="578" t="s">
        <v>769</v>
      </c>
      <c r="C68" s="716">
        <f>SUM(C55,C56,C57,C58,C59,C62,C63,C67)</f>
        <v>3978713803.9993882</v>
      </c>
      <c r="D68" s="716">
        <f>SUM(D55,D56,D57,D58,D59,D62,D63,D67)</f>
        <v>0</v>
      </c>
      <c r="E68" s="560">
        <f t="shared" si="4"/>
        <v>3978713803.9993882</v>
      </c>
      <c r="F68" s="716">
        <f>SUM(F55,F56,F57,F58,F59,F62,F63,F67)</f>
        <v>3311175320.0075302</v>
      </c>
      <c r="G68" s="716">
        <f>SUM(G55,G56,G57,G58,G59,G62,G63,G67)</f>
        <v>0</v>
      </c>
      <c r="H68" s="721">
        <f t="shared" si="5"/>
        <v>3311175320.0075302</v>
      </c>
      <c r="I68" s="491"/>
      <c r="J68" s="491"/>
    </row>
    <row r="69" spans="1:10" ht="15.75" thickBot="1">
      <c r="A69" s="580">
        <v>32</v>
      </c>
      <c r="B69" s="581" t="s">
        <v>770</v>
      </c>
      <c r="C69" s="719">
        <f>SUM(C53,C68)</f>
        <v>14671145876.951193</v>
      </c>
      <c r="D69" s="719">
        <f>SUM(D53,D68)</f>
        <v>12224878593.479401</v>
      </c>
      <c r="E69" s="582">
        <f t="shared" si="4"/>
        <v>26896024470.430595</v>
      </c>
      <c r="F69" s="719">
        <f>SUM(F53,F68)</f>
        <v>12776897420.041916</v>
      </c>
      <c r="G69" s="719">
        <f>SUM(G53,G68)</f>
        <v>11550918081.147102</v>
      </c>
      <c r="H69" s="582">
        <f t="shared" si="5"/>
        <v>24327815501.189018</v>
      </c>
      <c r="J69" s="491"/>
    </row>
    <row r="70" spans="1:10">
      <c r="J70" s="491"/>
    </row>
    <row r="71" spans="1:10">
      <c r="J71" s="491"/>
    </row>
    <row r="73" spans="1:10">
      <c r="E73" s="491">
        <f>E36-E69</f>
        <v>0</v>
      </c>
    </row>
  </sheetData>
  <mergeCells count="7">
    <mergeCell ref="C37:H37"/>
    <mergeCell ref="C54:H54"/>
    <mergeCell ref="A4:A6"/>
    <mergeCell ref="B4:B5"/>
    <mergeCell ref="C4:E4"/>
    <mergeCell ref="F4:H4"/>
    <mergeCell ref="C6:H6"/>
  </mergeCells>
  <pageMargins left="0.7" right="0.7" top="0.75" bottom="0.75" header="0.3" footer="0.3"/>
  <pageSetup paperSize="9" scale="49" orientation="portrait" r:id="rId1"/>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Normal="100" workbookViewId="0">
      <selection sqref="A1:C1"/>
    </sheetView>
  </sheetViews>
  <sheetFormatPr defaultColWidth="43.5703125" defaultRowHeight="11.25"/>
  <cols>
    <col min="1" max="1" width="8" style="128" customWidth="1"/>
    <col min="2" max="2" width="66.140625" style="129" customWidth="1"/>
    <col min="3" max="3" width="131.42578125" style="130" customWidth="1"/>
    <col min="4" max="5" width="10.28515625" style="121" customWidth="1"/>
    <col min="6" max="6" width="67.5703125" style="121" customWidth="1"/>
    <col min="7" max="16384" width="43.5703125" style="121"/>
  </cols>
  <sheetData>
    <row r="1" spans="1:3" ht="12.75" thickTop="1" thickBot="1">
      <c r="A1" s="907" t="s">
        <v>184</v>
      </c>
      <c r="B1" s="908"/>
      <c r="C1" s="909"/>
    </row>
    <row r="2" spans="1:3" ht="26.25" customHeight="1">
      <c r="A2" s="336"/>
      <c r="B2" s="910" t="s">
        <v>185</v>
      </c>
      <c r="C2" s="910"/>
    </row>
    <row r="3" spans="1:3" s="126" customFormat="1" ht="11.25" customHeight="1">
      <c r="A3" s="125"/>
      <c r="B3" s="910" t="s">
        <v>260</v>
      </c>
      <c r="C3" s="910"/>
    </row>
    <row r="4" spans="1:3" ht="12" customHeight="1" thickBot="1">
      <c r="A4" s="911" t="s">
        <v>264</v>
      </c>
      <c r="B4" s="912"/>
      <c r="C4" s="913"/>
    </row>
    <row r="5" spans="1:3" ht="12" thickTop="1">
      <c r="A5" s="122"/>
      <c r="B5" s="914" t="s">
        <v>186</v>
      </c>
      <c r="C5" s="915"/>
    </row>
    <row r="6" spans="1:3">
      <c r="A6" s="336"/>
      <c r="B6" s="916" t="s">
        <v>261</v>
      </c>
      <c r="C6" s="917"/>
    </row>
    <row r="7" spans="1:3">
      <c r="A7" s="336"/>
      <c r="B7" s="916" t="s">
        <v>187</v>
      </c>
      <c r="C7" s="917"/>
    </row>
    <row r="8" spans="1:3">
      <c r="A8" s="336"/>
      <c r="B8" s="916" t="s">
        <v>262</v>
      </c>
      <c r="C8" s="917"/>
    </row>
    <row r="9" spans="1:3">
      <c r="A9" s="336"/>
      <c r="B9" s="922" t="s">
        <v>263</v>
      </c>
      <c r="C9" s="923"/>
    </row>
    <row r="10" spans="1:3">
      <c r="A10" s="336"/>
      <c r="B10" s="918" t="s">
        <v>188</v>
      </c>
      <c r="C10" s="919" t="s">
        <v>188</v>
      </c>
    </row>
    <row r="11" spans="1:3">
      <c r="A11" s="336"/>
      <c r="B11" s="918" t="s">
        <v>189</v>
      </c>
      <c r="C11" s="919" t="s">
        <v>189</v>
      </c>
    </row>
    <row r="12" spans="1:3">
      <c r="A12" s="336"/>
      <c r="B12" s="918" t="s">
        <v>190</v>
      </c>
      <c r="C12" s="919" t="s">
        <v>190</v>
      </c>
    </row>
    <row r="13" spans="1:3">
      <c r="A13" s="336"/>
      <c r="B13" s="918" t="s">
        <v>191</v>
      </c>
      <c r="C13" s="919" t="s">
        <v>191</v>
      </c>
    </row>
    <row r="14" spans="1:3">
      <c r="A14" s="336"/>
      <c r="B14" s="918" t="s">
        <v>192</v>
      </c>
      <c r="C14" s="919" t="s">
        <v>192</v>
      </c>
    </row>
    <row r="15" spans="1:3" ht="21.75" customHeight="1">
      <c r="A15" s="336"/>
      <c r="B15" s="918" t="s">
        <v>193</v>
      </c>
      <c r="C15" s="919" t="s">
        <v>193</v>
      </c>
    </row>
    <row r="16" spans="1:3">
      <c r="A16" s="336"/>
      <c r="B16" s="918" t="s">
        <v>194</v>
      </c>
      <c r="C16" s="919" t="s">
        <v>195</v>
      </c>
    </row>
    <row r="17" spans="1:6">
      <c r="A17" s="336"/>
      <c r="B17" s="918" t="s">
        <v>196</v>
      </c>
      <c r="C17" s="919" t="s">
        <v>197</v>
      </c>
    </row>
    <row r="18" spans="1:6">
      <c r="A18" s="336"/>
      <c r="B18" s="918" t="s">
        <v>198</v>
      </c>
      <c r="C18" s="919" t="s">
        <v>199</v>
      </c>
    </row>
    <row r="19" spans="1:6">
      <c r="A19" s="336"/>
      <c r="B19" s="918" t="s">
        <v>200</v>
      </c>
      <c r="C19" s="919" t="s">
        <v>200</v>
      </c>
    </row>
    <row r="20" spans="1:6">
      <c r="A20" s="336"/>
      <c r="B20" s="920" t="s">
        <v>949</v>
      </c>
      <c r="C20" s="921" t="s">
        <v>201</v>
      </c>
    </row>
    <row r="21" spans="1:6">
      <c r="A21" s="336"/>
      <c r="B21" s="918" t="s">
        <v>938</v>
      </c>
      <c r="C21" s="919" t="s">
        <v>202</v>
      </c>
    </row>
    <row r="22" spans="1:6" ht="23.25" customHeight="1">
      <c r="A22" s="336"/>
      <c r="B22" s="918" t="s">
        <v>203</v>
      </c>
      <c r="C22" s="919" t="s">
        <v>204</v>
      </c>
      <c r="F22" s="488"/>
    </row>
    <row r="23" spans="1:6">
      <c r="A23" s="336"/>
      <c r="B23" s="918" t="s">
        <v>205</v>
      </c>
      <c r="C23" s="919" t="s">
        <v>205</v>
      </c>
    </row>
    <row r="24" spans="1:6">
      <c r="A24" s="336"/>
      <c r="B24" s="918" t="s">
        <v>206</v>
      </c>
      <c r="C24" s="919" t="s">
        <v>207</v>
      </c>
    </row>
    <row r="25" spans="1:6" ht="12" thickBot="1">
      <c r="A25" s="123"/>
      <c r="B25" s="929" t="s">
        <v>208</v>
      </c>
      <c r="C25" s="930"/>
    </row>
    <row r="26" spans="1:6" ht="12.75" thickTop="1" thickBot="1">
      <c r="A26" s="911" t="s">
        <v>837</v>
      </c>
      <c r="B26" s="912"/>
      <c r="C26" s="913"/>
    </row>
    <row r="27" spans="1:6" ht="12.75" thickTop="1" thickBot="1">
      <c r="A27" s="124"/>
      <c r="B27" s="931" t="s">
        <v>838</v>
      </c>
      <c r="C27" s="932"/>
    </row>
    <row r="28" spans="1:6" ht="12.75" thickTop="1" thickBot="1">
      <c r="A28" s="911" t="s">
        <v>265</v>
      </c>
      <c r="B28" s="912"/>
      <c r="C28" s="913"/>
    </row>
    <row r="29" spans="1:6" ht="12" thickTop="1">
      <c r="A29" s="122"/>
      <c r="B29" s="933" t="s">
        <v>841</v>
      </c>
      <c r="C29" s="934" t="s">
        <v>209</v>
      </c>
    </row>
    <row r="30" spans="1:6">
      <c r="A30" s="336"/>
      <c r="B30" s="924" t="s">
        <v>213</v>
      </c>
      <c r="C30" s="925" t="s">
        <v>210</v>
      </c>
    </row>
    <row r="31" spans="1:6">
      <c r="A31" s="336"/>
      <c r="B31" s="924" t="s">
        <v>839</v>
      </c>
      <c r="C31" s="925" t="s">
        <v>211</v>
      </c>
    </row>
    <row r="32" spans="1:6">
      <c r="A32" s="336"/>
      <c r="B32" s="924" t="s">
        <v>840</v>
      </c>
      <c r="C32" s="925" t="s">
        <v>212</v>
      </c>
    </row>
    <row r="33" spans="1:3">
      <c r="A33" s="336"/>
      <c r="B33" s="924" t="s">
        <v>216</v>
      </c>
      <c r="C33" s="925" t="s">
        <v>217</v>
      </c>
    </row>
    <row r="34" spans="1:3">
      <c r="A34" s="336"/>
      <c r="B34" s="924" t="s">
        <v>842</v>
      </c>
      <c r="C34" s="925" t="s">
        <v>214</v>
      </c>
    </row>
    <row r="35" spans="1:3">
      <c r="A35" s="336"/>
      <c r="B35" s="924" t="s">
        <v>843</v>
      </c>
      <c r="C35" s="925" t="s">
        <v>215</v>
      </c>
    </row>
    <row r="36" spans="1:3">
      <c r="A36" s="336"/>
      <c r="B36" s="926" t="s">
        <v>844</v>
      </c>
      <c r="C36" s="927"/>
    </row>
    <row r="37" spans="1:3" ht="24.75" customHeight="1">
      <c r="A37" s="336"/>
      <c r="B37" s="924" t="s">
        <v>845</v>
      </c>
      <c r="C37" s="925" t="s">
        <v>218</v>
      </c>
    </row>
    <row r="38" spans="1:3" ht="23.25" customHeight="1">
      <c r="A38" s="336"/>
      <c r="B38" s="924" t="s">
        <v>846</v>
      </c>
      <c r="C38" s="925" t="s">
        <v>219</v>
      </c>
    </row>
    <row r="39" spans="1:3" ht="23.25" customHeight="1">
      <c r="A39" s="349"/>
      <c r="B39" s="926" t="s">
        <v>847</v>
      </c>
      <c r="C39" s="928"/>
    </row>
    <row r="40" spans="1:3" ht="12" customHeight="1">
      <c r="A40" s="336"/>
      <c r="B40" s="924" t="s">
        <v>848</v>
      </c>
      <c r="C40" s="925"/>
    </row>
    <row r="41" spans="1:3" ht="12" thickBot="1">
      <c r="A41" s="911" t="s">
        <v>266</v>
      </c>
      <c r="B41" s="912"/>
      <c r="C41" s="913"/>
    </row>
    <row r="42" spans="1:3" ht="12" thickTop="1">
      <c r="A42" s="122"/>
      <c r="B42" s="914" t="s">
        <v>296</v>
      </c>
      <c r="C42" s="915" t="s">
        <v>220</v>
      </c>
    </row>
    <row r="43" spans="1:3">
      <c r="A43" s="336"/>
      <c r="B43" s="916" t="s">
        <v>295</v>
      </c>
      <c r="C43" s="917"/>
    </row>
    <row r="44" spans="1:3" ht="23.25" customHeight="1" thickBot="1">
      <c r="A44" s="123"/>
      <c r="B44" s="935" t="s">
        <v>221</v>
      </c>
      <c r="C44" s="936" t="s">
        <v>222</v>
      </c>
    </row>
    <row r="45" spans="1:3" ht="11.25" customHeight="1" thickTop="1" thickBot="1">
      <c r="A45" s="911" t="s">
        <v>267</v>
      </c>
      <c r="B45" s="912"/>
      <c r="C45" s="913"/>
    </row>
    <row r="46" spans="1:3" ht="26.25" customHeight="1" thickTop="1">
      <c r="A46" s="336"/>
      <c r="B46" s="916" t="s">
        <v>268</v>
      </c>
      <c r="C46" s="917"/>
    </row>
    <row r="47" spans="1:3" ht="12" thickBot="1">
      <c r="A47" s="911" t="s">
        <v>269</v>
      </c>
      <c r="B47" s="912"/>
      <c r="C47" s="913"/>
    </row>
    <row r="48" spans="1:3" ht="12" thickTop="1">
      <c r="A48" s="122"/>
      <c r="B48" s="914" t="s">
        <v>223</v>
      </c>
      <c r="C48" s="915" t="s">
        <v>223</v>
      </c>
    </row>
    <row r="49" spans="1:3" ht="11.25" customHeight="1">
      <c r="A49" s="336"/>
      <c r="B49" s="916" t="s">
        <v>224</v>
      </c>
      <c r="C49" s="917" t="s">
        <v>224</v>
      </c>
    </row>
    <row r="50" spans="1:3">
      <c r="A50" s="336"/>
      <c r="B50" s="916" t="s">
        <v>225</v>
      </c>
      <c r="C50" s="917" t="s">
        <v>225</v>
      </c>
    </row>
    <row r="51" spans="1:3" ht="11.25" customHeight="1">
      <c r="A51" s="336"/>
      <c r="B51" s="916" t="s">
        <v>850</v>
      </c>
      <c r="C51" s="917" t="s">
        <v>226</v>
      </c>
    </row>
    <row r="52" spans="1:3" ht="33.6" customHeight="1">
      <c r="A52" s="336"/>
      <c r="B52" s="916" t="s">
        <v>227</v>
      </c>
      <c r="C52" s="917" t="s">
        <v>227</v>
      </c>
    </row>
    <row r="53" spans="1:3" ht="11.25" customHeight="1">
      <c r="A53" s="336"/>
      <c r="B53" s="916" t="s">
        <v>316</v>
      </c>
      <c r="C53" s="917" t="s">
        <v>228</v>
      </c>
    </row>
    <row r="54" spans="1:3" ht="11.25" customHeight="1" thickBot="1">
      <c r="A54" s="911" t="s">
        <v>270</v>
      </c>
      <c r="B54" s="912"/>
      <c r="C54" s="913"/>
    </row>
    <row r="55" spans="1:3" ht="12" thickTop="1">
      <c r="A55" s="122"/>
      <c r="B55" s="914" t="s">
        <v>223</v>
      </c>
      <c r="C55" s="915" t="s">
        <v>223</v>
      </c>
    </row>
    <row r="56" spans="1:3">
      <c r="A56" s="336"/>
      <c r="B56" s="916" t="s">
        <v>229</v>
      </c>
      <c r="C56" s="917" t="s">
        <v>229</v>
      </c>
    </row>
    <row r="57" spans="1:3">
      <c r="A57" s="336"/>
      <c r="B57" s="916" t="s">
        <v>273</v>
      </c>
      <c r="C57" s="917" t="s">
        <v>230</v>
      </c>
    </row>
    <row r="58" spans="1:3">
      <c r="A58" s="336"/>
      <c r="B58" s="916" t="s">
        <v>231</v>
      </c>
      <c r="C58" s="917" t="s">
        <v>231</v>
      </c>
    </row>
    <row r="59" spans="1:3">
      <c r="A59" s="336"/>
      <c r="B59" s="916" t="s">
        <v>232</v>
      </c>
      <c r="C59" s="917" t="s">
        <v>232</v>
      </c>
    </row>
    <row r="60" spans="1:3">
      <c r="A60" s="336"/>
      <c r="B60" s="916" t="s">
        <v>233</v>
      </c>
      <c r="C60" s="917" t="s">
        <v>233</v>
      </c>
    </row>
    <row r="61" spans="1:3">
      <c r="A61" s="336"/>
      <c r="B61" s="916" t="s">
        <v>274</v>
      </c>
      <c r="C61" s="917" t="s">
        <v>234</v>
      </c>
    </row>
    <row r="62" spans="1:3">
      <c r="A62" s="336"/>
      <c r="B62" s="916" t="s">
        <v>235</v>
      </c>
      <c r="C62" s="917" t="s">
        <v>235</v>
      </c>
    </row>
    <row r="63" spans="1:3" ht="12" thickBot="1">
      <c r="A63" s="123"/>
      <c r="B63" s="935" t="s">
        <v>236</v>
      </c>
      <c r="C63" s="936" t="s">
        <v>236</v>
      </c>
    </row>
    <row r="64" spans="1:3" ht="11.25" customHeight="1" thickTop="1">
      <c r="A64" s="939" t="s">
        <v>271</v>
      </c>
      <c r="B64" s="940"/>
      <c r="C64" s="941"/>
    </row>
    <row r="65" spans="1:3" ht="12" thickBot="1">
      <c r="A65" s="123"/>
      <c r="B65" s="935" t="s">
        <v>237</v>
      </c>
      <c r="C65" s="936" t="s">
        <v>237</v>
      </c>
    </row>
    <row r="66" spans="1:3" ht="11.25" customHeight="1" thickTop="1" thickBot="1">
      <c r="A66" s="911" t="s">
        <v>272</v>
      </c>
      <c r="B66" s="912"/>
      <c r="C66" s="913"/>
    </row>
    <row r="67" spans="1:3" ht="12" thickTop="1">
      <c r="A67" s="122"/>
      <c r="B67" s="914" t="s">
        <v>238</v>
      </c>
      <c r="C67" s="915" t="s">
        <v>238</v>
      </c>
    </row>
    <row r="68" spans="1:3">
      <c r="A68" s="336"/>
      <c r="B68" s="916" t="s">
        <v>852</v>
      </c>
      <c r="C68" s="917" t="s">
        <v>239</v>
      </c>
    </row>
    <row r="69" spans="1:3">
      <c r="A69" s="336"/>
      <c r="B69" s="916" t="s">
        <v>240</v>
      </c>
      <c r="C69" s="917" t="s">
        <v>240</v>
      </c>
    </row>
    <row r="70" spans="1:3" ht="54.95" customHeight="1">
      <c r="A70" s="336"/>
      <c r="B70" s="937" t="s">
        <v>683</v>
      </c>
      <c r="C70" s="938" t="s">
        <v>241</v>
      </c>
    </row>
    <row r="71" spans="1:3" ht="33.75" customHeight="1">
      <c r="A71" s="336"/>
      <c r="B71" s="937" t="s">
        <v>275</v>
      </c>
      <c r="C71" s="938" t="s">
        <v>242</v>
      </c>
    </row>
    <row r="72" spans="1:3" ht="15.75" customHeight="1">
      <c r="A72" s="336"/>
      <c r="B72" s="937" t="s">
        <v>853</v>
      </c>
      <c r="C72" s="938" t="s">
        <v>243</v>
      </c>
    </row>
    <row r="73" spans="1:3">
      <c r="A73" s="336"/>
      <c r="B73" s="916" t="s">
        <v>244</v>
      </c>
      <c r="C73" s="917" t="s">
        <v>244</v>
      </c>
    </row>
    <row r="74" spans="1:3" ht="12" thickBot="1">
      <c r="A74" s="123"/>
      <c r="B74" s="935" t="s">
        <v>245</v>
      </c>
      <c r="C74" s="936" t="s">
        <v>245</v>
      </c>
    </row>
    <row r="75" spans="1:3" ht="12" thickTop="1">
      <c r="A75" s="939" t="s">
        <v>299</v>
      </c>
      <c r="B75" s="940"/>
      <c r="C75" s="941"/>
    </row>
    <row r="76" spans="1:3">
      <c r="A76" s="336"/>
      <c r="B76" s="916" t="s">
        <v>237</v>
      </c>
      <c r="C76" s="917"/>
    </row>
    <row r="77" spans="1:3">
      <c r="A77" s="336"/>
      <c r="B77" s="916" t="s">
        <v>297</v>
      </c>
      <c r="C77" s="917"/>
    </row>
    <row r="78" spans="1:3">
      <c r="A78" s="336"/>
      <c r="B78" s="916" t="s">
        <v>298</v>
      </c>
      <c r="C78" s="917"/>
    </row>
    <row r="79" spans="1:3">
      <c r="A79" s="939" t="s">
        <v>300</v>
      </c>
      <c r="B79" s="940"/>
      <c r="C79" s="941"/>
    </row>
    <row r="80" spans="1:3">
      <c r="A80" s="336"/>
      <c r="B80" s="916" t="s">
        <v>237</v>
      </c>
      <c r="C80" s="917"/>
    </row>
    <row r="81" spans="1:3">
      <c r="A81" s="336"/>
      <c r="B81" s="916" t="s">
        <v>301</v>
      </c>
      <c r="C81" s="917"/>
    </row>
    <row r="82" spans="1:3" ht="79.5" customHeight="1">
      <c r="A82" s="336"/>
      <c r="B82" s="916" t="s">
        <v>315</v>
      </c>
      <c r="C82" s="917"/>
    </row>
    <row r="83" spans="1:3" ht="53.25" customHeight="1">
      <c r="A83" s="336"/>
      <c r="B83" s="916" t="s">
        <v>314</v>
      </c>
      <c r="C83" s="917"/>
    </row>
    <row r="84" spans="1:3">
      <c r="A84" s="336"/>
      <c r="B84" s="916" t="s">
        <v>302</v>
      </c>
      <c r="C84" s="917"/>
    </row>
    <row r="85" spans="1:3">
      <c r="A85" s="336"/>
      <c r="B85" s="916" t="s">
        <v>303</v>
      </c>
      <c r="C85" s="917"/>
    </row>
    <row r="86" spans="1:3">
      <c r="A86" s="336"/>
      <c r="B86" s="916" t="s">
        <v>304</v>
      </c>
      <c r="C86" s="917"/>
    </row>
    <row r="87" spans="1:3">
      <c r="A87" s="939" t="s">
        <v>305</v>
      </c>
      <c r="B87" s="940"/>
      <c r="C87" s="941"/>
    </row>
    <row r="88" spans="1:3">
      <c r="A88" s="336"/>
      <c r="B88" s="916" t="s">
        <v>237</v>
      </c>
      <c r="C88" s="917"/>
    </row>
    <row r="89" spans="1:3">
      <c r="A89" s="336"/>
      <c r="B89" s="916" t="s">
        <v>307</v>
      </c>
      <c r="C89" s="917"/>
    </row>
    <row r="90" spans="1:3" ht="12" customHeight="1">
      <c r="A90" s="336"/>
      <c r="B90" s="916" t="s">
        <v>308</v>
      </c>
      <c r="C90" s="917"/>
    </row>
    <row r="91" spans="1:3">
      <c r="A91" s="336"/>
      <c r="B91" s="916" t="s">
        <v>309</v>
      </c>
      <c r="C91" s="917"/>
    </row>
    <row r="92" spans="1:3" ht="24.75" customHeight="1">
      <c r="A92" s="336"/>
      <c r="B92" s="942" t="s">
        <v>345</v>
      </c>
      <c r="C92" s="943"/>
    </row>
    <row r="93" spans="1:3" ht="24" customHeight="1">
      <c r="A93" s="336"/>
      <c r="B93" s="942" t="s">
        <v>346</v>
      </c>
      <c r="C93" s="943"/>
    </row>
    <row r="94" spans="1:3" ht="13.5" customHeight="1">
      <c r="A94" s="336"/>
      <c r="B94" s="944" t="s">
        <v>310</v>
      </c>
      <c r="C94" s="945"/>
    </row>
    <row r="95" spans="1:3" ht="11.25" customHeight="1" thickBot="1">
      <c r="A95" s="946" t="s">
        <v>341</v>
      </c>
      <c r="B95" s="947"/>
      <c r="C95" s="948"/>
    </row>
    <row r="96" spans="1:3" ht="12.75" thickTop="1" thickBot="1">
      <c r="A96" s="955" t="s">
        <v>246</v>
      </c>
      <c r="B96" s="955"/>
      <c r="C96" s="955"/>
    </row>
    <row r="97" spans="1:3">
      <c r="A97" s="195">
        <v>2</v>
      </c>
      <c r="B97" s="321" t="s">
        <v>321</v>
      </c>
      <c r="C97" s="321" t="s">
        <v>342</v>
      </c>
    </row>
    <row r="98" spans="1:3">
      <c r="A98" s="127">
        <v>3</v>
      </c>
      <c r="B98" s="322" t="s">
        <v>322</v>
      </c>
      <c r="C98" s="323" t="s">
        <v>343</v>
      </c>
    </row>
    <row r="99" spans="1:3">
      <c r="A99" s="127">
        <v>4</v>
      </c>
      <c r="B99" s="322" t="s">
        <v>323</v>
      </c>
      <c r="C99" s="323" t="s">
        <v>347</v>
      </c>
    </row>
    <row r="100" spans="1:3" ht="11.25" customHeight="1">
      <c r="A100" s="127">
        <v>5</v>
      </c>
      <c r="B100" s="322" t="s">
        <v>324</v>
      </c>
      <c r="C100" s="323" t="s">
        <v>344</v>
      </c>
    </row>
    <row r="101" spans="1:3" ht="12" customHeight="1">
      <c r="A101" s="127">
        <v>6</v>
      </c>
      <c r="B101" s="322" t="s">
        <v>339</v>
      </c>
      <c r="C101" s="323" t="s">
        <v>325</v>
      </c>
    </row>
    <row r="102" spans="1:3" ht="12" customHeight="1">
      <c r="A102" s="127">
        <v>7</v>
      </c>
      <c r="B102" s="322" t="s">
        <v>326</v>
      </c>
      <c r="C102" s="323" t="s">
        <v>340</v>
      </c>
    </row>
    <row r="103" spans="1:3">
      <c r="A103" s="127">
        <v>8</v>
      </c>
      <c r="B103" s="322" t="s">
        <v>331</v>
      </c>
      <c r="C103" s="323" t="s">
        <v>351</v>
      </c>
    </row>
    <row r="104" spans="1:3" ht="11.25" customHeight="1">
      <c r="A104" s="939" t="s">
        <v>311</v>
      </c>
      <c r="B104" s="940"/>
      <c r="C104" s="941"/>
    </row>
    <row r="105" spans="1:3" ht="12" customHeight="1">
      <c r="A105" s="336"/>
      <c r="B105" s="916" t="s">
        <v>237</v>
      </c>
      <c r="C105" s="917"/>
    </row>
    <row r="106" spans="1:3">
      <c r="A106" s="939" t="s">
        <v>484</v>
      </c>
      <c r="B106" s="940"/>
      <c r="C106" s="941"/>
    </row>
    <row r="107" spans="1:3" ht="12" customHeight="1">
      <c r="A107" s="336"/>
      <c r="B107" s="916" t="s">
        <v>486</v>
      </c>
      <c r="C107" s="917"/>
    </row>
    <row r="108" spans="1:3">
      <c r="A108" s="336"/>
      <c r="B108" s="916" t="s">
        <v>487</v>
      </c>
      <c r="C108" s="917"/>
    </row>
    <row r="109" spans="1:3">
      <c r="A109" s="336"/>
      <c r="B109" s="916" t="s">
        <v>485</v>
      </c>
      <c r="C109" s="917"/>
    </row>
    <row r="110" spans="1:3">
      <c r="A110" s="949" t="s">
        <v>719</v>
      </c>
      <c r="B110" s="949"/>
      <c r="C110" s="949"/>
    </row>
    <row r="111" spans="1:3">
      <c r="A111" s="950" t="s">
        <v>184</v>
      </c>
      <c r="B111" s="950"/>
      <c r="C111" s="950"/>
    </row>
    <row r="112" spans="1:3">
      <c r="A112" s="471">
        <v>1</v>
      </c>
      <c r="B112" s="951" t="s">
        <v>602</v>
      </c>
      <c r="C112" s="952"/>
    </row>
    <row r="113" spans="1:3">
      <c r="A113" s="471">
        <v>2</v>
      </c>
      <c r="B113" s="953" t="s">
        <v>603</v>
      </c>
      <c r="C113" s="954"/>
    </row>
    <row r="114" spans="1:3">
      <c r="A114" s="471">
        <v>3</v>
      </c>
      <c r="B114" s="951" t="s">
        <v>927</v>
      </c>
      <c r="C114" s="952"/>
    </row>
    <row r="115" spans="1:3">
      <c r="A115" s="471">
        <v>4</v>
      </c>
      <c r="B115" s="951" t="s">
        <v>926</v>
      </c>
      <c r="C115" s="952"/>
    </row>
    <row r="116" spans="1:3">
      <c r="A116" s="471">
        <v>5</v>
      </c>
      <c r="B116" s="475" t="s">
        <v>925</v>
      </c>
      <c r="C116" s="474"/>
    </row>
    <row r="117" spans="1:3">
      <c r="A117" s="471">
        <v>6</v>
      </c>
      <c r="B117" s="951" t="s">
        <v>936</v>
      </c>
      <c r="C117" s="952"/>
    </row>
    <row r="118" spans="1:3" ht="48.6" customHeight="1">
      <c r="A118" s="471">
        <v>7</v>
      </c>
      <c r="B118" s="951" t="s">
        <v>937</v>
      </c>
      <c r="C118" s="952"/>
    </row>
    <row r="119" spans="1:3">
      <c r="A119" s="445">
        <v>8</v>
      </c>
      <c r="B119" s="442" t="s">
        <v>629</v>
      </c>
      <c r="C119" s="468" t="s">
        <v>924</v>
      </c>
    </row>
    <row r="120" spans="1:3" ht="22.5">
      <c r="A120" s="471">
        <v>9.01</v>
      </c>
      <c r="B120" s="442" t="s">
        <v>513</v>
      </c>
      <c r="C120" s="455" t="s">
        <v>678</v>
      </c>
    </row>
    <row r="121" spans="1:3" ht="33.75">
      <c r="A121" s="471">
        <v>9.02</v>
      </c>
      <c r="B121" s="442" t="s">
        <v>514</v>
      </c>
      <c r="C121" s="455" t="s">
        <v>681</v>
      </c>
    </row>
    <row r="122" spans="1:3">
      <c r="A122" s="471">
        <v>9.0299999999999994</v>
      </c>
      <c r="B122" s="458" t="s">
        <v>861</v>
      </c>
      <c r="C122" s="458" t="s">
        <v>604</v>
      </c>
    </row>
    <row r="123" spans="1:3">
      <c r="A123" s="471">
        <v>9.0399999999999991</v>
      </c>
      <c r="B123" s="442" t="s">
        <v>515</v>
      </c>
      <c r="C123" s="458" t="s">
        <v>605</v>
      </c>
    </row>
    <row r="124" spans="1:3">
      <c r="A124" s="471">
        <v>9.0500000000000007</v>
      </c>
      <c r="B124" s="442" t="s">
        <v>516</v>
      </c>
      <c r="C124" s="458" t="s">
        <v>606</v>
      </c>
    </row>
    <row r="125" spans="1:3" ht="22.5">
      <c r="A125" s="471">
        <v>9.06</v>
      </c>
      <c r="B125" s="442" t="s">
        <v>517</v>
      </c>
      <c r="C125" s="458" t="s">
        <v>607</v>
      </c>
    </row>
    <row r="126" spans="1:3">
      <c r="A126" s="471">
        <v>9.07</v>
      </c>
      <c r="B126" s="473" t="s">
        <v>518</v>
      </c>
      <c r="C126" s="458" t="s">
        <v>608</v>
      </c>
    </row>
    <row r="127" spans="1:3" ht="22.5">
      <c r="A127" s="471">
        <v>9.08</v>
      </c>
      <c r="B127" s="442" t="s">
        <v>519</v>
      </c>
      <c r="C127" s="458" t="s">
        <v>609</v>
      </c>
    </row>
    <row r="128" spans="1:3" ht="22.5">
      <c r="A128" s="471">
        <v>9.09</v>
      </c>
      <c r="B128" s="442" t="s">
        <v>520</v>
      </c>
      <c r="C128" s="458" t="s">
        <v>610</v>
      </c>
    </row>
    <row r="129" spans="1:3">
      <c r="A129" s="472">
        <v>9.1</v>
      </c>
      <c r="B129" s="442" t="s">
        <v>521</v>
      </c>
      <c r="C129" s="458" t="s">
        <v>611</v>
      </c>
    </row>
    <row r="130" spans="1:3">
      <c r="A130" s="471">
        <v>9.11</v>
      </c>
      <c r="B130" s="442" t="s">
        <v>522</v>
      </c>
      <c r="C130" s="458" t="s">
        <v>612</v>
      </c>
    </row>
    <row r="131" spans="1:3">
      <c r="A131" s="471">
        <v>9.1199999999999992</v>
      </c>
      <c r="B131" s="442" t="s">
        <v>523</v>
      </c>
      <c r="C131" s="458" t="s">
        <v>613</v>
      </c>
    </row>
    <row r="132" spans="1:3">
      <c r="A132" s="471">
        <v>9.1300000000000008</v>
      </c>
      <c r="B132" s="442" t="s">
        <v>524</v>
      </c>
      <c r="C132" s="458" t="s">
        <v>614</v>
      </c>
    </row>
    <row r="133" spans="1:3">
      <c r="A133" s="471">
        <v>9.14</v>
      </c>
      <c r="B133" s="442" t="s">
        <v>525</v>
      </c>
      <c r="C133" s="458" t="s">
        <v>615</v>
      </c>
    </row>
    <row r="134" spans="1:3">
      <c r="A134" s="471">
        <v>9.15</v>
      </c>
      <c r="B134" s="442" t="s">
        <v>526</v>
      </c>
      <c r="C134" s="458" t="s">
        <v>616</v>
      </c>
    </row>
    <row r="135" spans="1:3" ht="22.5">
      <c r="A135" s="471">
        <v>9.16</v>
      </c>
      <c r="B135" s="442" t="s">
        <v>527</v>
      </c>
      <c r="C135" s="458" t="s">
        <v>617</v>
      </c>
    </row>
    <row r="136" spans="1:3">
      <c r="A136" s="471">
        <v>9.17</v>
      </c>
      <c r="B136" s="458" t="s">
        <v>528</v>
      </c>
      <c r="C136" s="458" t="s">
        <v>618</v>
      </c>
    </row>
    <row r="137" spans="1:3" ht="22.5">
      <c r="A137" s="471">
        <v>9.18</v>
      </c>
      <c r="B137" s="442" t="s">
        <v>529</v>
      </c>
      <c r="C137" s="458" t="s">
        <v>619</v>
      </c>
    </row>
    <row r="138" spans="1:3">
      <c r="A138" s="471">
        <v>9.19</v>
      </c>
      <c r="B138" s="442" t="s">
        <v>530</v>
      </c>
      <c r="C138" s="458" t="s">
        <v>620</v>
      </c>
    </row>
    <row r="139" spans="1:3">
      <c r="A139" s="472">
        <v>9.1999999999999993</v>
      </c>
      <c r="B139" s="442" t="s">
        <v>531</v>
      </c>
      <c r="C139" s="458" t="s">
        <v>621</v>
      </c>
    </row>
    <row r="140" spans="1:3">
      <c r="A140" s="471">
        <v>9.2100000000000009</v>
      </c>
      <c r="B140" s="442" t="s">
        <v>532</v>
      </c>
      <c r="C140" s="458" t="s">
        <v>622</v>
      </c>
    </row>
    <row r="141" spans="1:3">
      <c r="A141" s="471">
        <v>9.2200000000000006</v>
      </c>
      <c r="B141" s="442" t="s">
        <v>533</v>
      </c>
      <c r="C141" s="458" t="s">
        <v>623</v>
      </c>
    </row>
    <row r="142" spans="1:3" ht="22.5">
      <c r="A142" s="471">
        <v>9.23</v>
      </c>
      <c r="B142" s="442" t="s">
        <v>534</v>
      </c>
      <c r="C142" s="458" t="s">
        <v>624</v>
      </c>
    </row>
    <row r="143" spans="1:3" ht="22.5">
      <c r="A143" s="471">
        <v>9.24</v>
      </c>
      <c r="B143" s="442" t="s">
        <v>535</v>
      </c>
      <c r="C143" s="458" t="s">
        <v>625</v>
      </c>
    </row>
    <row r="144" spans="1:3">
      <c r="A144" s="471">
        <v>9.2500000000000107</v>
      </c>
      <c r="B144" s="442" t="s">
        <v>536</v>
      </c>
      <c r="C144" s="458" t="s">
        <v>626</v>
      </c>
    </row>
    <row r="145" spans="1:3" ht="22.5">
      <c r="A145" s="471">
        <v>9.2600000000000193</v>
      </c>
      <c r="B145" s="442" t="s">
        <v>627</v>
      </c>
      <c r="C145" s="470" t="s">
        <v>628</v>
      </c>
    </row>
    <row r="146" spans="1:3" s="337" customFormat="1" ht="22.5">
      <c r="A146" s="471">
        <v>9.2700000000000298</v>
      </c>
      <c r="B146" s="442" t="s">
        <v>97</v>
      </c>
      <c r="C146" s="470" t="s">
        <v>679</v>
      </c>
    </row>
    <row r="147" spans="1:3" s="337" customFormat="1">
      <c r="A147" s="446"/>
      <c r="B147" s="957" t="s">
        <v>630</v>
      </c>
      <c r="C147" s="958"/>
    </row>
    <row r="148" spans="1:3" s="337" customFormat="1">
      <c r="A148" s="445">
        <v>1</v>
      </c>
      <c r="B148" s="959" t="s">
        <v>923</v>
      </c>
      <c r="C148" s="960"/>
    </row>
    <row r="149" spans="1:3" s="337" customFormat="1">
      <c r="A149" s="445">
        <v>2</v>
      </c>
      <c r="B149" s="959" t="s">
        <v>680</v>
      </c>
      <c r="C149" s="960"/>
    </row>
    <row r="150" spans="1:3" s="337" customFormat="1">
      <c r="A150" s="445">
        <v>3</v>
      </c>
      <c r="B150" s="959" t="s">
        <v>677</v>
      </c>
      <c r="C150" s="960"/>
    </row>
    <row r="151" spans="1:3" s="337" customFormat="1">
      <c r="A151" s="446"/>
      <c r="B151" s="957" t="s">
        <v>631</v>
      </c>
      <c r="C151" s="958"/>
    </row>
    <row r="152" spans="1:3" s="337" customFormat="1">
      <c r="A152" s="445">
        <v>1</v>
      </c>
      <c r="B152" s="968" t="s">
        <v>922</v>
      </c>
      <c r="C152" s="969"/>
    </row>
    <row r="153" spans="1:3" s="337" customFormat="1">
      <c r="A153" s="445">
        <v>2</v>
      </c>
      <c r="B153" s="442" t="s">
        <v>859</v>
      </c>
      <c r="C153" s="468" t="s">
        <v>941</v>
      </c>
    </row>
    <row r="154" spans="1:3" ht="22.5">
      <c r="A154" s="445">
        <v>3</v>
      </c>
      <c r="B154" s="442" t="s">
        <v>858</v>
      </c>
      <c r="C154" s="468" t="s">
        <v>921</v>
      </c>
    </row>
    <row r="155" spans="1:3">
      <c r="A155" s="445">
        <v>4</v>
      </c>
      <c r="B155" s="442" t="s">
        <v>506</v>
      </c>
      <c r="C155" s="442" t="s">
        <v>942</v>
      </c>
    </row>
    <row r="156" spans="1:3" ht="24.95" customHeight="1">
      <c r="A156" s="446"/>
      <c r="B156" s="957" t="s">
        <v>632</v>
      </c>
      <c r="C156" s="958"/>
    </row>
    <row r="157" spans="1:3" ht="33.75">
      <c r="A157" s="445"/>
      <c r="B157" s="442" t="s">
        <v>910</v>
      </c>
      <c r="C157" s="447" t="s">
        <v>943</v>
      </c>
    </row>
    <row r="158" spans="1:3">
      <c r="A158" s="446"/>
      <c r="B158" s="957" t="s">
        <v>633</v>
      </c>
      <c r="C158" s="958"/>
    </row>
    <row r="159" spans="1:3" ht="39" customHeight="1">
      <c r="A159" s="446"/>
      <c r="B159" s="966" t="s">
        <v>920</v>
      </c>
      <c r="C159" s="967"/>
    </row>
    <row r="160" spans="1:3">
      <c r="A160" s="446" t="s">
        <v>634</v>
      </c>
      <c r="B160" s="469" t="s">
        <v>544</v>
      </c>
      <c r="C160" s="460" t="s">
        <v>635</v>
      </c>
    </row>
    <row r="161" spans="1:3">
      <c r="A161" s="446" t="s">
        <v>366</v>
      </c>
      <c r="B161" s="466" t="s">
        <v>545</v>
      </c>
      <c r="C161" s="468" t="s">
        <v>919</v>
      </c>
    </row>
    <row r="162" spans="1:3" ht="22.5">
      <c r="A162" s="446" t="s">
        <v>373</v>
      </c>
      <c r="B162" s="460" t="s">
        <v>546</v>
      </c>
      <c r="C162" s="468" t="s">
        <v>636</v>
      </c>
    </row>
    <row r="163" spans="1:3">
      <c r="A163" s="446" t="s">
        <v>637</v>
      </c>
      <c r="B163" s="466" t="s">
        <v>547</v>
      </c>
      <c r="C163" s="467" t="s">
        <v>638</v>
      </c>
    </row>
    <row r="164" spans="1:3" ht="22.5">
      <c r="A164" s="446" t="s">
        <v>639</v>
      </c>
      <c r="B164" s="466" t="s">
        <v>874</v>
      </c>
      <c r="C164" s="465" t="s">
        <v>918</v>
      </c>
    </row>
    <row r="165" spans="1:3" ht="22.5">
      <c r="A165" s="446" t="s">
        <v>374</v>
      </c>
      <c r="B165" s="466" t="s">
        <v>548</v>
      </c>
      <c r="C165" s="465" t="s">
        <v>641</v>
      </c>
    </row>
    <row r="166" spans="1:3" ht="22.5">
      <c r="A166" s="446" t="s">
        <v>640</v>
      </c>
      <c r="B166" s="463" t="s">
        <v>551</v>
      </c>
      <c r="C166" s="464" t="s">
        <v>648</v>
      </c>
    </row>
    <row r="167" spans="1:3" ht="22.5">
      <c r="A167" s="446" t="s">
        <v>642</v>
      </c>
      <c r="B167" s="463" t="s">
        <v>549</v>
      </c>
      <c r="C167" s="465" t="s">
        <v>644</v>
      </c>
    </row>
    <row r="168" spans="1:3" ht="26.45" customHeight="1">
      <c r="A168" s="446" t="s">
        <v>643</v>
      </c>
      <c r="B168" s="463" t="s">
        <v>550</v>
      </c>
      <c r="C168" s="464" t="s">
        <v>646</v>
      </c>
    </row>
    <row r="169" spans="1:3" ht="22.5">
      <c r="A169" s="446" t="s">
        <v>645</v>
      </c>
      <c r="B169" s="440" t="s">
        <v>552</v>
      </c>
      <c r="C169" s="464" t="s">
        <v>650</v>
      </c>
    </row>
    <row r="170" spans="1:3" ht="22.5">
      <c r="A170" s="446" t="s">
        <v>647</v>
      </c>
      <c r="B170" s="463" t="s">
        <v>553</v>
      </c>
      <c r="C170" s="462" t="s">
        <v>651</v>
      </c>
    </row>
    <row r="171" spans="1:3">
      <c r="A171" s="446" t="s">
        <v>649</v>
      </c>
      <c r="B171" s="461" t="s">
        <v>554</v>
      </c>
      <c r="C171" s="460" t="s">
        <v>652</v>
      </c>
    </row>
    <row r="172" spans="1:3" ht="22.5">
      <c r="A172" s="446"/>
      <c r="B172" s="459" t="s">
        <v>917</v>
      </c>
      <c r="C172" s="458" t="s">
        <v>653</v>
      </c>
    </row>
    <row r="173" spans="1:3" ht="22.5">
      <c r="A173" s="446"/>
      <c r="B173" s="459" t="s">
        <v>916</v>
      </c>
      <c r="C173" s="458" t="s">
        <v>654</v>
      </c>
    </row>
    <row r="174" spans="1:3" ht="22.5">
      <c r="A174" s="446"/>
      <c r="B174" s="459" t="s">
        <v>915</v>
      </c>
      <c r="C174" s="458" t="s">
        <v>655</v>
      </c>
    </row>
    <row r="175" spans="1:3">
      <c r="A175" s="446"/>
      <c r="B175" s="957" t="s">
        <v>656</v>
      </c>
      <c r="C175" s="958"/>
    </row>
    <row r="176" spans="1:3">
      <c r="A176" s="446"/>
      <c r="B176" s="959" t="s">
        <v>914</v>
      </c>
      <c r="C176" s="960"/>
    </row>
    <row r="177" spans="1:3">
      <c r="A177" s="445">
        <v>1</v>
      </c>
      <c r="B177" s="458" t="s">
        <v>558</v>
      </c>
      <c r="C177" s="458" t="s">
        <v>558</v>
      </c>
    </row>
    <row r="178" spans="1:3" ht="33.75">
      <c r="A178" s="445">
        <v>2</v>
      </c>
      <c r="B178" s="458" t="s">
        <v>657</v>
      </c>
      <c r="C178" s="458" t="s">
        <v>658</v>
      </c>
    </row>
    <row r="179" spans="1:3">
      <c r="A179" s="445">
        <v>3</v>
      </c>
      <c r="B179" s="458" t="s">
        <v>560</v>
      </c>
      <c r="C179" s="458" t="s">
        <v>659</v>
      </c>
    </row>
    <row r="180" spans="1:3" ht="22.5">
      <c r="A180" s="445">
        <v>4</v>
      </c>
      <c r="B180" s="458" t="s">
        <v>561</v>
      </c>
      <c r="C180" s="458" t="s">
        <v>660</v>
      </c>
    </row>
    <row r="181" spans="1:3" ht="22.5">
      <c r="A181" s="445">
        <v>5</v>
      </c>
      <c r="B181" s="458" t="s">
        <v>562</v>
      </c>
      <c r="C181" s="458" t="s">
        <v>682</v>
      </c>
    </row>
    <row r="182" spans="1:3" ht="45">
      <c r="A182" s="445">
        <v>6</v>
      </c>
      <c r="B182" s="458" t="s">
        <v>563</v>
      </c>
      <c r="C182" s="458" t="s">
        <v>661</v>
      </c>
    </row>
    <row r="183" spans="1:3">
      <c r="A183" s="446"/>
      <c r="B183" s="957" t="s">
        <v>662</v>
      </c>
      <c r="C183" s="958"/>
    </row>
    <row r="184" spans="1:3">
      <c r="A184" s="446"/>
      <c r="B184" s="961" t="s">
        <v>913</v>
      </c>
      <c r="C184" s="962"/>
    </row>
    <row r="185" spans="1:3" ht="22.5">
      <c r="A185" s="446">
        <v>1.1000000000000001</v>
      </c>
      <c r="B185" s="457" t="s">
        <v>568</v>
      </c>
      <c r="C185" s="455" t="s">
        <v>663</v>
      </c>
    </row>
    <row r="186" spans="1:3" ht="50.1" customHeight="1">
      <c r="A186" s="446" t="s">
        <v>155</v>
      </c>
      <c r="B186" s="441" t="s">
        <v>569</v>
      </c>
      <c r="C186" s="455" t="s">
        <v>664</v>
      </c>
    </row>
    <row r="187" spans="1:3">
      <c r="A187" s="446" t="s">
        <v>570</v>
      </c>
      <c r="B187" s="456" t="s">
        <v>571</v>
      </c>
      <c r="C187" s="963" t="s">
        <v>912</v>
      </c>
    </row>
    <row r="188" spans="1:3">
      <c r="A188" s="446" t="s">
        <v>572</v>
      </c>
      <c r="B188" s="456" t="s">
        <v>573</v>
      </c>
      <c r="C188" s="963"/>
    </row>
    <row r="189" spans="1:3">
      <c r="A189" s="446" t="s">
        <v>574</v>
      </c>
      <c r="B189" s="456" t="s">
        <v>575</v>
      </c>
      <c r="C189" s="963"/>
    </row>
    <row r="190" spans="1:3">
      <c r="A190" s="446" t="s">
        <v>576</v>
      </c>
      <c r="B190" s="456" t="s">
        <v>577</v>
      </c>
      <c r="C190" s="963"/>
    </row>
    <row r="191" spans="1:3" ht="25.5" customHeight="1">
      <c r="A191" s="446">
        <v>1.2</v>
      </c>
      <c r="B191" s="454" t="s">
        <v>888</v>
      </c>
      <c r="C191" s="439" t="s">
        <v>944</v>
      </c>
    </row>
    <row r="192" spans="1:3" ht="22.5">
      <c r="A192" s="446" t="s">
        <v>579</v>
      </c>
      <c r="B192" s="449" t="s">
        <v>580</v>
      </c>
      <c r="C192" s="452" t="s">
        <v>665</v>
      </c>
    </row>
    <row r="193" spans="1:4" ht="22.5">
      <c r="A193" s="446" t="s">
        <v>581</v>
      </c>
      <c r="B193" s="453" t="s">
        <v>582</v>
      </c>
      <c r="C193" s="452" t="s">
        <v>666</v>
      </c>
    </row>
    <row r="194" spans="1:4" ht="26.1" customHeight="1">
      <c r="A194" s="446" t="s">
        <v>583</v>
      </c>
      <c r="B194" s="451" t="s">
        <v>584</v>
      </c>
      <c r="C194" s="439" t="s">
        <v>667</v>
      </c>
    </row>
    <row r="195" spans="1:4" ht="22.5">
      <c r="A195" s="446" t="s">
        <v>585</v>
      </c>
      <c r="B195" s="450" t="s">
        <v>586</v>
      </c>
      <c r="C195" s="439" t="s">
        <v>668</v>
      </c>
      <c r="D195" s="338"/>
    </row>
    <row r="196" spans="1:4" ht="22.5">
      <c r="A196" s="446">
        <v>1.4</v>
      </c>
      <c r="B196" s="449" t="s">
        <v>675</v>
      </c>
      <c r="C196" s="448" t="s">
        <v>669</v>
      </c>
      <c r="D196" s="339"/>
    </row>
    <row r="197" spans="1:4" ht="12.75">
      <c r="A197" s="446">
        <v>1.5</v>
      </c>
      <c r="B197" s="449" t="s">
        <v>676</v>
      </c>
      <c r="C197" s="448" t="s">
        <v>669</v>
      </c>
      <c r="D197" s="340"/>
    </row>
    <row r="198" spans="1:4" ht="12.75">
      <c r="A198" s="446"/>
      <c r="B198" s="949" t="s">
        <v>670</v>
      </c>
      <c r="C198" s="949"/>
      <c r="D198" s="340"/>
    </row>
    <row r="199" spans="1:4" ht="12.75">
      <c r="A199" s="446"/>
      <c r="B199" s="961" t="s">
        <v>911</v>
      </c>
      <c r="C199" s="961"/>
      <c r="D199" s="340"/>
    </row>
    <row r="200" spans="1:4" ht="12.75">
      <c r="A200" s="445"/>
      <c r="B200" s="442" t="s">
        <v>910</v>
      </c>
      <c r="C200" s="447" t="s">
        <v>941</v>
      </c>
      <c r="D200" s="340"/>
    </row>
    <row r="201" spans="1:4" ht="12.75">
      <c r="A201" s="446"/>
      <c r="B201" s="949" t="s">
        <v>671</v>
      </c>
      <c r="C201" s="949"/>
      <c r="D201" s="341"/>
    </row>
    <row r="202" spans="1:4" ht="12.75">
      <c r="A202" s="445"/>
      <c r="B202" s="964" t="s">
        <v>909</v>
      </c>
      <c r="C202" s="964"/>
      <c r="D202" s="342"/>
    </row>
    <row r="203" spans="1:4" ht="12.75">
      <c r="B203" s="949" t="s">
        <v>709</v>
      </c>
      <c r="C203" s="949"/>
      <c r="D203" s="343"/>
    </row>
    <row r="204" spans="1:4" ht="22.5">
      <c r="A204" s="441">
        <v>1</v>
      </c>
      <c r="B204" s="442" t="s">
        <v>685</v>
      </c>
      <c r="C204" s="439" t="s">
        <v>697</v>
      </c>
      <c r="D204" s="342"/>
    </row>
    <row r="205" spans="1:4" ht="18" customHeight="1">
      <c r="A205" s="441">
        <v>2</v>
      </c>
      <c r="B205" s="442" t="s">
        <v>686</v>
      </c>
      <c r="C205" s="439" t="s">
        <v>698</v>
      </c>
      <c r="D205" s="343"/>
    </row>
    <row r="206" spans="1:4" ht="22.5">
      <c r="A206" s="441">
        <v>3</v>
      </c>
      <c r="B206" s="442" t="s">
        <v>687</v>
      </c>
      <c r="C206" s="442" t="s">
        <v>699</v>
      </c>
      <c r="D206" s="344"/>
    </row>
    <row r="207" spans="1:4" ht="12.75">
      <c r="A207" s="441">
        <v>4</v>
      </c>
      <c r="B207" s="442" t="s">
        <v>688</v>
      </c>
      <c r="C207" s="442" t="s">
        <v>700</v>
      </c>
      <c r="D207" s="344"/>
    </row>
    <row r="208" spans="1:4" ht="22.5">
      <c r="A208" s="441">
        <v>5</v>
      </c>
      <c r="B208" s="442" t="s">
        <v>689</v>
      </c>
      <c r="C208" s="442" t="s">
        <v>701</v>
      </c>
    </row>
    <row r="209" spans="1:3" ht="24.6" customHeight="1">
      <c r="A209" s="441">
        <v>6</v>
      </c>
      <c r="B209" s="442" t="s">
        <v>690</v>
      </c>
      <c r="C209" s="442" t="s">
        <v>702</v>
      </c>
    </row>
    <row r="210" spans="1:3" ht="22.5">
      <c r="A210" s="441">
        <v>7</v>
      </c>
      <c r="B210" s="442" t="s">
        <v>691</v>
      </c>
      <c r="C210" s="442" t="s">
        <v>703</v>
      </c>
    </row>
    <row r="211" spans="1:3">
      <c r="A211" s="441">
        <v>7.1</v>
      </c>
      <c r="B211" s="444" t="s">
        <v>692</v>
      </c>
      <c r="C211" s="442" t="s">
        <v>704</v>
      </c>
    </row>
    <row r="212" spans="1:3" ht="22.5">
      <c r="A212" s="441">
        <v>7.2</v>
      </c>
      <c r="B212" s="444" t="s">
        <v>693</v>
      </c>
      <c r="C212" s="442" t="s">
        <v>705</v>
      </c>
    </row>
    <row r="213" spans="1:3">
      <c r="A213" s="441">
        <v>7.3</v>
      </c>
      <c r="B213" s="443" t="s">
        <v>694</v>
      </c>
      <c r="C213" s="442" t="s">
        <v>706</v>
      </c>
    </row>
    <row r="214" spans="1:3" ht="39.6" customHeight="1">
      <c r="A214" s="441">
        <v>8</v>
      </c>
      <c r="B214" s="442" t="s">
        <v>695</v>
      </c>
      <c r="C214" s="439" t="s">
        <v>707</v>
      </c>
    </row>
    <row r="215" spans="1:3">
      <c r="A215" s="441">
        <v>9</v>
      </c>
      <c r="B215" s="442" t="s">
        <v>696</v>
      </c>
      <c r="C215" s="439" t="s">
        <v>708</v>
      </c>
    </row>
    <row r="216" spans="1:3" ht="22.5">
      <c r="A216" s="484">
        <v>10.1</v>
      </c>
      <c r="B216" s="485" t="s">
        <v>716</v>
      </c>
      <c r="C216" s="476" t="s">
        <v>717</v>
      </c>
    </row>
    <row r="217" spans="1:3">
      <c r="A217" s="965"/>
      <c r="B217" s="486" t="s">
        <v>901</v>
      </c>
      <c r="C217" s="439" t="s">
        <v>908</v>
      </c>
    </row>
    <row r="218" spans="1:3">
      <c r="A218" s="965"/>
      <c r="B218" s="440" t="s">
        <v>567</v>
      </c>
      <c r="C218" s="439" t="s">
        <v>907</v>
      </c>
    </row>
    <row r="219" spans="1:3">
      <c r="A219" s="965"/>
      <c r="B219" s="440" t="s">
        <v>900</v>
      </c>
      <c r="C219" s="439" t="s">
        <v>945</v>
      </c>
    </row>
    <row r="220" spans="1:3">
      <c r="A220" s="965"/>
      <c r="B220" s="440" t="s">
        <v>710</v>
      </c>
      <c r="C220" s="439" t="s">
        <v>906</v>
      </c>
    </row>
    <row r="221" spans="1:3" ht="22.5">
      <c r="A221" s="965"/>
      <c r="B221" s="440" t="s">
        <v>714</v>
      </c>
      <c r="C221" s="455" t="s">
        <v>905</v>
      </c>
    </row>
    <row r="222" spans="1:3" ht="33.75">
      <c r="A222" s="965"/>
      <c r="B222" s="440" t="s">
        <v>713</v>
      </c>
      <c r="C222" s="439" t="s">
        <v>904</v>
      </c>
    </row>
    <row r="223" spans="1:3">
      <c r="A223" s="965"/>
      <c r="B223" s="440" t="s">
        <v>946</v>
      </c>
      <c r="C223" s="439" t="s">
        <v>903</v>
      </c>
    </row>
    <row r="224" spans="1:3" ht="22.5">
      <c r="A224" s="965"/>
      <c r="B224" s="440" t="s">
        <v>947</v>
      </c>
      <c r="C224" s="439" t="s">
        <v>902</v>
      </c>
    </row>
    <row r="225" spans="1:3" ht="12.75">
      <c r="A225" s="477"/>
      <c r="B225" s="478"/>
      <c r="C225" s="479"/>
    </row>
    <row r="226" spans="1:3" ht="12.75">
      <c r="A226" s="477"/>
      <c r="B226" s="479"/>
      <c r="C226" s="480"/>
    </row>
    <row r="227" spans="1:3" ht="12.75">
      <c r="A227" s="477"/>
      <c r="B227" s="479"/>
      <c r="C227" s="480"/>
    </row>
    <row r="228" spans="1:3" ht="12.75">
      <c r="A228" s="477"/>
      <c r="B228" s="481"/>
      <c r="C228" s="480"/>
    </row>
    <row r="229" spans="1:3" ht="12.75">
      <c r="A229" s="956"/>
      <c r="B229" s="482"/>
      <c r="C229" s="480"/>
    </row>
    <row r="230" spans="1:3" ht="12.75">
      <c r="A230" s="956"/>
      <c r="B230" s="482"/>
      <c r="C230" s="480"/>
    </row>
    <row r="231" spans="1:3" ht="12.75">
      <c r="A231" s="956"/>
      <c r="B231" s="482"/>
      <c r="C231" s="480"/>
    </row>
    <row r="232" spans="1:3" ht="12.75">
      <c r="A232" s="956"/>
      <c r="B232" s="482"/>
      <c r="C232" s="483"/>
    </row>
    <row r="233" spans="1:3" ht="40.5" customHeight="1">
      <c r="A233" s="956"/>
      <c r="B233" s="482"/>
      <c r="C233" s="480"/>
    </row>
    <row r="234" spans="1:3" ht="24" customHeight="1">
      <c r="A234" s="956"/>
      <c r="B234" s="482"/>
      <c r="C234" s="480"/>
    </row>
    <row r="235" spans="1:3" ht="12.75">
      <c r="A235" s="956"/>
      <c r="B235" s="482"/>
      <c r="C235" s="480"/>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85" workbookViewId="0"/>
  </sheetViews>
  <sheetFormatPr defaultRowHeight="15"/>
  <cols>
    <col min="2" max="2" width="93.85546875" customWidth="1"/>
    <col min="3" max="4" width="17.85546875" style="491" customWidth="1"/>
    <col min="5" max="5" width="17.85546875" style="514" customWidth="1"/>
    <col min="6" max="7" width="17.85546875" style="491" customWidth="1"/>
    <col min="8" max="8" width="17.85546875" style="514" customWidth="1"/>
  </cols>
  <sheetData>
    <row r="1" spans="1:8" ht="15.75">
      <c r="A1" s="15" t="s">
        <v>106</v>
      </c>
      <c r="B1" s="257" t="str">
        <f>Info!C2</f>
        <v>სს ”საქართველოს ბანკი”</v>
      </c>
      <c r="C1" s="724"/>
      <c r="D1" s="724"/>
      <c r="E1" s="498"/>
      <c r="F1" s="714"/>
      <c r="G1" s="489"/>
      <c r="H1" s="498"/>
    </row>
    <row r="2" spans="1:8" ht="15.75">
      <c r="A2" s="15" t="s">
        <v>107</v>
      </c>
      <c r="B2" s="647">
        <f>'1. key ratios'!B2</f>
        <v>45107</v>
      </c>
      <c r="C2" s="715"/>
      <c r="D2" s="490"/>
      <c r="E2" s="555"/>
      <c r="F2" s="715"/>
      <c r="G2" s="490"/>
      <c r="H2" s="555"/>
    </row>
    <row r="3" spans="1:8" ht="16.5" thickBot="1">
      <c r="A3" s="15"/>
      <c r="B3" s="14"/>
      <c r="C3" s="715"/>
      <c r="D3" s="490"/>
      <c r="E3" s="555"/>
      <c r="F3" s="715"/>
      <c r="G3" s="490"/>
      <c r="H3" s="555"/>
    </row>
    <row r="4" spans="1:8">
      <c r="A4" s="791" t="s">
        <v>24</v>
      </c>
      <c r="B4" s="797" t="s">
        <v>164</v>
      </c>
      <c r="C4" s="799" t="s">
        <v>112</v>
      </c>
      <c r="D4" s="799"/>
      <c r="E4" s="799"/>
      <c r="F4" s="799" t="s">
        <v>113</v>
      </c>
      <c r="G4" s="799"/>
      <c r="H4" s="800"/>
    </row>
    <row r="5" spans="1:8">
      <c r="A5" s="792"/>
      <c r="B5" s="798"/>
      <c r="C5" s="557" t="s">
        <v>25</v>
      </c>
      <c r="D5" s="557" t="s">
        <v>86</v>
      </c>
      <c r="E5" s="731" t="s">
        <v>64</v>
      </c>
      <c r="F5" s="557" t="s">
        <v>25</v>
      </c>
      <c r="G5" s="557" t="s">
        <v>86</v>
      </c>
      <c r="H5" s="739" t="s">
        <v>64</v>
      </c>
    </row>
    <row r="6" spans="1:8">
      <c r="A6" s="712">
        <v>1</v>
      </c>
      <c r="B6" s="732" t="s">
        <v>771</v>
      </c>
      <c r="C6" s="716">
        <v>884347316.58905995</v>
      </c>
      <c r="D6" s="716">
        <v>379782940.61400008</v>
      </c>
      <c r="E6" s="733">
        <f>C6+D6</f>
        <v>1264130257.2030602</v>
      </c>
      <c r="F6" s="716">
        <v>765992748.32317126</v>
      </c>
      <c r="G6" s="716">
        <v>264080913.79039991</v>
      </c>
      <c r="H6" s="740">
        <f>F6+G6</f>
        <v>1030073662.1135712</v>
      </c>
    </row>
    <row r="7" spans="1:8">
      <c r="A7" s="712">
        <v>1.1000000000000001</v>
      </c>
      <c r="B7" s="577" t="s">
        <v>725</v>
      </c>
      <c r="C7" s="716"/>
      <c r="D7" s="716"/>
      <c r="E7" s="733">
        <f t="shared" ref="E7:E45" si="0">C7+D7</f>
        <v>0</v>
      </c>
      <c r="F7" s="716"/>
      <c r="G7" s="716"/>
      <c r="H7" s="740">
        <f t="shared" ref="H7:H45" si="1">F7+G7</f>
        <v>0</v>
      </c>
    </row>
    <row r="8" spans="1:8" ht="21">
      <c r="A8" s="712">
        <v>1.2</v>
      </c>
      <c r="B8" s="577" t="s">
        <v>772</v>
      </c>
      <c r="C8" s="716"/>
      <c r="D8" s="716"/>
      <c r="E8" s="733">
        <f t="shared" si="0"/>
        <v>0</v>
      </c>
      <c r="F8" s="716"/>
      <c r="G8" s="716"/>
      <c r="H8" s="740">
        <f t="shared" si="1"/>
        <v>0</v>
      </c>
    </row>
    <row r="9" spans="1:8" ht="21">
      <c r="A9" s="712">
        <v>1.3</v>
      </c>
      <c r="B9" s="577" t="s">
        <v>773</v>
      </c>
      <c r="C9" s="716">
        <v>1043635.4999999994</v>
      </c>
      <c r="D9" s="716"/>
      <c r="E9" s="733">
        <f t="shared" si="0"/>
        <v>1043635.4999999994</v>
      </c>
      <c r="F9" s="716"/>
      <c r="G9" s="716"/>
      <c r="H9" s="740">
        <f t="shared" si="1"/>
        <v>0</v>
      </c>
    </row>
    <row r="10" spans="1:8">
      <c r="A10" s="712">
        <v>1.4</v>
      </c>
      <c r="B10" s="577" t="s">
        <v>729</v>
      </c>
      <c r="C10" s="716">
        <v>108116363.11999999</v>
      </c>
      <c r="D10" s="716">
        <v>41615846.869999997</v>
      </c>
      <c r="E10" s="733">
        <f t="shared" si="0"/>
        <v>149732209.98999998</v>
      </c>
      <c r="F10" s="716">
        <v>132763587.7</v>
      </c>
      <c r="G10" s="716">
        <v>690518.73000000417</v>
      </c>
      <c r="H10" s="740">
        <f t="shared" si="1"/>
        <v>133454106.43000001</v>
      </c>
    </row>
    <row r="11" spans="1:8">
      <c r="A11" s="712">
        <v>1.5</v>
      </c>
      <c r="B11" s="577" t="s">
        <v>732</v>
      </c>
      <c r="C11" s="716">
        <v>773555342.26698196</v>
      </c>
      <c r="D11" s="716">
        <v>338167093.74400008</v>
      </c>
      <c r="E11" s="733">
        <f t="shared" si="0"/>
        <v>1111722436.010982</v>
      </c>
      <c r="F11" s="716">
        <v>631442451.79350007</v>
      </c>
      <c r="G11" s="716">
        <v>263390395.06039989</v>
      </c>
      <c r="H11" s="740">
        <f t="shared" si="1"/>
        <v>894832846.85389996</v>
      </c>
    </row>
    <row r="12" spans="1:8">
      <c r="A12" s="712">
        <v>1.6</v>
      </c>
      <c r="B12" s="577" t="s">
        <v>97</v>
      </c>
      <c r="C12" s="716">
        <v>1631975.7020779699</v>
      </c>
      <c r="D12" s="716"/>
      <c r="E12" s="733">
        <f t="shared" si="0"/>
        <v>1631975.7020779699</v>
      </c>
      <c r="F12" s="716">
        <v>1786708.8296711864</v>
      </c>
      <c r="G12" s="716"/>
      <c r="H12" s="740">
        <f t="shared" si="1"/>
        <v>1786708.8296711864</v>
      </c>
    </row>
    <row r="13" spans="1:8">
      <c r="A13" s="712">
        <v>2</v>
      </c>
      <c r="B13" s="732" t="s">
        <v>774</v>
      </c>
      <c r="C13" s="716">
        <v>-442466968.63</v>
      </c>
      <c r="D13" s="716">
        <v>-79221137.860100001</v>
      </c>
      <c r="E13" s="733">
        <f t="shared" si="0"/>
        <v>-521688106.49010003</v>
      </c>
      <c r="F13" s="716">
        <v>-402041826.25009996</v>
      </c>
      <c r="G13" s="716">
        <v>-94044871.420000061</v>
      </c>
      <c r="H13" s="740">
        <f t="shared" si="1"/>
        <v>-496086697.67010003</v>
      </c>
    </row>
    <row r="14" spans="1:8">
      <c r="A14" s="712">
        <v>2.1</v>
      </c>
      <c r="B14" s="577" t="s">
        <v>775</v>
      </c>
      <c r="C14" s="716"/>
      <c r="D14" s="716"/>
      <c r="E14" s="733">
        <f t="shared" si="0"/>
        <v>0</v>
      </c>
      <c r="F14" s="716"/>
      <c r="G14" s="716"/>
      <c r="H14" s="740">
        <f t="shared" si="1"/>
        <v>0</v>
      </c>
    </row>
    <row r="15" spans="1:8" ht="21">
      <c r="A15" s="712">
        <v>2.2000000000000002</v>
      </c>
      <c r="B15" s="577" t="s">
        <v>776</v>
      </c>
      <c r="C15" s="716"/>
      <c r="D15" s="716"/>
      <c r="E15" s="733">
        <f t="shared" si="0"/>
        <v>0</v>
      </c>
      <c r="F15" s="716"/>
      <c r="G15" s="716"/>
      <c r="H15" s="740">
        <f t="shared" si="1"/>
        <v>0</v>
      </c>
    </row>
    <row r="16" spans="1:8">
      <c r="A16" s="712">
        <v>2.2999999999999998</v>
      </c>
      <c r="B16" s="577" t="s">
        <v>777</v>
      </c>
      <c r="C16" s="716">
        <v>-440173667.12</v>
      </c>
      <c r="D16" s="716">
        <v>-93750828.8301</v>
      </c>
      <c r="E16" s="733">
        <f t="shared" si="0"/>
        <v>-533924495.9501</v>
      </c>
      <c r="F16" s="716">
        <v>-399751793.30009997</v>
      </c>
      <c r="G16" s="716">
        <v>-105562408.39000006</v>
      </c>
      <c r="H16" s="740">
        <f t="shared" si="1"/>
        <v>-505314201.69010001</v>
      </c>
    </row>
    <row r="17" spans="1:8">
      <c r="A17" s="712">
        <v>2.4</v>
      </c>
      <c r="B17" s="577" t="s">
        <v>778</v>
      </c>
      <c r="C17" s="716">
        <v>-2293301.5099999998</v>
      </c>
      <c r="D17" s="716">
        <v>14529690.970000001</v>
      </c>
      <c r="E17" s="733">
        <f t="shared" si="0"/>
        <v>12236389.460000001</v>
      </c>
      <c r="F17" s="716">
        <v>-2290032.9500000002</v>
      </c>
      <c r="G17" s="716">
        <v>11517536.970000001</v>
      </c>
      <c r="H17" s="740">
        <f t="shared" si="1"/>
        <v>9227504.0199999996</v>
      </c>
    </row>
    <row r="18" spans="1:8">
      <c r="A18" s="712">
        <v>3</v>
      </c>
      <c r="B18" s="732" t="s">
        <v>779</v>
      </c>
      <c r="C18" s="716"/>
      <c r="D18" s="716"/>
      <c r="E18" s="733">
        <f t="shared" si="0"/>
        <v>0</v>
      </c>
      <c r="F18" s="716"/>
      <c r="G18" s="716"/>
      <c r="H18" s="740">
        <f t="shared" si="1"/>
        <v>0</v>
      </c>
    </row>
    <row r="19" spans="1:8">
      <c r="A19" s="712">
        <v>4</v>
      </c>
      <c r="B19" s="732" t="s">
        <v>780</v>
      </c>
      <c r="C19" s="716">
        <v>206261731.39999998</v>
      </c>
      <c r="D19" s="716">
        <v>93722268.600000024</v>
      </c>
      <c r="E19" s="733">
        <f t="shared" si="0"/>
        <v>299984000</v>
      </c>
      <c r="F19" s="716">
        <v>149282466.76999998</v>
      </c>
      <c r="G19" s="716">
        <v>75393533.230000019</v>
      </c>
      <c r="H19" s="740">
        <f t="shared" si="1"/>
        <v>224676000</v>
      </c>
    </row>
    <row r="20" spans="1:8">
      <c r="A20" s="712">
        <v>5</v>
      </c>
      <c r="B20" s="732" t="s">
        <v>781</v>
      </c>
      <c r="C20" s="716">
        <v>-69851566.899999991</v>
      </c>
      <c r="D20" s="716">
        <v>-90703723.309999987</v>
      </c>
      <c r="E20" s="733">
        <f t="shared" si="0"/>
        <v>-160555290.20999998</v>
      </c>
      <c r="F20" s="716">
        <v>-47976434.170000002</v>
      </c>
      <c r="G20" s="716">
        <v>-64547492.699999988</v>
      </c>
      <c r="H20" s="740">
        <f t="shared" si="1"/>
        <v>-112523926.86999999</v>
      </c>
    </row>
    <row r="21" spans="1:8" ht="31.5">
      <c r="A21" s="712">
        <v>6</v>
      </c>
      <c r="B21" s="732" t="s">
        <v>782</v>
      </c>
      <c r="C21" s="716">
        <v>0</v>
      </c>
      <c r="D21" s="716"/>
      <c r="E21" s="733">
        <f t="shared" si="0"/>
        <v>0</v>
      </c>
      <c r="F21" s="716">
        <v>0</v>
      </c>
      <c r="G21" s="716"/>
      <c r="H21" s="740">
        <f t="shared" si="1"/>
        <v>0</v>
      </c>
    </row>
    <row r="22" spans="1:8" ht="21">
      <c r="A22" s="712">
        <v>7</v>
      </c>
      <c r="B22" s="732" t="s">
        <v>783</v>
      </c>
      <c r="C22" s="716"/>
      <c r="D22" s="716"/>
      <c r="E22" s="733">
        <f t="shared" si="0"/>
        <v>0</v>
      </c>
      <c r="F22" s="716"/>
      <c r="G22" s="716"/>
      <c r="H22" s="740">
        <f t="shared" si="1"/>
        <v>0</v>
      </c>
    </row>
    <row r="23" spans="1:8" ht="21">
      <c r="A23" s="712">
        <v>8</v>
      </c>
      <c r="B23" s="734" t="s">
        <v>784</v>
      </c>
      <c r="C23" s="716">
        <v>18196000</v>
      </c>
      <c r="D23" s="716"/>
      <c r="E23" s="733">
        <f t="shared" si="0"/>
        <v>18196000</v>
      </c>
      <c r="F23" s="716">
        <v>-1518000</v>
      </c>
      <c r="G23" s="716"/>
      <c r="H23" s="740">
        <f t="shared" si="1"/>
        <v>-1518000</v>
      </c>
    </row>
    <row r="24" spans="1:8" ht="21">
      <c r="A24" s="712">
        <v>9</v>
      </c>
      <c r="B24" s="734" t="s">
        <v>785</v>
      </c>
      <c r="C24" s="716">
        <v>0</v>
      </c>
      <c r="D24" s="716"/>
      <c r="E24" s="733">
        <f t="shared" si="0"/>
        <v>0</v>
      </c>
      <c r="F24" s="716">
        <v>0</v>
      </c>
      <c r="G24" s="716"/>
      <c r="H24" s="740">
        <f t="shared" si="1"/>
        <v>0</v>
      </c>
    </row>
    <row r="25" spans="1:8">
      <c r="A25" s="712">
        <v>10</v>
      </c>
      <c r="B25" s="732" t="s">
        <v>786</v>
      </c>
      <c r="C25" s="716">
        <v>160361000</v>
      </c>
      <c r="D25" s="716">
        <v>0</v>
      </c>
      <c r="E25" s="733">
        <f t="shared" si="0"/>
        <v>160361000</v>
      </c>
      <c r="F25" s="716">
        <v>156463000</v>
      </c>
      <c r="G25" s="716">
        <v>0</v>
      </c>
      <c r="H25" s="740">
        <f t="shared" si="1"/>
        <v>156463000</v>
      </c>
    </row>
    <row r="26" spans="1:8" ht="21">
      <c r="A26" s="712">
        <v>11</v>
      </c>
      <c r="B26" s="732" t="s">
        <v>787</v>
      </c>
      <c r="C26" s="716">
        <v>69622661.40625529</v>
      </c>
      <c r="D26" s="716"/>
      <c r="E26" s="733">
        <f t="shared" si="0"/>
        <v>69622661.40625529</v>
      </c>
      <c r="F26" s="716">
        <v>3887150.44</v>
      </c>
      <c r="G26" s="716"/>
      <c r="H26" s="740">
        <f t="shared" si="1"/>
        <v>3887150.44</v>
      </c>
    </row>
    <row r="27" spans="1:8">
      <c r="A27" s="712">
        <v>12</v>
      </c>
      <c r="B27" s="732" t="s">
        <v>788</v>
      </c>
      <c r="C27" s="716">
        <v>3805000</v>
      </c>
      <c r="D27" s="716"/>
      <c r="E27" s="733">
        <f t="shared" si="0"/>
        <v>3805000</v>
      </c>
      <c r="F27" s="716">
        <v>2870858.83</v>
      </c>
      <c r="G27" s="716"/>
      <c r="H27" s="740">
        <f t="shared" si="1"/>
        <v>2870858.83</v>
      </c>
    </row>
    <row r="28" spans="1:8">
      <c r="A28" s="712">
        <v>13</v>
      </c>
      <c r="B28" s="732" t="s">
        <v>789</v>
      </c>
      <c r="C28" s="716">
        <v>-41637.404399871899</v>
      </c>
      <c r="D28" s="716"/>
      <c r="E28" s="733">
        <f t="shared" si="0"/>
        <v>-41637.404399871899</v>
      </c>
      <c r="F28" s="716">
        <v>-1179672.770441134</v>
      </c>
      <c r="G28" s="716"/>
      <c r="H28" s="740">
        <f t="shared" si="1"/>
        <v>-1179672.770441134</v>
      </c>
    </row>
    <row r="29" spans="1:8">
      <c r="A29" s="712">
        <v>14</v>
      </c>
      <c r="B29" s="732" t="s">
        <v>790</v>
      </c>
      <c r="C29" s="716">
        <v>-229551884.60000002</v>
      </c>
      <c r="D29" s="716">
        <v>0</v>
      </c>
      <c r="E29" s="733">
        <f t="shared" si="0"/>
        <v>-229551884.60000002</v>
      </c>
      <c r="F29" s="716">
        <v>-199037369.43000001</v>
      </c>
      <c r="G29" s="716">
        <v>0</v>
      </c>
      <c r="H29" s="740">
        <f t="shared" si="1"/>
        <v>-199037369.43000001</v>
      </c>
    </row>
    <row r="30" spans="1:8">
      <c r="A30" s="712">
        <v>14.1</v>
      </c>
      <c r="B30" s="569" t="s">
        <v>791</v>
      </c>
      <c r="C30" s="716">
        <v>-163282027.21000001</v>
      </c>
      <c r="D30" s="716"/>
      <c r="E30" s="733">
        <f t="shared" si="0"/>
        <v>-163282027.21000001</v>
      </c>
      <c r="F30" s="716">
        <v>-144546902.50999999</v>
      </c>
      <c r="G30" s="716"/>
      <c r="H30" s="740">
        <f t="shared" si="1"/>
        <v>-144546902.50999999</v>
      </c>
    </row>
    <row r="31" spans="1:8">
      <c r="A31" s="712">
        <v>14.2</v>
      </c>
      <c r="B31" s="569" t="s">
        <v>998</v>
      </c>
      <c r="C31" s="716">
        <v>-66269857.390000001</v>
      </c>
      <c r="D31" s="716"/>
      <c r="E31" s="733">
        <f t="shared" si="0"/>
        <v>-66269857.390000001</v>
      </c>
      <c r="F31" s="716">
        <v>-54490466.920000002</v>
      </c>
      <c r="G31" s="716"/>
      <c r="H31" s="740">
        <f t="shared" si="1"/>
        <v>-54490466.920000002</v>
      </c>
    </row>
    <row r="32" spans="1:8">
      <c r="A32" s="712">
        <v>15</v>
      </c>
      <c r="B32" s="735" t="s">
        <v>792</v>
      </c>
      <c r="C32" s="716">
        <v>-47650476.130000003</v>
      </c>
      <c r="D32" s="716"/>
      <c r="E32" s="733">
        <f t="shared" si="0"/>
        <v>-47650476.130000003</v>
      </c>
      <c r="F32" s="716">
        <v>-43291210.509999998</v>
      </c>
      <c r="G32" s="716"/>
      <c r="H32" s="740">
        <f t="shared" si="1"/>
        <v>-43291210.509999998</v>
      </c>
    </row>
    <row r="33" spans="1:8">
      <c r="A33" s="712">
        <v>16</v>
      </c>
      <c r="B33" s="565" t="s">
        <v>793</v>
      </c>
      <c r="C33" s="716">
        <v>-11079160.449999999</v>
      </c>
      <c r="D33" s="716">
        <v>651584.39</v>
      </c>
      <c r="E33" s="733">
        <f t="shared" si="0"/>
        <v>-10427576.059999999</v>
      </c>
      <c r="F33" s="716">
        <v>-11260173.16</v>
      </c>
      <c r="G33" s="716">
        <v>395332.37</v>
      </c>
      <c r="H33" s="740">
        <f t="shared" si="1"/>
        <v>-10864840.790000001</v>
      </c>
    </row>
    <row r="34" spans="1:8">
      <c r="A34" s="712">
        <v>17</v>
      </c>
      <c r="B34" s="732" t="s">
        <v>794</v>
      </c>
      <c r="C34" s="716">
        <v>-981934.85899999994</v>
      </c>
      <c r="D34" s="716">
        <v>0</v>
      </c>
      <c r="E34" s="733">
        <f t="shared" si="0"/>
        <v>-981934.85899999994</v>
      </c>
      <c r="F34" s="716">
        <v>541977.83129999996</v>
      </c>
      <c r="G34" s="716">
        <v>0</v>
      </c>
      <c r="H34" s="740">
        <f t="shared" si="1"/>
        <v>541977.83129999996</v>
      </c>
    </row>
    <row r="35" spans="1:8">
      <c r="A35" s="712">
        <v>17.100000000000001</v>
      </c>
      <c r="B35" s="569" t="s">
        <v>795</v>
      </c>
      <c r="C35" s="716">
        <v>-683660.69900000002</v>
      </c>
      <c r="D35" s="716"/>
      <c r="E35" s="733">
        <f t="shared" si="0"/>
        <v>-683660.69900000002</v>
      </c>
      <c r="F35" s="716">
        <v>594529.57129999995</v>
      </c>
      <c r="G35" s="716"/>
      <c r="H35" s="740">
        <f t="shared" si="1"/>
        <v>594529.57129999995</v>
      </c>
    </row>
    <row r="36" spans="1:8">
      <c r="A36" s="712">
        <v>17.2</v>
      </c>
      <c r="B36" s="569" t="s">
        <v>796</v>
      </c>
      <c r="C36" s="716">
        <v>-298274.15999999997</v>
      </c>
      <c r="D36" s="716"/>
      <c r="E36" s="733">
        <f t="shared" si="0"/>
        <v>-298274.15999999997</v>
      </c>
      <c r="F36" s="716">
        <v>-52551.74</v>
      </c>
      <c r="G36" s="716"/>
      <c r="H36" s="740">
        <f t="shared" si="1"/>
        <v>-52551.74</v>
      </c>
    </row>
    <row r="37" spans="1:8" ht="21">
      <c r="A37" s="712">
        <v>18</v>
      </c>
      <c r="B37" s="736" t="s">
        <v>797</v>
      </c>
      <c r="C37" s="716">
        <v>-73773156.162228853</v>
      </c>
      <c r="D37" s="716">
        <v>0</v>
      </c>
      <c r="E37" s="733">
        <f t="shared" si="0"/>
        <v>-73773156.162228853</v>
      </c>
      <c r="F37" s="716">
        <v>-35237088.896291323</v>
      </c>
      <c r="G37" s="716">
        <v>0</v>
      </c>
      <c r="H37" s="740">
        <f t="shared" si="1"/>
        <v>-35237088.896291323</v>
      </c>
    </row>
    <row r="38" spans="1:8">
      <c r="A38" s="712">
        <v>18.100000000000001</v>
      </c>
      <c r="B38" s="577" t="s">
        <v>798</v>
      </c>
      <c r="C38" s="716">
        <v>1868025.5100000002</v>
      </c>
      <c r="D38" s="716"/>
      <c r="E38" s="733">
        <f t="shared" si="0"/>
        <v>1868025.5100000002</v>
      </c>
      <c r="F38" s="716">
        <v>-456477.33999999997</v>
      </c>
      <c r="G38" s="716"/>
      <c r="H38" s="740">
        <f t="shared" si="1"/>
        <v>-456477.33999999997</v>
      </c>
    </row>
    <row r="39" spans="1:8">
      <c r="A39" s="712">
        <v>18.2</v>
      </c>
      <c r="B39" s="577" t="s">
        <v>799</v>
      </c>
      <c r="C39" s="716">
        <v>-75641181.672228858</v>
      </c>
      <c r="D39" s="716"/>
      <c r="E39" s="733">
        <f t="shared" si="0"/>
        <v>-75641181.672228858</v>
      </c>
      <c r="F39" s="716">
        <v>-34780611.556291319</v>
      </c>
      <c r="G39" s="716"/>
      <c r="H39" s="740">
        <f t="shared" si="1"/>
        <v>-34780611.556291319</v>
      </c>
    </row>
    <row r="40" spans="1:8" ht="21">
      <c r="A40" s="712">
        <v>19</v>
      </c>
      <c r="B40" s="736" t="s">
        <v>800</v>
      </c>
      <c r="C40" s="716"/>
      <c r="D40" s="716"/>
      <c r="E40" s="733">
        <f t="shared" si="0"/>
        <v>0</v>
      </c>
      <c r="F40" s="716"/>
      <c r="G40" s="716"/>
      <c r="H40" s="740">
        <f t="shared" si="1"/>
        <v>0</v>
      </c>
    </row>
    <row r="41" spans="1:8">
      <c r="A41" s="712">
        <v>20</v>
      </c>
      <c r="B41" s="736" t="s">
        <v>801</v>
      </c>
      <c r="C41" s="716">
        <v>-6204135.4063438391</v>
      </c>
      <c r="D41" s="716"/>
      <c r="E41" s="733">
        <f t="shared" si="0"/>
        <v>-6204135.4063438391</v>
      </c>
      <c r="F41" s="716">
        <v>-6518388.5499999998</v>
      </c>
      <c r="G41" s="716"/>
      <c r="H41" s="740">
        <f t="shared" si="1"/>
        <v>-6518388.5499999998</v>
      </c>
    </row>
    <row r="42" spans="1:8" ht="21">
      <c r="A42" s="712">
        <v>21</v>
      </c>
      <c r="B42" s="737" t="s">
        <v>802</v>
      </c>
      <c r="C42" s="716"/>
      <c r="D42" s="716"/>
      <c r="E42" s="733">
        <f t="shared" si="0"/>
        <v>0</v>
      </c>
      <c r="F42" s="716"/>
      <c r="G42" s="716"/>
      <c r="H42" s="740">
        <f t="shared" si="1"/>
        <v>0</v>
      </c>
    </row>
    <row r="43" spans="1:8">
      <c r="A43" s="712">
        <v>22</v>
      </c>
      <c r="B43" s="738" t="s">
        <v>803</v>
      </c>
      <c r="C43" s="716">
        <v>460992788.85334253</v>
      </c>
      <c r="D43" s="716">
        <v>304231932.43390006</v>
      </c>
      <c r="E43" s="733">
        <f t="shared" si="0"/>
        <v>765224721.28724265</v>
      </c>
      <c r="F43" s="716">
        <v>330978038.45763886</v>
      </c>
      <c r="G43" s="716">
        <v>181277415.27039987</v>
      </c>
      <c r="H43" s="740">
        <f t="shared" si="1"/>
        <v>512255453.72803873</v>
      </c>
    </row>
    <row r="44" spans="1:8">
      <c r="A44" s="712">
        <v>23</v>
      </c>
      <c r="B44" s="738" t="s">
        <v>804</v>
      </c>
      <c r="C44" s="716">
        <v>114143931.19222438</v>
      </c>
      <c r="D44" s="716"/>
      <c r="E44" s="733">
        <f t="shared" si="0"/>
        <v>114143931.19222438</v>
      </c>
      <c r="F44" s="716">
        <v>56315766.380000003</v>
      </c>
      <c r="G44" s="716"/>
      <c r="H44" s="740">
        <f t="shared" si="1"/>
        <v>56315766.380000003</v>
      </c>
    </row>
    <row r="45" spans="1:8" ht="15.75" thickBot="1">
      <c r="A45" s="741">
        <v>24</v>
      </c>
      <c r="B45" s="742" t="s">
        <v>805</v>
      </c>
      <c r="C45" s="719">
        <v>346848857.66111815</v>
      </c>
      <c r="D45" s="719">
        <v>304231932.43390006</v>
      </c>
      <c r="E45" s="743">
        <f t="shared" si="0"/>
        <v>651080790.09501815</v>
      </c>
      <c r="F45" s="719">
        <v>274662272.07763886</v>
      </c>
      <c r="G45" s="719">
        <v>181277415.27039987</v>
      </c>
      <c r="H45" s="744">
        <f t="shared" si="1"/>
        <v>455939687.34803873</v>
      </c>
    </row>
  </sheetData>
  <mergeCells count="4">
    <mergeCell ref="B4:B5"/>
    <mergeCell ref="C4:E4"/>
    <mergeCell ref="F4:H4"/>
    <mergeCell ref="A4:A5"/>
  </mergeCells>
  <pageMargins left="0.7" right="0.7" top="0.75" bottom="0.75" header="0.3" footer="0.3"/>
  <pageSetup paperSize="9" scale="4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RowHeight="15"/>
  <cols>
    <col min="1" max="1" width="8.7109375" style="347"/>
    <col min="2" max="2" width="87.5703125" bestFit="1" customWidth="1"/>
    <col min="3" max="3" width="21" customWidth="1"/>
    <col min="4" max="4" width="21.42578125" customWidth="1"/>
    <col min="5" max="5" width="20.7109375" customWidth="1"/>
    <col min="6" max="6" width="20" customWidth="1"/>
    <col min="7" max="7" width="17" customWidth="1"/>
    <col min="8" max="8" width="20.85546875" customWidth="1"/>
  </cols>
  <sheetData>
    <row r="1" spans="1:8" ht="15.75">
      <c r="A1" s="15" t="s">
        <v>106</v>
      </c>
      <c r="B1" s="257" t="str">
        <f>Info!C2</f>
        <v>სს ”საქართველოს ბანკი”</v>
      </c>
      <c r="C1" s="14"/>
      <c r="D1" s="192"/>
      <c r="E1" s="192"/>
      <c r="F1" s="192"/>
      <c r="G1" s="192"/>
    </row>
    <row r="2" spans="1:8" ht="15.75">
      <c r="A2" s="15" t="s">
        <v>107</v>
      </c>
      <c r="B2" s="647">
        <f>'1. key ratios'!B2</f>
        <v>45107</v>
      </c>
      <c r="C2" s="27"/>
      <c r="D2" s="16"/>
      <c r="E2" s="16"/>
      <c r="F2" s="16"/>
      <c r="G2" s="16"/>
      <c r="H2" s="1"/>
    </row>
    <row r="3" spans="1:8" ht="16.5" thickBot="1">
      <c r="A3" s="15"/>
      <c r="B3" s="14"/>
      <c r="C3" s="27"/>
      <c r="D3" s="16"/>
      <c r="E3" s="16"/>
      <c r="F3" s="16"/>
      <c r="G3" s="16"/>
      <c r="H3" s="1"/>
    </row>
    <row r="4" spans="1:8" ht="15.75">
      <c r="A4" s="791" t="s">
        <v>24</v>
      </c>
      <c r="B4" s="801" t="s">
        <v>149</v>
      </c>
      <c r="C4" s="803" t="s">
        <v>112</v>
      </c>
      <c r="D4" s="803"/>
      <c r="E4" s="803"/>
      <c r="F4" s="803" t="s">
        <v>113</v>
      </c>
      <c r="G4" s="803"/>
      <c r="H4" s="804"/>
    </row>
    <row r="5" spans="1:8">
      <c r="A5" s="792"/>
      <c r="B5" s="802"/>
      <c r="C5" s="745" t="s">
        <v>25</v>
      </c>
      <c r="D5" s="745" t="s">
        <v>86</v>
      </c>
      <c r="E5" s="745" t="s">
        <v>64</v>
      </c>
      <c r="F5" s="745" t="s">
        <v>25</v>
      </c>
      <c r="G5" s="745" t="s">
        <v>86</v>
      </c>
      <c r="H5" s="746" t="s">
        <v>64</v>
      </c>
    </row>
    <row r="6" spans="1:8" ht="15.75">
      <c r="A6" s="579">
        <v>1</v>
      </c>
      <c r="B6" s="747" t="s">
        <v>806</v>
      </c>
      <c r="C6" s="556"/>
      <c r="D6" s="556"/>
      <c r="E6" s="748">
        <f t="shared" ref="E6:E43" si="0">C6+D6</f>
        <v>0</v>
      </c>
      <c r="F6" s="556"/>
      <c r="G6" s="556"/>
      <c r="H6" s="749">
        <f t="shared" ref="H6:H43" si="1">F6+G6</f>
        <v>0</v>
      </c>
    </row>
    <row r="7" spans="1:8" ht="15.75">
      <c r="A7" s="579">
        <v>2</v>
      </c>
      <c r="B7" s="750" t="s">
        <v>174</v>
      </c>
      <c r="C7" s="556"/>
      <c r="D7" s="556"/>
      <c r="E7" s="748">
        <f t="shared" si="0"/>
        <v>0</v>
      </c>
      <c r="F7" s="556"/>
      <c r="G7" s="556"/>
      <c r="H7" s="749">
        <f t="shared" si="1"/>
        <v>0</v>
      </c>
    </row>
    <row r="8" spans="1:8" ht="15.75">
      <c r="A8" s="579">
        <v>3</v>
      </c>
      <c r="B8" s="750" t="s">
        <v>176</v>
      </c>
      <c r="C8" s="556">
        <f>C9+C10</f>
        <v>1008039136.52</v>
      </c>
      <c r="D8" s="556">
        <f>D9+D10</f>
        <v>580768891.05879998</v>
      </c>
      <c r="E8" s="748">
        <f t="shared" si="0"/>
        <v>1588808027.5788</v>
      </c>
      <c r="F8" s="556">
        <f>F9+F10</f>
        <v>837620947.3499999</v>
      </c>
      <c r="G8" s="556">
        <f>G9+G10</f>
        <v>632013149.08290005</v>
      </c>
      <c r="H8" s="748">
        <f t="shared" si="1"/>
        <v>1469634096.4329</v>
      </c>
    </row>
    <row r="9" spans="1:8" ht="15.75">
      <c r="A9" s="579">
        <v>3.1</v>
      </c>
      <c r="B9" s="751" t="s">
        <v>807</v>
      </c>
      <c r="C9" s="556">
        <v>477192746.48000002</v>
      </c>
      <c r="D9" s="556">
        <v>244682743.81999999</v>
      </c>
      <c r="E9" s="748">
        <f t="shared" si="0"/>
        <v>721875490.29999995</v>
      </c>
      <c r="F9" s="556">
        <v>316537345.06999999</v>
      </c>
      <c r="G9" s="556">
        <v>255068815.72999999</v>
      </c>
      <c r="H9" s="748">
        <f t="shared" si="1"/>
        <v>571606160.79999995</v>
      </c>
    </row>
    <row r="10" spans="1:8" ht="15.75">
      <c r="A10" s="579">
        <v>3.2</v>
      </c>
      <c r="B10" s="751" t="s">
        <v>808</v>
      </c>
      <c r="C10" s="556">
        <v>530846390.04000002</v>
      </c>
      <c r="D10" s="556">
        <v>336086147.23879999</v>
      </c>
      <c r="E10" s="748">
        <f t="shared" si="0"/>
        <v>866932537.27880001</v>
      </c>
      <c r="F10" s="556">
        <v>521083602.27999997</v>
      </c>
      <c r="G10" s="556">
        <v>376944333.35290003</v>
      </c>
      <c r="H10" s="748">
        <f t="shared" si="1"/>
        <v>898027935.6329</v>
      </c>
    </row>
    <row r="11" spans="1:8" ht="15.75">
      <c r="A11" s="579">
        <v>4</v>
      </c>
      <c r="B11" s="750" t="s">
        <v>175</v>
      </c>
      <c r="C11" s="556">
        <f>C12+C13</f>
        <v>1666550000</v>
      </c>
      <c r="D11" s="556">
        <f>D12+D13</f>
        <v>0</v>
      </c>
      <c r="E11" s="748">
        <f t="shared" si="0"/>
        <v>1666550000</v>
      </c>
      <c r="F11" s="556">
        <f>F12+F13</f>
        <v>3193181000</v>
      </c>
      <c r="G11" s="556">
        <f>G12+G13</f>
        <v>0</v>
      </c>
      <c r="H11" s="748">
        <f t="shared" si="1"/>
        <v>3193181000</v>
      </c>
    </row>
    <row r="12" spans="1:8" ht="15.75">
      <c r="A12" s="579">
        <v>4.0999999999999996</v>
      </c>
      <c r="B12" s="751" t="s">
        <v>809</v>
      </c>
      <c r="C12" s="556">
        <v>1666550000</v>
      </c>
      <c r="D12" s="556"/>
      <c r="E12" s="748">
        <f t="shared" si="0"/>
        <v>1666550000</v>
      </c>
      <c r="F12" s="556">
        <v>3193181000</v>
      </c>
      <c r="G12" s="556">
        <v>0</v>
      </c>
      <c r="H12" s="748">
        <f t="shared" si="1"/>
        <v>3193181000</v>
      </c>
    </row>
    <row r="13" spans="1:8" ht="15.75">
      <c r="A13" s="579">
        <v>4.2</v>
      </c>
      <c r="B13" s="751" t="s">
        <v>810</v>
      </c>
      <c r="C13" s="556"/>
      <c r="D13" s="556"/>
      <c r="E13" s="748">
        <f t="shared" si="0"/>
        <v>0</v>
      </c>
      <c r="F13" s="556"/>
      <c r="G13" s="556"/>
      <c r="H13" s="748">
        <f t="shared" si="1"/>
        <v>0</v>
      </c>
    </row>
    <row r="14" spans="1:8" ht="15.75">
      <c r="A14" s="579">
        <v>5</v>
      </c>
      <c r="B14" s="752" t="s">
        <v>811</v>
      </c>
      <c r="C14" s="556">
        <f>C15+C16+C17+C23+C24+C25+C26</f>
        <v>19358650455.279999</v>
      </c>
      <c r="D14" s="556">
        <f>D15+D16+D17+D23+D24+D25+D26</f>
        <v>23400784281.68</v>
      </c>
      <c r="E14" s="748">
        <f t="shared" si="0"/>
        <v>42759434736.959999</v>
      </c>
      <c r="F14" s="556">
        <f>F15+F16+F17+F23+F24+F25+F26</f>
        <v>14340747075.110001</v>
      </c>
      <c r="G14" s="556">
        <f>G15+G16+G17+G23+G24+G25+G26</f>
        <v>19624133436.509998</v>
      </c>
      <c r="H14" s="748">
        <f t="shared" si="1"/>
        <v>33964880511.619999</v>
      </c>
    </row>
    <row r="15" spans="1:8" ht="15.75">
      <c r="A15" s="579">
        <v>5.0999999999999996</v>
      </c>
      <c r="B15" s="753" t="s">
        <v>812</v>
      </c>
      <c r="C15" s="556">
        <v>389373987.29000002</v>
      </c>
      <c r="D15" s="556">
        <v>180038733.78999999</v>
      </c>
      <c r="E15" s="748">
        <f t="shared" si="0"/>
        <v>569412721.08000004</v>
      </c>
      <c r="F15" s="556">
        <v>203568628.75999999</v>
      </c>
      <c r="G15" s="556">
        <v>223785498.69</v>
      </c>
      <c r="H15" s="748">
        <f t="shared" si="1"/>
        <v>427354127.44999999</v>
      </c>
    </row>
    <row r="16" spans="1:8" ht="15.75">
      <c r="A16" s="579">
        <v>5.2</v>
      </c>
      <c r="B16" s="753" t="s">
        <v>813</v>
      </c>
      <c r="C16" s="556">
        <v>180262590.81999999</v>
      </c>
      <c r="D16" s="556">
        <v>160809.35</v>
      </c>
      <c r="E16" s="748">
        <f t="shared" si="0"/>
        <v>180423400.16999999</v>
      </c>
      <c r="F16" s="556">
        <v>189910883.09</v>
      </c>
      <c r="G16" s="556">
        <v>286463.15999999997</v>
      </c>
      <c r="H16" s="748">
        <f t="shared" si="1"/>
        <v>190197346.25</v>
      </c>
    </row>
    <row r="17" spans="1:8" ht="15.75">
      <c r="A17" s="579">
        <v>5.3</v>
      </c>
      <c r="B17" s="753" t="s">
        <v>814</v>
      </c>
      <c r="C17" s="556">
        <f>SUM(C18:C26)</f>
        <v>16174581278.66</v>
      </c>
      <c r="D17" s="556">
        <f>SUM(D18:D26)</f>
        <v>18615177696.110001</v>
      </c>
      <c r="E17" s="748">
        <f>C17+D17</f>
        <v>34789758974.770004</v>
      </c>
      <c r="F17" s="556">
        <v>11232609193.41</v>
      </c>
      <c r="G17" s="556">
        <v>13583693688.709999</v>
      </c>
      <c r="H17" s="748">
        <f t="shared" si="1"/>
        <v>24816302882.119999</v>
      </c>
    </row>
    <row r="18" spans="1:8" ht="15.75">
      <c r="A18" s="579" t="s">
        <v>177</v>
      </c>
      <c r="B18" s="754" t="s">
        <v>815</v>
      </c>
      <c r="C18" s="556">
        <v>9558760332.9200001</v>
      </c>
      <c r="D18" s="556">
        <v>5373134266.6599998</v>
      </c>
      <c r="E18" s="748">
        <f t="shared" si="0"/>
        <v>14931894599.58</v>
      </c>
      <c r="F18" s="556">
        <v>8010905952.8000002</v>
      </c>
      <c r="G18" s="556">
        <v>5471078891.9399996</v>
      </c>
      <c r="H18" s="748">
        <f t="shared" si="1"/>
        <v>13481984844.74</v>
      </c>
    </row>
    <row r="19" spans="1:8" ht="15.75">
      <c r="A19" s="579" t="s">
        <v>178</v>
      </c>
      <c r="B19" s="755" t="s">
        <v>816</v>
      </c>
      <c r="C19" s="556">
        <v>2640024510.4200001</v>
      </c>
      <c r="D19" s="556">
        <v>7100426717.9700003</v>
      </c>
      <c r="E19" s="748">
        <f t="shared" si="0"/>
        <v>9740451228.3899994</v>
      </c>
      <c r="F19" s="556">
        <v>2008267574.51</v>
      </c>
      <c r="G19" s="556">
        <v>6117485473.8699999</v>
      </c>
      <c r="H19" s="748">
        <f t="shared" si="1"/>
        <v>8125753048.3800001</v>
      </c>
    </row>
    <row r="20" spans="1:8" ht="15.75">
      <c r="A20" s="579" t="s">
        <v>179</v>
      </c>
      <c r="B20" s="755" t="s">
        <v>817</v>
      </c>
      <c r="C20" s="556">
        <v>0</v>
      </c>
      <c r="D20" s="556">
        <v>0</v>
      </c>
      <c r="E20" s="748">
        <f t="shared" si="0"/>
        <v>0</v>
      </c>
      <c r="F20" s="556">
        <v>0</v>
      </c>
      <c r="G20" s="556">
        <v>0</v>
      </c>
      <c r="H20" s="748">
        <f t="shared" si="1"/>
        <v>0</v>
      </c>
    </row>
    <row r="21" spans="1:8" ht="15.75">
      <c r="A21" s="579" t="s">
        <v>180</v>
      </c>
      <c r="B21" s="755" t="s">
        <v>818</v>
      </c>
      <c r="C21" s="556">
        <v>1361363836.8099999</v>
      </c>
      <c r="D21" s="556">
        <v>1536209669.05</v>
      </c>
      <c r="E21" s="748">
        <f t="shared" si="0"/>
        <v>2897573505.8599997</v>
      </c>
      <c r="F21" s="556">
        <v>1213435666.0999999</v>
      </c>
      <c r="G21" s="556">
        <v>1995129322.9000001</v>
      </c>
      <c r="H21" s="748">
        <f t="shared" si="1"/>
        <v>3208564989</v>
      </c>
    </row>
    <row r="22" spans="1:8" ht="15.75">
      <c r="A22" s="579" t="s">
        <v>181</v>
      </c>
      <c r="B22" s="755" t="s">
        <v>536</v>
      </c>
      <c r="C22" s="556">
        <v>0</v>
      </c>
      <c r="D22" s="556">
        <v>0</v>
      </c>
      <c r="E22" s="748">
        <f t="shared" si="0"/>
        <v>0</v>
      </c>
      <c r="F22" s="556">
        <v>0</v>
      </c>
      <c r="G22" s="556">
        <v>0</v>
      </c>
      <c r="H22" s="748">
        <f t="shared" si="1"/>
        <v>0</v>
      </c>
    </row>
    <row r="23" spans="1:8" ht="15.75">
      <c r="A23" s="579">
        <v>5.4</v>
      </c>
      <c r="B23" s="753" t="s">
        <v>819</v>
      </c>
      <c r="C23" s="556">
        <v>186612910.38</v>
      </c>
      <c r="D23" s="556">
        <v>195932694.94</v>
      </c>
      <c r="E23" s="748">
        <f t="shared" si="0"/>
        <v>382545605.31999999</v>
      </c>
      <c r="F23" s="556">
        <v>331096795.16000003</v>
      </c>
      <c r="G23" s="556">
        <v>318745531.08999997</v>
      </c>
      <c r="H23" s="748">
        <f t="shared" si="1"/>
        <v>649842326.25</v>
      </c>
    </row>
    <row r="24" spans="1:8" ht="15.75">
      <c r="A24" s="579">
        <v>5.5</v>
      </c>
      <c r="B24" s="753" t="s">
        <v>820</v>
      </c>
      <c r="C24" s="556">
        <v>0</v>
      </c>
      <c r="D24" s="556">
        <v>0</v>
      </c>
      <c r="E24" s="748">
        <f t="shared" si="0"/>
        <v>0</v>
      </c>
      <c r="F24" s="556">
        <v>0</v>
      </c>
      <c r="G24" s="556">
        <v>0</v>
      </c>
      <c r="H24" s="748">
        <f t="shared" si="1"/>
        <v>0</v>
      </c>
    </row>
    <row r="25" spans="1:8" ht="15.75">
      <c r="A25" s="579">
        <v>5.6</v>
      </c>
      <c r="B25" s="753" t="s">
        <v>821</v>
      </c>
      <c r="C25" s="556">
        <v>241491596.84999999</v>
      </c>
      <c r="D25" s="556">
        <v>1174639050.49</v>
      </c>
      <c r="E25" s="748">
        <f t="shared" si="0"/>
        <v>1416130647.3399999</v>
      </c>
      <c r="F25" s="556">
        <v>249063117.78</v>
      </c>
      <c r="G25" s="556">
        <v>1694549002.8199999</v>
      </c>
      <c r="H25" s="748">
        <f t="shared" si="1"/>
        <v>1943612120.5999999</v>
      </c>
    </row>
    <row r="26" spans="1:8" ht="15.75">
      <c r="A26" s="579">
        <v>5.7</v>
      </c>
      <c r="B26" s="753" t="s">
        <v>536</v>
      </c>
      <c r="C26" s="556">
        <v>2186328091.2800002</v>
      </c>
      <c r="D26" s="556">
        <v>3234835297</v>
      </c>
      <c r="E26" s="748">
        <f t="shared" si="0"/>
        <v>5421163388.2800007</v>
      </c>
      <c r="F26" s="556">
        <v>2134498456.9100001</v>
      </c>
      <c r="G26" s="556">
        <v>3803073252.04</v>
      </c>
      <c r="H26" s="748">
        <f t="shared" si="1"/>
        <v>5937571708.9499998</v>
      </c>
    </row>
    <row r="27" spans="1:8" ht="15.75">
      <c r="A27" s="579">
        <v>6</v>
      </c>
      <c r="B27" s="752" t="s">
        <v>822</v>
      </c>
      <c r="C27" s="556">
        <v>458513048.5</v>
      </c>
      <c r="D27" s="556">
        <v>355540819.12520003</v>
      </c>
      <c r="E27" s="748">
        <f t="shared" si="0"/>
        <v>814053867.62520003</v>
      </c>
      <c r="F27" s="556">
        <v>408235756.38999999</v>
      </c>
      <c r="G27" s="556">
        <v>290272692.63059998</v>
      </c>
      <c r="H27" s="748">
        <f t="shared" si="1"/>
        <v>698508449.02059996</v>
      </c>
    </row>
    <row r="28" spans="1:8" ht="15.75">
      <c r="A28" s="579">
        <v>7</v>
      </c>
      <c r="B28" s="752" t="s">
        <v>823</v>
      </c>
      <c r="C28" s="556">
        <v>1145717294.8099999</v>
      </c>
      <c r="D28" s="556">
        <v>632951637.50489998</v>
      </c>
      <c r="E28" s="748">
        <f t="shared" si="0"/>
        <v>1778668932.3148999</v>
      </c>
      <c r="F28" s="556">
        <v>881588434.60000002</v>
      </c>
      <c r="G28" s="556">
        <v>658716738.66480005</v>
      </c>
      <c r="H28" s="748">
        <f t="shared" si="1"/>
        <v>1540305173.2648001</v>
      </c>
    </row>
    <row r="29" spans="1:8" ht="15.75">
      <c r="A29" s="579">
        <v>8</v>
      </c>
      <c r="B29" s="752" t="s">
        <v>824</v>
      </c>
      <c r="C29" s="556">
        <v>0</v>
      </c>
      <c r="D29" s="556">
        <v>51877080.620199986</v>
      </c>
      <c r="E29" s="748">
        <f t="shared" si="0"/>
        <v>51877080.620199986</v>
      </c>
      <c r="F29" s="556">
        <v>0</v>
      </c>
      <c r="G29" s="556">
        <v>83129993</v>
      </c>
      <c r="H29" s="748">
        <f t="shared" si="1"/>
        <v>83129993</v>
      </c>
    </row>
    <row r="30" spans="1:8" ht="15.75">
      <c r="A30" s="579">
        <v>9</v>
      </c>
      <c r="B30" s="750" t="s">
        <v>182</v>
      </c>
      <c r="C30" s="556">
        <f>C31+C32+C33+C34+C35+C36+C37</f>
        <v>461451921.22999984</v>
      </c>
      <c r="D30" s="556">
        <f>D31+D32+D33+D34+D35+D36+D37</f>
        <v>5185317271.0892639</v>
      </c>
      <c r="E30" s="748">
        <f t="shared" si="0"/>
        <v>5646769192.3192635</v>
      </c>
      <c r="F30" s="556">
        <f>F31+F32+F33+F34+F35+F36+F37</f>
        <v>448231776.82000005</v>
      </c>
      <c r="G30" s="556">
        <f>G31+G32+G33+G34+G35+G36+G37</f>
        <v>5906181800.7296896</v>
      </c>
      <c r="H30" s="748">
        <f t="shared" si="1"/>
        <v>6354413577.5496893</v>
      </c>
    </row>
    <row r="31" spans="1:8" ht="15.75">
      <c r="A31" s="579">
        <v>9.1</v>
      </c>
      <c r="B31" s="751" t="s">
        <v>998</v>
      </c>
      <c r="C31" s="556">
        <v>411907251.87999982</v>
      </c>
      <c r="D31" s="556">
        <v>2410126194.688746</v>
      </c>
      <c r="E31" s="748">
        <f t="shared" si="0"/>
        <v>2822033446.5687456</v>
      </c>
      <c r="F31" s="556">
        <v>425982625.68000007</v>
      </c>
      <c r="G31" s="556">
        <v>2819532002.0148096</v>
      </c>
      <c r="H31" s="748">
        <f t="shared" si="1"/>
        <v>3245514627.6948099</v>
      </c>
    </row>
    <row r="32" spans="1:8" ht="25.5">
      <c r="A32" s="579">
        <v>9.1999999999999993</v>
      </c>
      <c r="B32" s="751" t="s">
        <v>825</v>
      </c>
      <c r="C32" s="556">
        <v>49544669.350000001</v>
      </c>
      <c r="D32" s="556">
        <v>2775191076.4005184</v>
      </c>
      <c r="E32" s="748">
        <f t="shared" si="0"/>
        <v>2824735745.7505183</v>
      </c>
      <c r="F32" s="556">
        <v>22249151.140000001</v>
      </c>
      <c r="G32" s="556">
        <v>3086649798.71488</v>
      </c>
      <c r="H32" s="748">
        <f t="shared" si="1"/>
        <v>3108898949.8548799</v>
      </c>
    </row>
    <row r="33" spans="1:8" ht="15.75">
      <c r="A33" s="579">
        <v>9.3000000000000007</v>
      </c>
      <c r="B33" s="751" t="s">
        <v>826</v>
      </c>
      <c r="C33" s="556"/>
      <c r="D33" s="556"/>
      <c r="E33" s="748">
        <f t="shared" si="0"/>
        <v>0</v>
      </c>
      <c r="F33" s="556"/>
      <c r="G33" s="556"/>
      <c r="H33" s="748">
        <f t="shared" si="1"/>
        <v>0</v>
      </c>
    </row>
    <row r="34" spans="1:8" ht="15.75">
      <c r="A34" s="579">
        <v>9.4</v>
      </c>
      <c r="B34" s="751" t="s">
        <v>827</v>
      </c>
      <c r="C34" s="556"/>
      <c r="D34" s="556"/>
      <c r="E34" s="748">
        <f t="shared" si="0"/>
        <v>0</v>
      </c>
      <c r="F34" s="556"/>
      <c r="G34" s="556"/>
      <c r="H34" s="748">
        <f t="shared" si="1"/>
        <v>0</v>
      </c>
    </row>
    <row r="35" spans="1:8" ht="15.75">
      <c r="A35" s="579">
        <v>9.5</v>
      </c>
      <c r="B35" s="751" t="s">
        <v>828</v>
      </c>
      <c r="C35" s="556"/>
      <c r="D35" s="556"/>
      <c r="E35" s="748">
        <f t="shared" si="0"/>
        <v>0</v>
      </c>
      <c r="F35" s="556"/>
      <c r="G35" s="556">
        <v>0</v>
      </c>
      <c r="H35" s="748">
        <f t="shared" si="1"/>
        <v>0</v>
      </c>
    </row>
    <row r="36" spans="1:8" ht="25.5">
      <c r="A36" s="579">
        <v>9.6</v>
      </c>
      <c r="B36" s="751" t="s">
        <v>829</v>
      </c>
      <c r="C36" s="556"/>
      <c r="D36" s="556"/>
      <c r="E36" s="748">
        <f t="shared" si="0"/>
        <v>0</v>
      </c>
      <c r="F36" s="556"/>
      <c r="G36" s="556"/>
      <c r="H36" s="748">
        <f t="shared" si="1"/>
        <v>0</v>
      </c>
    </row>
    <row r="37" spans="1:8" ht="25.5">
      <c r="A37" s="579">
        <v>9.6999999999999993</v>
      </c>
      <c r="B37" s="751" t="s">
        <v>830</v>
      </c>
      <c r="C37" s="556"/>
      <c r="D37" s="556"/>
      <c r="E37" s="748">
        <f t="shared" si="0"/>
        <v>0</v>
      </c>
      <c r="F37" s="556"/>
      <c r="G37" s="556"/>
      <c r="H37" s="748">
        <f t="shared" si="1"/>
        <v>0</v>
      </c>
    </row>
    <row r="38" spans="1:8" ht="15.75">
      <c r="A38" s="579">
        <v>10</v>
      </c>
      <c r="B38" s="756" t="s">
        <v>831</v>
      </c>
      <c r="C38" s="556">
        <f>C39+C40+C41+C42</f>
        <v>375825322.93000001</v>
      </c>
      <c r="D38" s="556">
        <f>D39+D40+D41+D42</f>
        <v>84764836.51256901</v>
      </c>
      <c r="E38" s="748">
        <f t="shared" si="0"/>
        <v>460590159.44256902</v>
      </c>
      <c r="F38" s="556">
        <f>F39+F40+F41+F42</f>
        <v>265028341.35000002</v>
      </c>
      <c r="G38" s="556">
        <f>G39+G40+G41+G42</f>
        <v>82301893.178829998</v>
      </c>
      <c r="H38" s="748">
        <f t="shared" si="1"/>
        <v>347330234.52883005</v>
      </c>
    </row>
    <row r="39" spans="1:8" ht="15.75">
      <c r="A39" s="579">
        <v>10.1</v>
      </c>
      <c r="B39" s="751" t="s">
        <v>832</v>
      </c>
      <c r="C39" s="556">
        <v>35310715.270000003</v>
      </c>
      <c r="D39" s="556">
        <v>1365650.59</v>
      </c>
      <c r="E39" s="748">
        <f t="shared" si="0"/>
        <v>36676365.860000007</v>
      </c>
      <c r="F39" s="556">
        <v>41322229.450000003</v>
      </c>
      <c r="G39" s="556">
        <v>1509032.04</v>
      </c>
      <c r="H39" s="748">
        <f t="shared" si="1"/>
        <v>42831261.490000002</v>
      </c>
    </row>
    <row r="40" spans="1:8" ht="25.5">
      <c r="A40" s="579">
        <v>10.199999999999999</v>
      </c>
      <c r="B40" s="751" t="s">
        <v>833</v>
      </c>
      <c r="C40" s="556">
        <v>5205422.5</v>
      </c>
      <c r="D40" s="556">
        <v>738489.00318</v>
      </c>
      <c r="E40" s="748">
        <f t="shared" si="0"/>
        <v>5943911.50318</v>
      </c>
      <c r="F40" s="556">
        <v>6523081.1900000004</v>
      </c>
      <c r="G40" s="556">
        <v>955855.18198200001</v>
      </c>
      <c r="H40" s="748">
        <f t="shared" si="1"/>
        <v>7478936.3719820008</v>
      </c>
    </row>
    <row r="41" spans="1:8" ht="25.5">
      <c r="A41" s="579">
        <v>10.3</v>
      </c>
      <c r="B41" s="751" t="s">
        <v>834</v>
      </c>
      <c r="C41" s="556">
        <v>266593166.66</v>
      </c>
      <c r="D41" s="556">
        <v>62068226.930000007</v>
      </c>
      <c r="E41" s="748">
        <f t="shared" si="0"/>
        <v>328661393.59000003</v>
      </c>
      <c r="F41" s="556">
        <v>167142476.90000001</v>
      </c>
      <c r="G41" s="556">
        <v>60112685.689999998</v>
      </c>
      <c r="H41" s="748">
        <f t="shared" si="1"/>
        <v>227255162.59</v>
      </c>
    </row>
    <row r="42" spans="1:8" ht="25.5">
      <c r="A42" s="579">
        <v>10.4</v>
      </c>
      <c r="B42" s="751" t="s">
        <v>835</v>
      </c>
      <c r="C42" s="556">
        <v>68716018.5</v>
      </c>
      <c r="D42" s="556">
        <v>20592469.989389002</v>
      </c>
      <c r="E42" s="748">
        <f t="shared" si="0"/>
        <v>89308488.489389002</v>
      </c>
      <c r="F42" s="556">
        <v>50040553.810000002</v>
      </c>
      <c r="G42" s="556">
        <v>19724320.266847998</v>
      </c>
      <c r="H42" s="748">
        <f t="shared" si="1"/>
        <v>69764874.076848</v>
      </c>
    </row>
    <row r="43" spans="1:8" ht="16.5" thickBot="1">
      <c r="A43" s="580">
        <v>11</v>
      </c>
      <c r="B43" s="757" t="s">
        <v>183</v>
      </c>
      <c r="C43" s="758"/>
      <c r="D43" s="758"/>
      <c r="E43" s="759">
        <f t="shared" si="0"/>
        <v>0</v>
      </c>
      <c r="F43" s="758"/>
      <c r="G43" s="758"/>
      <c r="H43" s="748">
        <f t="shared" si="1"/>
        <v>0</v>
      </c>
    </row>
    <row r="44" spans="1:8" ht="15.75">
      <c r="C44" s="348"/>
      <c r="D44" s="348"/>
      <c r="E44" s="348"/>
      <c r="F44" s="348"/>
      <c r="G44" s="348"/>
      <c r="H44" s="348"/>
    </row>
    <row r="45" spans="1:8" ht="15.75">
      <c r="C45" s="348"/>
      <c r="D45" s="348"/>
      <c r="E45" s="348"/>
      <c r="F45" s="348"/>
      <c r="G45" s="348"/>
      <c r="H45" s="348"/>
    </row>
    <row r="46" spans="1:8" ht="15.75">
      <c r="C46" s="348"/>
      <c r="D46" s="348"/>
      <c r="E46" s="348"/>
      <c r="F46" s="348"/>
      <c r="G46" s="348"/>
      <c r="H46" s="348"/>
    </row>
    <row r="47" spans="1:8" ht="15.75">
      <c r="C47" s="348"/>
      <c r="D47" s="348"/>
      <c r="E47" s="348"/>
      <c r="F47" s="348"/>
      <c r="G47" s="348"/>
      <c r="H47" s="348"/>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7" width="11.7109375" style="10" bestFit="1" customWidth="1"/>
    <col min="8" max="16384" width="9.140625" style="10"/>
  </cols>
  <sheetData>
    <row r="1" spans="1:7" ht="15">
      <c r="A1" s="15" t="s">
        <v>106</v>
      </c>
      <c r="B1" s="14" t="str">
        <f>Info!C2</f>
        <v>სს ”საქართველოს ბანკი”</v>
      </c>
      <c r="C1" s="14"/>
      <c r="D1" s="192"/>
    </row>
    <row r="2" spans="1:7" ht="15">
      <c r="A2" s="15" t="s">
        <v>107</v>
      </c>
      <c r="B2" s="647">
        <f>'1. key ratios'!B2</f>
        <v>45107</v>
      </c>
      <c r="C2" s="27"/>
      <c r="D2" s="490"/>
      <c r="E2" s="9"/>
      <c r="F2" s="9"/>
      <c r="G2" s="9"/>
    </row>
    <row r="3" spans="1:7" ht="15">
      <c r="A3" s="15"/>
      <c r="B3" s="14"/>
      <c r="C3" s="27"/>
      <c r="D3" s="16"/>
      <c r="E3" s="9"/>
      <c r="F3" s="9"/>
      <c r="G3" s="9"/>
    </row>
    <row r="4" spans="1:7" ht="15.75" thickBot="1">
      <c r="A4" s="16" t="s">
        <v>250</v>
      </c>
      <c r="B4" s="762" t="s">
        <v>105</v>
      </c>
      <c r="C4" s="763" t="s">
        <v>85</v>
      </c>
    </row>
    <row r="5" spans="1:7">
      <c r="A5" s="771" t="s">
        <v>24</v>
      </c>
      <c r="B5" s="772"/>
      <c r="C5" s="270" t="str">
        <f>INT((MONTH($B$2))/3)&amp;"Q"&amp;"-"&amp;YEAR($B$2)</f>
        <v>2Q-2023</v>
      </c>
      <c r="D5" s="270" t="str">
        <f>IF(INT(MONTH($B$2))=3, "4"&amp;"Q"&amp;"-"&amp;YEAR($B$2)-1, IF(INT(MONTH($B$2))=6, "1"&amp;"Q"&amp;"-"&amp;YEAR($B$2), IF(INT(MONTH($B$2))=9, "2"&amp;"Q"&amp;"-"&amp;YEAR($B$2),IF(INT(MONTH($B$2))=12, "3"&amp;"Q"&amp;"-"&amp;YEAR($B$2), 0))))</f>
        <v>1Q-2023</v>
      </c>
      <c r="E5" s="270" t="str">
        <f>IF(INT(MONTH($B$2))=3, "3"&amp;"Q"&amp;"-"&amp;YEAR($B$2)-1, IF(INT(MONTH($B$2))=6, "4"&amp;"Q"&amp;"-"&amp;YEAR($B$2)-1, IF(INT(MONTH($B$2))=9, "1"&amp;"Q"&amp;"-"&amp;YEAR($B$2),IF(INT(MONTH($B$2))=12, "2"&amp;"Q"&amp;"-"&amp;YEAR($B$2), 0))))</f>
        <v>4Q-2022</v>
      </c>
      <c r="F5" s="270" t="str">
        <f>IF(INT(MONTH($B$2))=3, "2"&amp;"Q"&amp;"-"&amp;YEAR($B$2)-1, IF(INT(MONTH($B$2))=6, "3"&amp;"Q"&amp;"-"&amp;YEAR($B$2)-1, IF(INT(MONTH($B$2))=9, "4"&amp;"Q"&amp;"-"&amp;YEAR($B$2)-1,IF(INT(MONTH($B$2))=12, "1"&amp;"Q"&amp;"-"&amp;YEAR($B$2), 0))))</f>
        <v>3Q-2022</v>
      </c>
      <c r="G5" s="271" t="str">
        <f>IF(INT(MONTH($B$2))=3, "1"&amp;"Q"&amp;"-"&amp;YEAR($B$2)-1, IF(INT(MONTH($B$2))=6, "2"&amp;"Q"&amp;"-"&amp;YEAR($B$2)-1, IF(INT(MONTH($B$2))=9, "3"&amp;"Q"&amp;"-"&amp;YEAR($B$2)-1,IF(INT(MONTH($B$2))=12, "4"&amp;"Q"&amp;"-"&amp;YEAR($B$2)-1, 0))))</f>
        <v>2Q-2022</v>
      </c>
    </row>
    <row r="6" spans="1:7" ht="14.25">
      <c r="A6" s="773">
        <v>1</v>
      </c>
      <c r="B6" s="764" t="s">
        <v>110</v>
      </c>
      <c r="C6" s="765">
        <f>C7+C9+C10</f>
        <v>17506854489.639347</v>
      </c>
      <c r="D6" s="765">
        <v>17087179299.749371</v>
      </c>
      <c r="E6" s="765">
        <v>17451383093.870884</v>
      </c>
      <c r="F6" s="765">
        <v>17385480990.604816</v>
      </c>
      <c r="G6" s="774">
        <v>16444434337.824961</v>
      </c>
    </row>
    <row r="7" spans="1:7" ht="14.25">
      <c r="A7" s="773">
        <v>1.1000000000000001</v>
      </c>
      <c r="B7" s="766" t="s">
        <v>432</v>
      </c>
      <c r="C7" s="767">
        <v>16612623304.026764</v>
      </c>
      <c r="D7" s="767">
        <v>16253110501.412691</v>
      </c>
      <c r="E7" s="767">
        <v>16590135222.602516</v>
      </c>
      <c r="F7" s="767">
        <v>16581105612.659035</v>
      </c>
      <c r="G7" s="775">
        <v>15893852296.720985</v>
      </c>
    </row>
    <row r="8" spans="1:7" ht="25.5">
      <c r="A8" s="773" t="s">
        <v>155</v>
      </c>
      <c r="B8" s="768" t="s">
        <v>247</v>
      </c>
      <c r="C8" s="767">
        <v>148568390.82529998</v>
      </c>
      <c r="D8" s="767">
        <v>148555914.72509998</v>
      </c>
      <c r="E8" s="767">
        <v>151804720.6652</v>
      </c>
      <c r="F8" s="767">
        <v>151781826.95207024</v>
      </c>
      <c r="G8" s="775">
        <v>151915119.46799999</v>
      </c>
    </row>
    <row r="9" spans="1:7" ht="14.25">
      <c r="A9" s="773">
        <v>1.2</v>
      </c>
      <c r="B9" s="766" t="s">
        <v>20</v>
      </c>
      <c r="C9" s="767">
        <v>885032059.15962493</v>
      </c>
      <c r="D9" s="767">
        <v>824012837.25019991</v>
      </c>
      <c r="E9" s="767">
        <v>845605725.42429984</v>
      </c>
      <c r="F9" s="767">
        <v>792046718.06011248</v>
      </c>
      <c r="G9" s="775">
        <v>533980042.96208745</v>
      </c>
    </row>
    <row r="10" spans="1:7" ht="14.25">
      <c r="A10" s="773">
        <v>1.3</v>
      </c>
      <c r="B10" s="769" t="s">
        <v>72</v>
      </c>
      <c r="C10" s="767">
        <v>9199126.4529559985</v>
      </c>
      <c r="D10" s="767">
        <v>10055961.086479401</v>
      </c>
      <c r="E10" s="767">
        <v>15642145.844064999</v>
      </c>
      <c r="F10" s="767">
        <v>12328659.885669002</v>
      </c>
      <c r="G10" s="775">
        <v>16601998.1418876</v>
      </c>
    </row>
    <row r="11" spans="1:7" ht="14.25">
      <c r="A11" s="773">
        <v>2</v>
      </c>
      <c r="B11" s="764" t="s">
        <v>111</v>
      </c>
      <c r="C11" s="767">
        <v>90265974.725985453</v>
      </c>
      <c r="D11" s="767">
        <v>35275073.636974022</v>
      </c>
      <c r="E11" s="767">
        <v>108999294.88707557</v>
      </c>
      <c r="F11" s="767">
        <v>95876354.65144597</v>
      </c>
      <c r="G11" s="775">
        <v>153963489.39625639</v>
      </c>
    </row>
    <row r="12" spans="1:7" ht="14.25">
      <c r="A12" s="776">
        <v>3</v>
      </c>
      <c r="B12" s="770" t="s">
        <v>109</v>
      </c>
      <c r="C12" s="767">
        <v>2507003750</v>
      </c>
      <c r="D12" s="767">
        <v>2507003750</v>
      </c>
      <c r="E12" s="767">
        <v>2507003750</v>
      </c>
      <c r="F12" s="767">
        <v>2006159999.9999998</v>
      </c>
      <c r="G12" s="775">
        <v>2006159999.9999998</v>
      </c>
    </row>
    <row r="13" spans="1:7" ht="15" thickBot="1">
      <c r="A13" s="777">
        <v>4</v>
      </c>
      <c r="B13" s="778" t="s">
        <v>156</v>
      </c>
      <c r="C13" s="779">
        <f>C6+C11+C12</f>
        <v>20104124214.365334</v>
      </c>
      <c r="D13" s="779">
        <v>19629458123.386345</v>
      </c>
      <c r="E13" s="779">
        <v>20067386138.757961</v>
      </c>
      <c r="F13" s="779">
        <v>19487517345.256264</v>
      </c>
      <c r="G13" s="780">
        <v>18604557827.221214</v>
      </c>
    </row>
    <row r="14" spans="1:7">
      <c r="B14" s="21"/>
    </row>
    <row r="15" spans="1:7" ht="25.5">
      <c r="B15" s="52" t="s">
        <v>433</v>
      </c>
      <c r="C15" s="489"/>
      <c r="D15" s="489"/>
      <c r="E15" s="489"/>
      <c r="F15" s="489"/>
      <c r="G15" s="489"/>
    </row>
    <row r="16" spans="1:7">
      <c r="B16" s="52"/>
    </row>
    <row r="17" spans="2:2">
      <c r="B17" s="52"/>
    </row>
    <row r="18" spans="2:2">
      <c r="B18" s="52"/>
    </row>
    <row r="31" spans="2:2">
      <c r="B31" s="2" t="s">
        <v>998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cols>
    <col min="1" max="1" width="9.5703125" style="2" bestFit="1" customWidth="1"/>
    <col min="2" max="2" width="58.85546875" style="2" customWidth="1"/>
    <col min="3" max="3" width="118.7109375" style="2" customWidth="1"/>
  </cols>
  <sheetData>
    <row r="1" spans="1:3">
      <c r="A1" s="2" t="s">
        <v>106</v>
      </c>
      <c r="B1" s="192" t="str">
        <f>Info!C2</f>
        <v>სს ”საქართველოს ბანკი”</v>
      </c>
    </row>
    <row r="2" spans="1:3">
      <c r="A2" s="2" t="s">
        <v>107</v>
      </c>
      <c r="B2" s="647">
        <f>'1. key ratios'!B2</f>
        <v>45107</v>
      </c>
    </row>
    <row r="4" spans="1:3" ht="30.75" thickBot="1">
      <c r="A4" s="131" t="s">
        <v>251</v>
      </c>
      <c r="B4" s="29" t="s">
        <v>89</v>
      </c>
      <c r="C4" s="11"/>
    </row>
    <row r="5" spans="1:3" ht="15.75">
      <c r="A5" s="8"/>
      <c r="B5" s="259" t="s">
        <v>90</v>
      </c>
      <c r="C5" s="268" t="s">
        <v>446</v>
      </c>
    </row>
    <row r="6" spans="1:3">
      <c r="A6" s="12">
        <v>1</v>
      </c>
      <c r="B6" s="585" t="s">
        <v>953</v>
      </c>
      <c r="C6" s="586" t="s">
        <v>954</v>
      </c>
    </row>
    <row r="7" spans="1:3">
      <c r="A7" s="12">
        <v>2</v>
      </c>
      <c r="B7" s="587" t="s">
        <v>955</v>
      </c>
      <c r="C7" s="586" t="s">
        <v>956</v>
      </c>
    </row>
    <row r="8" spans="1:3">
      <c r="A8" s="12">
        <v>3</v>
      </c>
      <c r="B8" s="587" t="s">
        <v>957</v>
      </c>
      <c r="C8" s="586" t="s">
        <v>956</v>
      </c>
    </row>
    <row r="9" spans="1:3">
      <c r="A9" s="12">
        <v>4</v>
      </c>
      <c r="B9" s="587" t="s">
        <v>958</v>
      </c>
      <c r="C9" s="586" t="s">
        <v>956</v>
      </c>
    </row>
    <row r="10" spans="1:3">
      <c r="A10" s="12">
        <v>5</v>
      </c>
      <c r="B10" s="587" t="s">
        <v>959</v>
      </c>
      <c r="C10" s="586" t="s">
        <v>960</v>
      </c>
    </row>
    <row r="11" spans="1:3">
      <c r="A11" s="12">
        <v>6</v>
      </c>
      <c r="B11" s="587" t="s">
        <v>961</v>
      </c>
      <c r="C11" s="586" t="s">
        <v>960</v>
      </c>
    </row>
    <row r="12" spans="1:3">
      <c r="A12" s="12">
        <v>7</v>
      </c>
      <c r="B12" s="587" t="s">
        <v>962</v>
      </c>
      <c r="C12" s="586" t="s">
        <v>960</v>
      </c>
    </row>
    <row r="13" spans="1:3">
      <c r="A13" s="12">
        <v>8</v>
      </c>
      <c r="B13" s="587" t="s">
        <v>963</v>
      </c>
      <c r="C13" s="586" t="s">
        <v>960</v>
      </c>
    </row>
    <row r="14" spans="1:3">
      <c r="A14" s="12"/>
      <c r="B14" s="30"/>
      <c r="C14" s="264"/>
    </row>
    <row r="15" spans="1:3">
      <c r="A15" s="12"/>
      <c r="B15" s="30"/>
      <c r="C15" s="264"/>
    </row>
    <row r="16" spans="1:3">
      <c r="A16" s="12"/>
      <c r="B16" s="805"/>
      <c r="C16" s="806"/>
    </row>
    <row r="17" spans="1:3">
      <c r="A17" s="12"/>
      <c r="B17" s="260" t="s">
        <v>91</v>
      </c>
      <c r="C17" s="269" t="s">
        <v>447</v>
      </c>
    </row>
    <row r="18" spans="1:3">
      <c r="A18" s="12">
        <v>1</v>
      </c>
      <c r="B18" s="588" t="s">
        <v>964</v>
      </c>
      <c r="C18" s="589" t="s">
        <v>965</v>
      </c>
    </row>
    <row r="19" spans="1:3">
      <c r="A19" s="12">
        <v>2</v>
      </c>
      <c r="B19" s="590" t="s">
        <v>966</v>
      </c>
      <c r="C19" s="591" t="s">
        <v>967</v>
      </c>
    </row>
    <row r="20" spans="1:3">
      <c r="A20" s="12">
        <v>3</v>
      </c>
      <c r="B20" s="590" t="s">
        <v>968</v>
      </c>
      <c r="C20" s="591" t="s">
        <v>967</v>
      </c>
    </row>
    <row r="21" spans="1:3">
      <c r="A21" s="12">
        <v>4</v>
      </c>
      <c r="B21" s="590" t="s">
        <v>969</v>
      </c>
      <c r="C21" s="591" t="s">
        <v>970</v>
      </c>
    </row>
    <row r="22" spans="1:3">
      <c r="A22" s="12">
        <v>5</v>
      </c>
      <c r="B22" s="590" t="s">
        <v>971</v>
      </c>
      <c r="C22" s="591" t="s">
        <v>972</v>
      </c>
    </row>
    <row r="23" spans="1:3">
      <c r="A23" s="12">
        <v>6</v>
      </c>
      <c r="B23" s="590" t="s">
        <v>973</v>
      </c>
      <c r="C23" s="591" t="s">
        <v>974</v>
      </c>
    </row>
    <row r="24" spans="1:3">
      <c r="A24" s="12">
        <v>7</v>
      </c>
      <c r="B24" s="590" t="s">
        <v>975</v>
      </c>
      <c r="C24" s="591" t="s">
        <v>976</v>
      </c>
    </row>
    <row r="25" spans="1:3" ht="15.75">
      <c r="A25" s="12"/>
      <c r="B25" s="25"/>
      <c r="C25" s="266"/>
    </row>
    <row r="26" spans="1:3" ht="15.75">
      <c r="A26" s="12"/>
      <c r="B26" s="25"/>
      <c r="C26" s="267"/>
    </row>
    <row r="27" spans="1:3" ht="15.75">
      <c r="A27" s="12"/>
      <c r="B27" s="25"/>
      <c r="C27" s="26"/>
    </row>
    <row r="28" spans="1:3">
      <c r="A28" s="12"/>
      <c r="B28" s="809" t="s">
        <v>92</v>
      </c>
      <c r="C28" s="810"/>
    </row>
    <row r="29" spans="1:3" ht="15.75">
      <c r="A29" s="12">
        <v>1</v>
      </c>
      <c r="B29" s="592" t="s">
        <v>977</v>
      </c>
      <c r="C29" s="593">
        <v>0.19770973141775675</v>
      </c>
    </row>
    <row r="30" spans="1:3">
      <c r="A30" s="12"/>
      <c r="B30" s="594" t="s">
        <v>978</v>
      </c>
      <c r="C30" s="593" t="s">
        <v>979</v>
      </c>
    </row>
    <row r="31" spans="1:3">
      <c r="A31" s="12"/>
      <c r="B31" s="807" t="s">
        <v>998</v>
      </c>
      <c r="C31" s="808"/>
    </row>
    <row r="32" spans="1:3" ht="15.75" thickBot="1">
      <c r="A32" s="12">
        <v>1</v>
      </c>
      <c r="B32" s="595" t="s">
        <v>980</v>
      </c>
      <c r="C32" s="596">
        <v>0.19840801391745302</v>
      </c>
    </row>
    <row r="33" spans="1:3" ht="16.5" thickBot="1">
      <c r="A33" s="13"/>
      <c r="B33" s="31"/>
      <c r="C33" s="265"/>
    </row>
  </sheetData>
  <mergeCells count="3">
    <mergeCell ref="B16:C16"/>
    <mergeCell ref="B31:C31"/>
    <mergeCell ref="B28:C28"/>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5"/>
  <cols>
    <col min="1" max="1" width="9.5703125" style="2" bestFit="1" customWidth="1"/>
    <col min="2" max="2" width="74.5703125" style="2" customWidth="1"/>
    <col min="3" max="3" width="28" style="609" customWidth="1"/>
    <col min="4" max="4" width="25.5703125" style="609" customWidth="1"/>
    <col min="5" max="5" width="31.140625" style="609" customWidth="1"/>
    <col min="6" max="6" width="12" bestFit="1" customWidth="1"/>
    <col min="7" max="7" width="12.5703125" bestFit="1" customWidth="1"/>
  </cols>
  <sheetData>
    <row r="1" spans="1:7" ht="15.75">
      <c r="A1" s="15" t="s">
        <v>106</v>
      </c>
      <c r="B1" s="14" t="str">
        <f>Info!C2</f>
        <v>სს ”საქართველოს ბანკი”</v>
      </c>
    </row>
    <row r="2" spans="1:7" s="19" customFormat="1">
      <c r="A2" s="19" t="s">
        <v>107</v>
      </c>
      <c r="B2" s="647">
        <f>'1. key ratios'!B2</f>
        <v>45107</v>
      </c>
      <c r="C2" s="610"/>
      <c r="D2" s="610"/>
      <c r="E2" s="610"/>
    </row>
    <row r="3" spans="1:7" s="19" customFormat="1">
      <c r="C3" s="610"/>
      <c r="D3" s="610"/>
      <c r="E3" s="610"/>
    </row>
    <row r="4" spans="1:7" s="19" customFormat="1" ht="15.75" thickBot="1">
      <c r="A4" s="19" t="s">
        <v>252</v>
      </c>
      <c r="B4" s="665" t="s">
        <v>166</v>
      </c>
      <c r="C4" s="610"/>
      <c r="D4" s="610"/>
      <c r="E4" s="611" t="s">
        <v>85</v>
      </c>
    </row>
    <row r="5" spans="1:7" s="67" customFormat="1" ht="12.75">
      <c r="A5" s="201"/>
      <c r="B5" s="202"/>
      <c r="C5" s="612" t="s">
        <v>0</v>
      </c>
      <c r="D5" s="612" t="s">
        <v>1</v>
      </c>
      <c r="E5" s="613" t="s">
        <v>2</v>
      </c>
    </row>
    <row r="6" spans="1:7" s="74" customFormat="1">
      <c r="A6" s="669"/>
      <c r="B6" s="811" t="s">
        <v>142</v>
      </c>
      <c r="C6" s="812" t="s">
        <v>849</v>
      </c>
      <c r="D6" s="813" t="s">
        <v>141</v>
      </c>
      <c r="E6" s="814"/>
      <c r="G6"/>
    </row>
    <row r="7" spans="1:7" s="74" customFormat="1" ht="63.75">
      <c r="A7" s="669"/>
      <c r="B7" s="811"/>
      <c r="C7" s="812"/>
      <c r="D7" s="666" t="s">
        <v>140</v>
      </c>
      <c r="E7" s="670" t="s">
        <v>350</v>
      </c>
      <c r="G7"/>
    </row>
    <row r="8" spans="1:7" s="74" customFormat="1" ht="21">
      <c r="A8" s="656">
        <v>1</v>
      </c>
      <c r="B8" s="559" t="s">
        <v>836</v>
      </c>
      <c r="C8" s="667">
        <f>SUM(C9:C11)</f>
        <v>3447891121.0565996</v>
      </c>
      <c r="D8" s="667">
        <f t="shared" ref="D8:E8" si="0">SUM(D9:D11)</f>
        <v>0</v>
      </c>
      <c r="E8" s="671">
        <f t="shared" si="0"/>
        <v>3447891121.0565996</v>
      </c>
      <c r="G8"/>
    </row>
    <row r="9" spans="1:7" s="74" customFormat="1">
      <c r="A9" s="656">
        <v>1.1000000000000001</v>
      </c>
      <c r="B9" s="561" t="s">
        <v>94</v>
      </c>
      <c r="C9" s="667">
        <f>'2. SOFP'!E8</f>
        <v>844702887.25300002</v>
      </c>
      <c r="D9" s="667"/>
      <c r="E9" s="614">
        <f>C9-D9</f>
        <v>844702887.25300002</v>
      </c>
      <c r="G9"/>
    </row>
    <row r="10" spans="1:7" s="74" customFormat="1">
      <c r="A10" s="656">
        <v>1.2</v>
      </c>
      <c r="B10" s="561" t="s">
        <v>95</v>
      </c>
      <c r="C10" s="667">
        <f>'2. SOFP'!E9</f>
        <v>2099812814.9400001</v>
      </c>
      <c r="D10" s="667"/>
      <c r="E10" s="614">
        <f t="shared" ref="E10:E36" si="1">C10-D10</f>
        <v>2099812814.9400001</v>
      </c>
      <c r="G10"/>
    </row>
    <row r="11" spans="1:7" s="74" customFormat="1">
      <c r="A11" s="656">
        <v>1.3</v>
      </c>
      <c r="B11" s="561" t="s">
        <v>96</v>
      </c>
      <c r="C11" s="667">
        <f>'2. SOFP'!E10</f>
        <v>503375418.86360002</v>
      </c>
      <c r="D11" s="667"/>
      <c r="E11" s="614">
        <f t="shared" si="1"/>
        <v>503375418.86360002</v>
      </c>
      <c r="G11"/>
    </row>
    <row r="12" spans="1:7" s="74" customFormat="1">
      <c r="A12" s="656">
        <v>2</v>
      </c>
      <c r="B12" s="562" t="s">
        <v>725</v>
      </c>
      <c r="C12" s="667">
        <f>'2. SOFP'!E11</f>
        <v>21133526.699999999</v>
      </c>
      <c r="D12" s="667"/>
      <c r="E12" s="614">
        <f t="shared" si="1"/>
        <v>21133526.699999999</v>
      </c>
      <c r="G12"/>
    </row>
    <row r="13" spans="1:7" s="74" customFormat="1">
      <c r="A13" s="656">
        <v>2.1</v>
      </c>
      <c r="B13" s="563" t="s">
        <v>726</v>
      </c>
      <c r="C13" s="667">
        <f>'2. SOFP'!E12</f>
        <v>21133526.699999999</v>
      </c>
      <c r="D13" s="667"/>
      <c r="E13" s="614">
        <f t="shared" si="1"/>
        <v>21133526.699999999</v>
      </c>
      <c r="G13"/>
    </row>
    <row r="14" spans="1:7" s="74" customFormat="1" ht="21">
      <c r="A14" s="656">
        <v>3</v>
      </c>
      <c r="B14" s="564" t="s">
        <v>727</v>
      </c>
      <c r="C14" s="667">
        <f>'2. SOFP'!E13</f>
        <v>0</v>
      </c>
      <c r="D14" s="667"/>
      <c r="E14" s="614">
        <f t="shared" si="1"/>
        <v>0</v>
      </c>
      <c r="G14"/>
    </row>
    <row r="15" spans="1:7" s="74" customFormat="1" ht="21">
      <c r="A15" s="656">
        <v>4</v>
      </c>
      <c r="B15" s="565" t="s">
        <v>728</v>
      </c>
      <c r="C15" s="667">
        <f>'2. SOFP'!E14</f>
        <v>80572113.666666672</v>
      </c>
      <c r="D15" s="667"/>
      <c r="E15" s="614">
        <f t="shared" si="1"/>
        <v>80572113.666666672</v>
      </c>
      <c r="G15"/>
    </row>
    <row r="16" spans="1:7" s="74" customFormat="1" ht="21">
      <c r="A16" s="656">
        <v>5</v>
      </c>
      <c r="B16" s="565" t="s">
        <v>729</v>
      </c>
      <c r="C16" s="667">
        <f>SUM(C17:C19)</f>
        <v>4253210329.9979992</v>
      </c>
      <c r="D16" s="667">
        <f t="shared" ref="D16:E16" si="2">SUM(D17:D19)</f>
        <v>4919453.3037</v>
      </c>
      <c r="E16" s="671">
        <f t="shared" si="2"/>
        <v>4248290876.6942992</v>
      </c>
      <c r="G16"/>
    </row>
    <row r="17" spans="1:7" s="74" customFormat="1">
      <c r="A17" s="656">
        <v>5.0999999999999996</v>
      </c>
      <c r="B17" s="567" t="s">
        <v>730</v>
      </c>
      <c r="C17" s="667">
        <f>'2. SOFP'!E16</f>
        <v>5517062.6937000006</v>
      </c>
      <c r="D17" s="667">
        <f>'9. Capital'!C18</f>
        <v>4919453.3037</v>
      </c>
      <c r="E17" s="614">
        <f t="shared" si="1"/>
        <v>597609.3900000006</v>
      </c>
      <c r="G17"/>
    </row>
    <row r="18" spans="1:7" s="74" customFormat="1">
      <c r="A18" s="656">
        <v>5.2</v>
      </c>
      <c r="B18" s="567" t="s">
        <v>564</v>
      </c>
      <c r="C18" s="667">
        <f>'2. SOFP'!E17</f>
        <v>4247693267.3042994</v>
      </c>
      <c r="D18" s="667"/>
      <c r="E18" s="614">
        <f t="shared" si="1"/>
        <v>4247693267.3042994</v>
      </c>
      <c r="G18"/>
    </row>
    <row r="19" spans="1:7" s="74" customFormat="1">
      <c r="A19" s="656">
        <v>5.3</v>
      </c>
      <c r="B19" s="567" t="s">
        <v>731</v>
      </c>
      <c r="C19" s="667">
        <f>'2. SOFP'!E18</f>
        <v>0</v>
      </c>
      <c r="D19" s="667"/>
      <c r="E19" s="614">
        <f t="shared" si="1"/>
        <v>0</v>
      </c>
      <c r="G19"/>
    </row>
    <row r="20" spans="1:7" s="74" customFormat="1">
      <c r="A20" s="656">
        <v>6</v>
      </c>
      <c r="B20" s="564" t="s">
        <v>732</v>
      </c>
      <c r="C20" s="667">
        <f>SUM(C21:C22)</f>
        <v>17717216569.942238</v>
      </c>
      <c r="D20" s="667">
        <f t="shared" ref="D20:E20" si="3">SUM(D21:D22)</f>
        <v>0</v>
      </c>
      <c r="E20" s="671">
        <f t="shared" si="3"/>
        <v>17717216569.942238</v>
      </c>
      <c r="G20"/>
    </row>
    <row r="21" spans="1:7">
      <c r="A21" s="656">
        <v>6.1</v>
      </c>
      <c r="B21" s="567" t="s">
        <v>564</v>
      </c>
      <c r="C21" s="667">
        <f>'2. SOFP'!E20</f>
        <v>220587571.5411</v>
      </c>
      <c r="D21" s="668"/>
      <c r="E21" s="614">
        <f t="shared" si="1"/>
        <v>220587571.5411</v>
      </c>
    </row>
    <row r="22" spans="1:7">
      <c r="A22" s="656">
        <v>6.2</v>
      </c>
      <c r="B22" s="567" t="s">
        <v>731</v>
      </c>
      <c r="C22" s="667">
        <f>'2. SOFP'!E21</f>
        <v>17496628998.401138</v>
      </c>
      <c r="D22" s="668"/>
      <c r="E22" s="614">
        <f t="shared" si="1"/>
        <v>17496628998.401138</v>
      </c>
    </row>
    <row r="23" spans="1:7">
      <c r="A23" s="656">
        <v>7</v>
      </c>
      <c r="B23" s="568" t="s">
        <v>733</v>
      </c>
      <c r="C23" s="667">
        <f>'2. SOFP'!E22</f>
        <v>157029813.86999997</v>
      </c>
      <c r="D23" s="615">
        <v>8950729.1899999995</v>
      </c>
      <c r="E23" s="614">
        <f t="shared" si="1"/>
        <v>148079084.67999998</v>
      </c>
    </row>
    <row r="24" spans="1:7">
      <c r="A24" s="656">
        <v>8</v>
      </c>
      <c r="B24" s="568" t="s">
        <v>734</v>
      </c>
      <c r="C24" s="667">
        <f>'2. SOFP'!E23</f>
        <v>30407303.619224988</v>
      </c>
      <c r="D24" s="615">
        <v>0</v>
      </c>
      <c r="E24" s="614">
        <f t="shared" si="1"/>
        <v>30407303.619224988</v>
      </c>
    </row>
    <row r="25" spans="1:7">
      <c r="A25" s="656">
        <v>9</v>
      </c>
      <c r="B25" s="565" t="s">
        <v>735</v>
      </c>
      <c r="C25" s="668">
        <f>SUM(C26:C27)</f>
        <v>606618823.27000022</v>
      </c>
      <c r="D25" s="668">
        <f t="shared" ref="D25:E25" si="4">SUM(D26:D27)</f>
        <v>2358668.17</v>
      </c>
      <c r="E25" s="672">
        <f t="shared" si="4"/>
        <v>604260155.10000014</v>
      </c>
    </row>
    <row r="26" spans="1:7">
      <c r="A26" s="656">
        <v>9.1</v>
      </c>
      <c r="B26" s="569" t="s">
        <v>736</v>
      </c>
      <c r="C26" s="667">
        <f>'2. SOFP'!E25</f>
        <v>466692434.13999999</v>
      </c>
      <c r="D26" s="668">
        <f>'2. SOFP'!E64</f>
        <v>2358668.17</v>
      </c>
      <c r="E26" s="614">
        <f t="shared" si="1"/>
        <v>464333765.96999997</v>
      </c>
    </row>
    <row r="27" spans="1:7">
      <c r="A27" s="656">
        <v>9.1999999999999993</v>
      </c>
      <c r="B27" s="569" t="s">
        <v>737</v>
      </c>
      <c r="C27" s="667">
        <f>'2. SOFP'!E26</f>
        <v>139926389.1300002</v>
      </c>
      <c r="D27" s="668"/>
      <c r="E27" s="614">
        <f t="shared" si="1"/>
        <v>139926389.1300002</v>
      </c>
    </row>
    <row r="28" spans="1:7">
      <c r="A28" s="656">
        <v>10</v>
      </c>
      <c r="B28" s="565" t="s">
        <v>35</v>
      </c>
      <c r="C28" s="668">
        <f>SUM(C29:C30)</f>
        <v>162816614.84999999</v>
      </c>
      <c r="D28" s="668">
        <f t="shared" ref="D28:E28" si="5">SUM(D29:D30)</f>
        <v>162816614.84999999</v>
      </c>
      <c r="E28" s="672">
        <f t="shared" si="5"/>
        <v>0</v>
      </c>
    </row>
    <row r="29" spans="1:7">
      <c r="A29" s="656">
        <v>10.1</v>
      </c>
      <c r="B29" s="569" t="s">
        <v>738</v>
      </c>
      <c r="C29" s="667">
        <f>'2. SOFP'!E28</f>
        <v>33331342.84</v>
      </c>
      <c r="D29" s="668">
        <f>C29</f>
        <v>33331342.84</v>
      </c>
      <c r="E29" s="614">
        <f t="shared" si="1"/>
        <v>0</v>
      </c>
    </row>
    <row r="30" spans="1:7">
      <c r="A30" s="656">
        <v>10.199999999999999</v>
      </c>
      <c r="B30" s="569" t="s">
        <v>739</v>
      </c>
      <c r="C30" s="667">
        <f>'2. SOFP'!E29</f>
        <v>129485272.00999999</v>
      </c>
      <c r="D30" s="668">
        <f>C30</f>
        <v>129485272.00999999</v>
      </c>
      <c r="E30" s="614">
        <f t="shared" si="1"/>
        <v>0</v>
      </c>
    </row>
    <row r="31" spans="1:7">
      <c r="A31" s="656">
        <v>11</v>
      </c>
      <c r="B31" s="565" t="s">
        <v>998</v>
      </c>
      <c r="C31" s="668">
        <f>SUM(C32:C33)</f>
        <v>0</v>
      </c>
      <c r="D31" s="668">
        <f t="shared" ref="D31:E31" si="6">SUM(D32:D33)</f>
        <v>0</v>
      </c>
      <c r="E31" s="672">
        <f t="shared" si="6"/>
        <v>0</v>
      </c>
    </row>
    <row r="32" spans="1:7">
      <c r="A32" s="656">
        <v>11.1</v>
      </c>
      <c r="B32" s="569" t="s">
        <v>741</v>
      </c>
      <c r="C32" s="667">
        <f>'2. SOFP'!E31</f>
        <v>0</v>
      </c>
      <c r="D32" s="668"/>
      <c r="E32" s="614">
        <f t="shared" si="1"/>
        <v>0</v>
      </c>
    </row>
    <row r="33" spans="1:7">
      <c r="A33" s="656">
        <v>11.2</v>
      </c>
      <c r="B33" s="569" t="s">
        <v>742</v>
      </c>
      <c r="C33" s="667">
        <f>'2. SOFP'!E32</f>
        <v>0</v>
      </c>
      <c r="D33" s="668"/>
      <c r="E33" s="614">
        <f t="shared" si="1"/>
        <v>0</v>
      </c>
    </row>
    <row r="34" spans="1:7">
      <c r="A34" s="656">
        <v>13</v>
      </c>
      <c r="B34" s="565" t="s">
        <v>97</v>
      </c>
      <c r="C34" s="667">
        <f>'2. SOFP'!E33</f>
        <v>419128253.45786589</v>
      </c>
      <c r="D34" s="668"/>
      <c r="E34" s="614">
        <f t="shared" si="1"/>
        <v>419128253.45786589</v>
      </c>
    </row>
    <row r="35" spans="1:7">
      <c r="A35" s="656">
        <v>13.1</v>
      </c>
      <c r="B35" s="570" t="s">
        <v>743</v>
      </c>
      <c r="C35" s="667">
        <f>'2. SOFP'!E34</f>
        <v>141856351.75</v>
      </c>
      <c r="D35" s="668"/>
      <c r="E35" s="614">
        <f t="shared" si="1"/>
        <v>141856351.75</v>
      </c>
    </row>
    <row r="36" spans="1:7">
      <c r="A36" s="656">
        <v>13.2</v>
      </c>
      <c r="B36" s="570" t="s">
        <v>744</v>
      </c>
      <c r="C36" s="667">
        <f>'2. SOFP'!E35</f>
        <v>0</v>
      </c>
      <c r="D36" s="668"/>
      <c r="E36" s="614">
        <f t="shared" si="1"/>
        <v>0</v>
      </c>
    </row>
    <row r="37" spans="1:7" ht="26.25" thickBot="1">
      <c r="A37" s="673"/>
      <c r="B37" s="674" t="s">
        <v>317</v>
      </c>
      <c r="C37" s="675">
        <f>SUM(C8,C12,C14,C15,C16,C20,C23,C24,C25,C28,C31,C34)</f>
        <v>26896024470.430592</v>
      </c>
      <c r="D37" s="675">
        <f t="shared" ref="D37:E37" si="7">SUM(D8,D12,D14,D15,D16,D20,D23,D24,D25,D28,D31,D34)</f>
        <v>179045465.51370001</v>
      </c>
      <c r="E37" s="676">
        <f t="shared" si="7"/>
        <v>26716979004.916893</v>
      </c>
      <c r="F37" s="491">
        <v>1.7887001037597656</v>
      </c>
    </row>
    <row r="38" spans="1:7">
      <c r="A38"/>
      <c r="B38"/>
      <c r="C38" s="616"/>
      <c r="D38" s="616"/>
      <c r="E38" s="616"/>
    </row>
    <row r="39" spans="1:7">
      <c r="A39"/>
      <c r="B39"/>
      <c r="C39" s="616">
        <v>1.7887039184570313</v>
      </c>
      <c r="D39" s="616">
        <v>0</v>
      </c>
      <c r="E39" s="616"/>
    </row>
    <row r="41" spans="1:7" s="2" customFormat="1">
      <c r="B41" s="33"/>
      <c r="C41" s="609"/>
      <c r="D41" s="609"/>
      <c r="E41" s="609"/>
      <c r="F41"/>
      <c r="G41"/>
    </row>
    <row r="42" spans="1:7" s="2" customFormat="1">
      <c r="B42" s="34"/>
      <c r="C42" s="609"/>
      <c r="D42" s="609"/>
      <c r="E42" s="609"/>
      <c r="F42"/>
      <c r="G42"/>
    </row>
    <row r="43" spans="1:7" s="2" customFormat="1">
      <c r="B43" s="33"/>
      <c r="C43" s="609"/>
      <c r="D43" s="609"/>
      <c r="E43" s="609"/>
      <c r="F43"/>
      <c r="G43"/>
    </row>
    <row r="44" spans="1:7" s="2" customFormat="1">
      <c r="B44" s="33"/>
      <c r="C44" s="609"/>
      <c r="D44" s="609"/>
      <c r="E44" s="609"/>
      <c r="F44"/>
      <c r="G44"/>
    </row>
    <row r="45" spans="1:7" s="2" customFormat="1">
      <c r="B45" s="33"/>
      <c r="C45" s="609"/>
      <c r="D45" s="609"/>
      <c r="E45" s="609"/>
      <c r="F45"/>
      <c r="G45"/>
    </row>
    <row r="46" spans="1:7" s="2" customFormat="1">
      <c r="B46" s="33"/>
      <c r="C46" s="609"/>
      <c r="D46" s="609"/>
      <c r="E46" s="609"/>
      <c r="F46"/>
      <c r="G46"/>
    </row>
    <row r="47" spans="1:7" s="2" customFormat="1">
      <c r="B47" s="33"/>
      <c r="C47" s="609"/>
      <c r="D47" s="609"/>
      <c r="E47" s="609"/>
      <c r="F47"/>
      <c r="G47"/>
    </row>
    <row r="48" spans="1:7" s="2" customFormat="1">
      <c r="B48" s="34"/>
      <c r="C48" s="609"/>
      <c r="D48" s="609"/>
      <c r="E48" s="609"/>
      <c r="F48"/>
      <c r="G48"/>
    </row>
    <row r="49" spans="2:7" s="2" customFormat="1">
      <c r="B49" s="34"/>
      <c r="C49" s="609"/>
      <c r="D49" s="609"/>
      <c r="E49" s="609"/>
      <c r="F49"/>
      <c r="G49"/>
    </row>
    <row r="50" spans="2:7" s="2" customFormat="1">
      <c r="B50" s="34"/>
      <c r="C50" s="609"/>
      <c r="D50" s="609"/>
      <c r="E50" s="609"/>
      <c r="F50"/>
      <c r="G50"/>
    </row>
    <row r="51" spans="2:7" s="2" customFormat="1">
      <c r="B51" s="34"/>
      <c r="C51" s="609"/>
      <c r="D51" s="609"/>
      <c r="E51" s="609"/>
      <c r="F51"/>
      <c r="G51"/>
    </row>
    <row r="52" spans="2:7" s="2" customFormat="1">
      <c r="B52" s="34"/>
      <c r="C52" s="609"/>
      <c r="D52" s="609"/>
      <c r="E52" s="609"/>
      <c r="F52"/>
      <c r="G52"/>
    </row>
    <row r="53" spans="2:7" s="2" customFormat="1">
      <c r="B53" s="34"/>
      <c r="C53" s="609"/>
      <c r="D53" s="609"/>
      <c r="E53" s="60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106</v>
      </c>
      <c r="B1" s="14" t="str">
        <f>Info!C2</f>
        <v>სს ”საქართველოს ბანკი”</v>
      </c>
    </row>
    <row r="2" spans="1:6" s="19" customFormat="1" ht="15.75">
      <c r="A2" s="19" t="s">
        <v>107</v>
      </c>
      <c r="B2" s="281">
        <f>'1. key ratios'!B2</f>
        <v>45107</v>
      </c>
      <c r="C2"/>
      <c r="D2"/>
      <c r="E2"/>
      <c r="F2"/>
    </row>
    <row r="3" spans="1:6" s="19" customFormat="1" ht="15.75">
      <c r="C3"/>
      <c r="D3"/>
      <c r="E3"/>
      <c r="F3"/>
    </row>
    <row r="4" spans="1:6" s="19" customFormat="1" ht="26.25" thickBot="1">
      <c r="A4" s="19" t="s">
        <v>253</v>
      </c>
      <c r="B4" s="111" t="s">
        <v>169</v>
      </c>
      <c r="C4" s="105" t="s">
        <v>85</v>
      </c>
      <c r="D4"/>
      <c r="E4"/>
      <c r="F4"/>
    </row>
    <row r="5" spans="1:6">
      <c r="A5" s="106">
        <v>1</v>
      </c>
      <c r="B5" s="107" t="s">
        <v>722</v>
      </c>
      <c r="C5" s="135">
        <f>'7. LI1'!E37</f>
        <v>26716979004.916893</v>
      </c>
    </row>
    <row r="6" spans="1:6" s="98" customFormat="1">
      <c r="A6" s="66">
        <v>2.1</v>
      </c>
      <c r="B6" s="113" t="s">
        <v>854</v>
      </c>
      <c r="C6" s="492">
        <v>2642793921.8064003</v>
      </c>
    </row>
    <row r="7" spans="1:6" s="4" customFormat="1" ht="25.5" outlineLevel="1">
      <c r="A7" s="112">
        <v>2.2000000000000002</v>
      </c>
      <c r="B7" s="108" t="s">
        <v>855</v>
      </c>
      <c r="C7" s="493">
        <v>1408246816.395</v>
      </c>
    </row>
    <row r="8" spans="1:6" s="4" customFormat="1" ht="26.25">
      <c r="A8" s="112">
        <v>3</v>
      </c>
      <c r="B8" s="109" t="s">
        <v>723</v>
      </c>
      <c r="C8" s="136">
        <f>SUM(C5:C7)</f>
        <v>30768019743.118294</v>
      </c>
    </row>
    <row r="9" spans="1:6" s="98" customFormat="1">
      <c r="A9" s="66">
        <v>4</v>
      </c>
      <c r="B9" s="116" t="s">
        <v>167</v>
      </c>
      <c r="C9" s="493">
        <v>0</v>
      </c>
    </row>
    <row r="10" spans="1:6" s="4" customFormat="1" ht="25.5" outlineLevel="1">
      <c r="A10" s="112">
        <v>5.0999999999999996</v>
      </c>
      <c r="B10" s="108" t="s">
        <v>172</v>
      </c>
      <c r="C10" s="493">
        <v>-1533251794.6195502</v>
      </c>
    </row>
    <row r="11" spans="1:6" s="4" customFormat="1" ht="25.5" outlineLevel="1">
      <c r="A11" s="112">
        <v>5.2</v>
      </c>
      <c r="B11" s="108" t="s">
        <v>173</v>
      </c>
      <c r="C11" s="493">
        <v>-1379062221.5863409</v>
      </c>
    </row>
    <row r="12" spans="1:6" s="4" customFormat="1">
      <c r="A12" s="112">
        <v>6</v>
      </c>
      <c r="B12" s="114" t="s">
        <v>434</v>
      </c>
      <c r="C12" s="203"/>
    </row>
    <row r="13" spans="1:6" s="4" customFormat="1" ht="15.75" thickBot="1">
      <c r="A13" s="115">
        <v>7</v>
      </c>
      <c r="B13" s="110" t="s">
        <v>168</v>
      </c>
      <c r="C13" s="137">
        <f>SUM(C8:C12)</f>
        <v>27855705726.912403</v>
      </c>
    </row>
    <row r="15" spans="1:6" ht="26.25">
      <c r="B15" s="21" t="s">
        <v>435</v>
      </c>
    </row>
    <row r="17" spans="2:9" s="2" customFormat="1">
      <c r="B17" s="35"/>
      <c r="C17"/>
      <c r="D17"/>
      <c r="E17"/>
      <c r="F17"/>
      <c r="G17"/>
      <c r="H17"/>
      <c r="I17"/>
    </row>
    <row r="18" spans="2:9" s="2" customFormat="1">
      <c r="B18" s="32"/>
      <c r="C18"/>
      <c r="D18"/>
      <c r="E18"/>
      <c r="F18"/>
      <c r="G18"/>
      <c r="H18"/>
      <c r="I18"/>
    </row>
    <row r="19" spans="2:9" s="2" customFormat="1">
      <c r="B19" s="32"/>
      <c r="C19"/>
      <c r="D19"/>
      <c r="E19"/>
      <c r="F19"/>
      <c r="G19"/>
      <c r="H19"/>
      <c r="I19"/>
    </row>
    <row r="20" spans="2:9" s="2" customFormat="1">
      <c r="B20" s="34"/>
      <c r="C20"/>
      <c r="D20"/>
      <c r="E20"/>
      <c r="F20"/>
      <c r="G20"/>
      <c r="H20"/>
      <c r="I20"/>
    </row>
    <row r="21" spans="2:9" s="2" customFormat="1">
      <c r="B21" s="33"/>
      <c r="C21"/>
      <c r="D21"/>
      <c r="E21"/>
      <c r="F21"/>
      <c r="G21"/>
      <c r="H21"/>
      <c r="I21"/>
    </row>
    <row r="22" spans="2:9" s="2" customFormat="1">
      <c r="B22" s="34"/>
      <c r="C22"/>
      <c r="D22"/>
      <c r="E22"/>
      <c r="F22"/>
      <c r="G22"/>
      <c r="H22"/>
      <c r="I22"/>
    </row>
    <row r="23" spans="2:9" s="2" customFormat="1">
      <c r="B23" s="33"/>
      <c r="C23"/>
      <c r="D23"/>
      <c r="E23"/>
      <c r="F23"/>
      <c r="G23"/>
      <c r="H23"/>
      <c r="I23"/>
    </row>
    <row r="24" spans="2:9" s="2" customFormat="1">
      <c r="B24" s="33"/>
      <c r="C24"/>
      <c r="D24"/>
      <c r="E24"/>
      <c r="F24"/>
      <c r="G24"/>
      <c r="H24"/>
      <c r="I24"/>
    </row>
    <row r="25" spans="2:9" s="2" customFormat="1">
      <c r="B25" s="33"/>
      <c r="C25"/>
      <c r="D25"/>
      <c r="E25"/>
      <c r="F25"/>
      <c r="G25"/>
      <c r="H25"/>
      <c r="I25"/>
    </row>
    <row r="26" spans="2:9" s="2" customFormat="1">
      <c r="B26" s="33"/>
      <c r="C26"/>
      <c r="D26"/>
      <c r="E26"/>
      <c r="F26"/>
      <c r="G26"/>
      <c r="H26"/>
      <c r="I26"/>
    </row>
    <row r="27" spans="2:9" s="2" customFormat="1">
      <c r="B27" s="33"/>
      <c r="C27"/>
      <c r="D27"/>
      <c r="E27"/>
      <c r="F27"/>
      <c r="G27"/>
      <c r="H27"/>
      <c r="I27"/>
    </row>
    <row r="28" spans="2:9" s="2" customFormat="1">
      <c r="B28" s="34"/>
      <c r="C28"/>
      <c r="D28"/>
      <c r="E28"/>
      <c r="F28"/>
      <c r="G28"/>
      <c r="H28"/>
      <c r="I28"/>
    </row>
    <row r="29" spans="2:9" s="2" customFormat="1">
      <c r="B29" s="34"/>
      <c r="C29"/>
      <c r="D29"/>
      <c r="E29"/>
      <c r="F29"/>
      <c r="G29"/>
      <c r="H29"/>
      <c r="I29"/>
    </row>
    <row r="30" spans="2:9" s="2" customFormat="1">
      <c r="B30" s="34"/>
      <c r="C30"/>
      <c r="D30"/>
      <c r="E30"/>
      <c r="F30"/>
      <c r="G30"/>
      <c r="H30"/>
      <c r="I30"/>
    </row>
    <row r="31" spans="2:9" s="2" customFormat="1">
      <c r="B31" s="34" t="s">
        <v>998</v>
      </c>
      <c r="C31"/>
      <c r="D31"/>
      <c r="E31"/>
      <c r="F31"/>
      <c r="G31"/>
      <c r="H31"/>
      <c r="I31"/>
    </row>
    <row r="32" spans="2:9" s="2" customFormat="1">
      <c r="B32" s="34"/>
      <c r="C32"/>
      <c r="D32"/>
      <c r="E32"/>
      <c r="F32"/>
      <c r="G32"/>
      <c r="H32"/>
      <c r="I32"/>
    </row>
    <row r="33" spans="2:9" s="2" customFormat="1">
      <c r="B33" s="34"/>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'3. SOPL'!Print_Area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2023-12-21T19:07:58Z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DLPManualFileClassification">
    <vt:lpwstr>{1A067545-A4E2-4FA1-8094-0D7902669705}</vt:lpwstr>
  </property>
  <property fmtid="{D5CDD505-2E9C-101B-9397-08002B2CF9AE}" pid="8" name="DLPManualFileClassificationLastModifiedBy">
    <vt:lpwstr>BOG0\salkapanadze</vt:lpwstr>
  </property>
  <property fmtid="{D5CDD505-2E9C-101B-9397-08002B2CF9AE}" pid="9" name="DLPManualFileClassificationLastModificationDate">
    <vt:lpwstr>1691413084</vt:lpwstr>
  </property>
  <property fmtid="{D5CDD505-2E9C-101B-9397-08002B2CF9AE}" pid="10" name="DLPManualFileClassificationVersion">
    <vt:lpwstr>11.6.600.21</vt:lpwstr>
  </property>
</Properties>
</file>